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omments1.xml" ContentType="application/vnd.openxmlformats-officedocument.spreadsheetml.comments+xml"/>
  <Override PartName="/xl/drawings/drawing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omments4.xml" ContentType="application/vnd.openxmlformats-officedocument.spreadsheetml.comments+xml"/>
  <Override PartName="/xl/drawings/drawing7.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omments6.xml" ContentType="application/vnd.openxmlformats-officedocument.spreadsheetml.comments+xml"/>
  <Override PartName="/xl/drawings/drawing10.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omments7.xml" ContentType="application/vnd.openxmlformats-officedocument.spreadsheetml.comments+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omments8.xml" ContentType="application/vnd.openxmlformats-officedocument.spreadsheetml.comments+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omments9.xml" ContentType="application/vnd.openxmlformats-officedocument.spreadsheetml.comments+xml"/>
  <Override PartName="/xl/drawings/drawing13.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omments10.xml" ContentType="application/vnd.openxmlformats-officedocument.spreadsheetml.comments+xml"/>
  <Override PartName="/xl/drawings/drawing14.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omments11.xml" ContentType="application/vnd.openxmlformats-officedocument.spreadsheetml.comments+xml"/>
  <Override PartName="/xl/drawings/drawing15.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omments12.xml" ContentType="application/vnd.openxmlformats-officedocument.spreadsheetml.comments+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omments13.xml" ContentType="application/vnd.openxmlformats-officedocument.spreadsheetml.comments+xml"/>
  <Override PartName="/xl/drawings/drawing17.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omments14.xml" ContentType="application/vnd.openxmlformats-officedocument.spreadsheetml.comments+xml"/>
  <Override PartName="/xl/drawings/drawing18.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omments15.xml" ContentType="application/vnd.openxmlformats-officedocument.spreadsheetml.comments+xml"/>
  <Override PartName="/xl/drawings/drawing19.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omments16.xml" ContentType="application/vnd.openxmlformats-officedocument.spreadsheetml.comments+xml"/>
  <Override PartName="/xl/drawings/drawing20.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omments17.xml" ContentType="application/vnd.openxmlformats-officedocument.spreadsheetml.comments+xml"/>
  <Override PartName="/xl/drawings/drawing21.xml" ContentType="application/vnd.openxmlformats-officedocument.drawing+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APP\PA\PAForum\Web Publications\FINANCE\Sources and Uses\2022\"/>
    </mc:Choice>
  </mc:AlternateContent>
  <xr:revisionPtr revIDLastSave="0" documentId="13_ncr:1_{88624758-5003-4E7B-8FEF-909E8F59971E}" xr6:coauthVersionLast="47" xr6:coauthVersionMax="47" xr10:uidLastSave="{00000000-0000-0000-0000-000000000000}"/>
  <bookViews>
    <workbookView xWindow="-108" yWindow="-108" windowWidth="23256" windowHeight="12576" tabRatio="855" xr2:uid="{00000000-000D-0000-FFFF-FFFF00000000}"/>
  </bookViews>
  <sheets>
    <sheet name="Index" sheetId="78" r:id="rId1"/>
    <sheet name="HRI Space Model" sheetId="68" state="hidden" r:id="rId2"/>
    <sheet name="HRI CTG Costs" sheetId="64" state="hidden" r:id="rId3"/>
    <sheet name="HRI Funding Comp" sheetId="63" state="hidden" r:id="rId4"/>
    <sheet name="IFRS Smmy_old" sheetId="74" state="hidden" r:id="rId5"/>
    <sheet name="Eval HRI" sheetId="80" state="hidden" r:id="rId6"/>
    <sheet name="HRI Keys NA" sheetId="102" state="hidden" r:id="rId7"/>
    <sheet name="ComRpt" sheetId="103" state="hidden" r:id="rId8"/>
    <sheet name="Source Smmy" sheetId="120" r:id="rId9"/>
    <sheet name="Smmy HRI SbS" sheetId="65" r:id="rId10"/>
    <sheet name="Smmy Chts" sheetId="56" r:id="rId11"/>
    <sheet name="Smmy Sum" sheetId="57" r:id="rId12"/>
    <sheet name="Smmy FGD" sheetId="94" r:id="rId13"/>
    <sheet name="Smmy Fnts" sheetId="58" r:id="rId14"/>
    <sheet name="SWM Chts" sheetId="1" r:id="rId15"/>
    <sheet name="SWM Sum" sheetId="2" r:id="rId16"/>
    <sheet name="SWM FGD" sheetId="14" r:id="rId17"/>
    <sheet name="SWM Fnts" sheetId="6" r:id="rId18"/>
    <sheet name="MBG Chts" sheetId="15" r:id="rId19"/>
    <sheet name="MBG Sum" sheetId="16" r:id="rId20"/>
    <sheet name="MBG FGD" sheetId="17" r:id="rId21"/>
    <sheet name="MBG Fnts" sheetId="18" r:id="rId22"/>
    <sheet name="HSH Chts" sheetId="20" r:id="rId23"/>
    <sheet name="HSH Sum" sheetId="21" r:id="rId24"/>
    <sheet name="HSH FGD" sheetId="22" r:id="rId25"/>
    <sheet name="HSH Fnts" sheetId="23" r:id="rId26"/>
    <sheet name="HSSA Chts" sheetId="25" r:id="rId27"/>
    <sheet name="HSSA Sum" sheetId="26" r:id="rId28"/>
    <sheet name="HSSA FGD" sheetId="27" r:id="rId29"/>
    <sheet name="HSSA Fnts" sheetId="28" r:id="rId30"/>
    <sheet name="MDA Chts" sheetId="30" r:id="rId31"/>
    <sheet name="MDA Sum" sheetId="31" r:id="rId32"/>
    <sheet name="MDA FGD" sheetId="32" r:id="rId33"/>
    <sheet name="MDA Fnts" sheetId="33" r:id="rId34"/>
    <sheet name="THC Chts" sheetId="35" r:id="rId35"/>
    <sheet name="THC Sum" sheetId="36" r:id="rId36"/>
    <sheet name="THC FGD" sheetId="37" r:id="rId37"/>
    <sheet name="THC Fnts" sheetId="38" r:id="rId38"/>
    <sheet name="TAMHSC Chts" sheetId="40" r:id="rId39"/>
    <sheet name="TAMHSC Sum" sheetId="41" r:id="rId40"/>
    <sheet name="TAMHSC FGD" sheetId="42" r:id="rId41"/>
    <sheet name="TAMHSC Fnts" sheetId="43" r:id="rId42"/>
    <sheet name="UNTHSC1 Chts" sheetId="45" r:id="rId43"/>
    <sheet name="UNTHS1 Sum" sheetId="46" r:id="rId44"/>
    <sheet name="UNTHSC1 FGD" sheetId="47" r:id="rId45"/>
    <sheet name="UNTHSC1 Fnts" sheetId="48" r:id="rId46"/>
    <sheet name="TTUHSC Chts" sheetId="50" r:id="rId47"/>
    <sheet name="TTUHSC Sum" sheetId="51" r:id="rId48"/>
    <sheet name="TTUHSC FGD" sheetId="62" r:id="rId49"/>
    <sheet name="TTUHSC Fnts" sheetId="53" r:id="rId50"/>
    <sheet name="TTUHSCEP Chts" sheetId="82" r:id="rId51"/>
    <sheet name="TTUHSCEP Sum" sheetId="83" r:id="rId52"/>
    <sheet name="TTUHSCEP FGD" sheetId="84" r:id="rId53"/>
    <sheet name="TTUHSCEP Fnts" sheetId="88" r:id="rId54"/>
    <sheet name="AUSM Chts" sheetId="85" r:id="rId55"/>
    <sheet name="AUSM Sum" sheetId="86" r:id="rId56"/>
    <sheet name="AUSM FGD" sheetId="87" r:id="rId57"/>
    <sheet name="AUSM Fnts" sheetId="89" r:id="rId58"/>
    <sheet name="RGVM Chts" sheetId="90" r:id="rId59"/>
    <sheet name="RGVM Sum" sheetId="91" r:id="rId60"/>
    <sheet name="RGVM FGD" sheetId="92" r:id="rId61"/>
    <sheet name="RGVM Fnts" sheetId="93" r:id="rId62"/>
    <sheet name="UHM Chts" sheetId="104" r:id="rId63"/>
    <sheet name="UHM Sum" sheetId="105" r:id="rId64"/>
    <sheet name="UHM FGD" sheetId="106" r:id="rId65"/>
    <sheet name="UHM Fnts" sheetId="107" r:id="rId66"/>
    <sheet name="SHNF Chts" sheetId="108" r:id="rId67"/>
    <sheet name="SHNF Sum" sheetId="109" r:id="rId68"/>
    <sheet name="SHNF FGD" sheetId="110" r:id="rId69"/>
    <sheet name="SHNF Fnts" sheetId="111" r:id="rId70"/>
    <sheet name="UNTHSCPM Chts" sheetId="112" r:id="rId71"/>
    <sheet name="UNTHSCPM Sum" sheetId="113" r:id="rId72"/>
    <sheet name="UNTHSCPM FGD" sheetId="114" r:id="rId73"/>
    <sheet name="UNTHSCPM Fnts" sheetId="115" r:id="rId74"/>
    <sheet name="UNTHSC Chts" sheetId="116" r:id="rId75"/>
    <sheet name="UNTHSC Sum" sheetId="117" r:id="rId76"/>
    <sheet name="UNTHSC FGD" sheetId="118" r:id="rId77"/>
    <sheet name="UNTHSC Fnts" sheetId="119" r:id="rId78"/>
    <sheet name="SREB Input" sheetId="79" r:id="rId79"/>
    <sheet name="Healthcare" sheetId="95" r:id="rId80"/>
    <sheet name="IFRS Smmy" sheetId="100" r:id="rId81"/>
    <sheet name="Almanac" sheetId="73" r:id="rId82"/>
    <sheet name="T&amp;F Summary" sheetId="97" r:id="rId83"/>
    <sheet name="HRI_IE_Context" sheetId="98" r:id="rId84"/>
    <sheet name="HRI_IE_Keys" sheetId="99" r:id="rId85"/>
    <sheet name="HRI Context NA" sheetId="101" r:id="rId86"/>
    <sheet name="Names" sheetId="72" r:id="rId87"/>
    <sheet name="Input" sheetId="70" r:id="rId88"/>
    <sheet name="FTSE" sheetId="71" r:id="rId89"/>
    <sheet name="Balancing" sheetId="81" r:id="rId90"/>
  </sheets>
  <externalReferences>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s>
  <definedNames>
    <definedName name="_Key1" localSheetId="9" hidden="1">[1]Datareformat!#REF!</definedName>
    <definedName name="_Order1" hidden="1">255</definedName>
    <definedName name="_Order2" hidden="1">255</definedName>
    <definedName name="_Sort" localSheetId="81" hidden="1">#REF!</definedName>
    <definedName name="_Sort" localSheetId="57" hidden="1">#REF!</definedName>
    <definedName name="_Sort" localSheetId="89" hidden="1">#REF!</definedName>
    <definedName name="_Sort" localSheetId="5" hidden="1">#REF!</definedName>
    <definedName name="_Sort" localSheetId="79" hidden="1">#REF!</definedName>
    <definedName name="_Sort" localSheetId="85" hidden="1">#REF!</definedName>
    <definedName name="_Sort" localSheetId="2" hidden="1">#REF!</definedName>
    <definedName name="_Sort" localSheetId="3" hidden="1">#REF!</definedName>
    <definedName name="_Sort" localSheetId="6" hidden="1">#REF!</definedName>
    <definedName name="_Sort" localSheetId="83" hidden="1">#REF!</definedName>
    <definedName name="_Sort" localSheetId="84" hidden="1">#REF!</definedName>
    <definedName name="_Sort" localSheetId="80" hidden="1">#REF!</definedName>
    <definedName name="_Sort" localSheetId="4" hidden="1">#REF!</definedName>
    <definedName name="_Sort" localSheetId="0" hidden="1">#REF!</definedName>
    <definedName name="_Sort" localSheetId="61" hidden="1">#REF!</definedName>
    <definedName name="_Sort" localSheetId="69" hidden="1">#REF!</definedName>
    <definedName name="_Sort" localSheetId="12" hidden="1">#REF!</definedName>
    <definedName name="_Sort" localSheetId="9" hidden="1">#REF!</definedName>
    <definedName name="_Sort" localSheetId="8" hidden="1">#REF!</definedName>
    <definedName name="_Sort" localSheetId="82" hidden="1">#REF!</definedName>
    <definedName name="_Sort" localSheetId="53" hidden="1">#REF!</definedName>
    <definedName name="_Sort" localSheetId="65" hidden="1">#REF!</definedName>
    <definedName name="_Sort" localSheetId="77" hidden="1">#REF!</definedName>
    <definedName name="_Sort" localSheetId="73" hidden="1">#REF!</definedName>
    <definedName name="_Sort" hidden="1">#REF!</definedName>
    <definedName name="AMTLU" localSheetId="7">Names!$B$76:$I$90</definedName>
    <definedName name="AMTLU" localSheetId="79">Names!$B$76:$I$84</definedName>
    <definedName name="AMTLU" localSheetId="80">[2]Names!$B$11:$L$70</definedName>
    <definedName name="AMTLU" localSheetId="8">[3]Names!$B$74:$I$88</definedName>
    <definedName name="AMTLU" localSheetId="82">[4]Names!$B$11:$I$69</definedName>
    <definedName name="AMTLU">Names!$B$76:$I$90</definedName>
    <definedName name="FTSELU" localSheetId="7">FTSE!$B$7:$K$116</definedName>
    <definedName name="FTSELU" localSheetId="79">FTSE!$D$6:$N$77</definedName>
    <definedName name="FTSELU">FTSE!$B$6:$N$77</definedName>
    <definedName name="LUTTFTE">[5]FTSE!$C$8:$S$61</definedName>
    <definedName name="NamesLU" localSheetId="7">Names!$B$76:$D$96</definedName>
    <definedName name="NamesLU" localSheetId="8">[3]Names!$B$74:$D$94</definedName>
    <definedName name="NamesLU">Names!$B$76:$D$96</definedName>
    <definedName name="_xlnm.Print_Area" localSheetId="81">Almanac!$C$1:$P$38</definedName>
    <definedName name="_xlnm.Print_Area" localSheetId="54">'AUSM Chts'!$A$1:$A$140</definedName>
    <definedName name="_xlnm.Print_Area" localSheetId="56">'AUSM FGD'!$B$1:$M$102</definedName>
    <definedName name="_xlnm.Print_Area" localSheetId="57">'AUSM Fnts'!$A$1:$B$12</definedName>
    <definedName name="_xlnm.Print_Area" localSheetId="55">'AUSM Sum'!$A$1:$C$71</definedName>
    <definedName name="_xlnm.Print_Area" localSheetId="5">'Eval HRI'!$A$1:$P$26</definedName>
    <definedName name="_xlnm.Print_Area" localSheetId="85">'HRI Context NA'!$A$1:$O$39</definedName>
    <definedName name="_xlnm.Print_Area" localSheetId="6">'HRI Keys NA'!$A$1:$R$25</definedName>
    <definedName name="_xlnm.Print_Area" localSheetId="1">'HRI Space Model'!$A$1:$E$37</definedName>
    <definedName name="_xlnm.Print_Area" localSheetId="83">HRI_IE_Context!$A$1:$O$40</definedName>
    <definedName name="_xlnm.Print_Area" localSheetId="84">HRI_IE_Keys!$A$1:$L$28</definedName>
    <definedName name="_xlnm.Print_Area" localSheetId="22">'HSH Chts'!$A$1:$A$140</definedName>
    <definedName name="_xlnm.Print_Area" localSheetId="24">'HSH FGD'!$B$1:$M$102</definedName>
    <definedName name="_xlnm.Print_Area" localSheetId="25">'HSH Fnts'!$A$1:$B$12</definedName>
    <definedName name="_xlnm.Print_Area" localSheetId="23">'HSH Sum'!$A$1:$C$71</definedName>
    <definedName name="_xlnm.Print_Area" localSheetId="26">'HSSA Chts'!$A$1:$A$140</definedName>
    <definedName name="_xlnm.Print_Area" localSheetId="28">'HSSA FGD'!$B$2:$M$102</definedName>
    <definedName name="_xlnm.Print_Area" localSheetId="29">'HSSA Fnts'!$A$1:$B$12</definedName>
    <definedName name="_xlnm.Print_Area" localSheetId="27">'HSSA Sum'!$A$1:$C$71</definedName>
    <definedName name="_xlnm.Print_Area" localSheetId="80">'IFRS Smmy'!$A$1:$AC$28</definedName>
    <definedName name="_xlnm.Print_Area" localSheetId="4">'IFRS Smmy_old'!$A$1:$N$27</definedName>
    <definedName name="_xlnm.Print_Area" localSheetId="18">'MBG Chts'!$A$1:$A$140</definedName>
    <definedName name="_xlnm.Print_Area" localSheetId="20">'MBG FGD'!$B$1:$M$102</definedName>
    <definedName name="_xlnm.Print_Area" localSheetId="21">'MBG Fnts'!$A$1:$B$12</definedName>
    <definedName name="_xlnm.Print_Area" localSheetId="19">'MBG Sum'!$A$1:$C$71</definedName>
    <definedName name="_xlnm.Print_Area" localSheetId="30">'MDA Chts'!$A$1:$A$140</definedName>
    <definedName name="_xlnm.Print_Area" localSheetId="32">'MDA FGD'!$B$2:$M$102</definedName>
    <definedName name="_xlnm.Print_Area" localSheetId="33">'MDA Fnts'!$A$1:$B$12</definedName>
    <definedName name="_xlnm.Print_Area" localSheetId="31">'MDA Sum'!$A$1:$C$71</definedName>
    <definedName name="_xlnm.Print_Area" localSheetId="86">Names!$A$1:$H$124</definedName>
    <definedName name="_xlnm.Print_Area" localSheetId="58">'RGVM Chts'!$A$1:$A$140</definedName>
    <definedName name="_xlnm.Print_Area" localSheetId="60">'RGVM FGD'!$B$1:$M$102</definedName>
    <definedName name="_xlnm.Print_Area" localSheetId="61">'RGVM Fnts'!$A$1:$B$12</definedName>
    <definedName name="_xlnm.Print_Area" localSheetId="59">'RGVM Sum'!$A$1:$C$71</definedName>
    <definedName name="_xlnm.Print_Area" localSheetId="66">'SHNF Chts'!$A$1:$A$140</definedName>
    <definedName name="_xlnm.Print_Area" localSheetId="68">'SHNF FGD'!$B$1:$M$102</definedName>
    <definedName name="_xlnm.Print_Area" localSheetId="69">'SHNF Fnts'!$A$1:$B$12</definedName>
    <definedName name="_xlnm.Print_Area" localSheetId="67">'SHNF Sum'!$A$1:$C$71</definedName>
    <definedName name="_xlnm.Print_Area" localSheetId="10">'Smmy Chts'!$A$1:$A$140</definedName>
    <definedName name="_xlnm.Print_Area" localSheetId="12">'Smmy FGD'!$B$1:$M$1012</definedName>
    <definedName name="_xlnm.Print_Area" localSheetId="13">'Smmy Fnts'!$A$1:$B$12</definedName>
    <definedName name="_xlnm.Print_Area" localSheetId="9">'Smmy HRI SbS'!$A$1:$U$74</definedName>
    <definedName name="_xlnm.Print_Area" localSheetId="11">'Smmy Sum'!$A$1:$C$84</definedName>
    <definedName name="_xlnm.Print_Area" localSheetId="14">'SWM Chts'!$A$1:$A$140</definedName>
    <definedName name="_xlnm.Print_Area" localSheetId="16">'SWM FGD'!$B$1:$M$102</definedName>
    <definedName name="_xlnm.Print_Area" localSheetId="17">'SWM Fnts'!$A$1:$B$12</definedName>
    <definedName name="_xlnm.Print_Area" localSheetId="15">'SWM Sum'!$A$1:$C$71</definedName>
    <definedName name="_xlnm.Print_Area" localSheetId="82">'T&amp;F Summary'!$A$1:$I$29</definedName>
    <definedName name="_xlnm.Print_Area" localSheetId="38">'TAMHSC Chts'!$A$1:$A$140</definedName>
    <definedName name="_xlnm.Print_Area" localSheetId="40">'TAMHSC FGD'!$B$1:$M$102</definedName>
    <definedName name="_xlnm.Print_Area" localSheetId="41">'TAMHSC Fnts'!$A$1:$B$12</definedName>
    <definedName name="_xlnm.Print_Area" localSheetId="39">'TAMHSC Sum'!$A$1:$C$71</definedName>
    <definedName name="_xlnm.Print_Area" localSheetId="34">'THC Chts'!$A$1:$A$140</definedName>
    <definedName name="_xlnm.Print_Area" localSheetId="36">'THC FGD'!$B$2:$M$102</definedName>
    <definedName name="_xlnm.Print_Area" localSheetId="37">'THC Fnts'!$A$1:$B$12</definedName>
    <definedName name="_xlnm.Print_Area" localSheetId="35">'THC Sum'!$A$1:$C$71</definedName>
    <definedName name="_xlnm.Print_Area" localSheetId="46">'TTUHSC Chts'!$A$1:$A$140</definedName>
    <definedName name="_xlnm.Print_Area" localSheetId="48">'TTUHSC FGD'!$B$1:$M$102</definedName>
    <definedName name="_xlnm.Print_Area" localSheetId="49">'TTUHSC Fnts'!$A$1:$B$12</definedName>
    <definedName name="_xlnm.Print_Area" localSheetId="47">'TTUHSC Sum'!$A$1:$C$71</definedName>
    <definedName name="_xlnm.Print_Area" localSheetId="50">'TTUHSCEP Chts'!$A$1:$A$140</definedName>
    <definedName name="_xlnm.Print_Area" localSheetId="52">'TTUHSCEP FGD'!$B$1:$M$102</definedName>
    <definedName name="_xlnm.Print_Area" localSheetId="53">'TTUHSCEP Fnts'!$A$1:$B$12</definedName>
    <definedName name="_xlnm.Print_Area" localSheetId="51">'TTUHSCEP Sum'!$A$1:$C$71</definedName>
    <definedName name="_xlnm.Print_Area" localSheetId="62">'UHM Chts'!$A$1:$A$140</definedName>
    <definedName name="_xlnm.Print_Area" localSheetId="64">'UHM FGD'!$B$1:$M$102</definedName>
    <definedName name="_xlnm.Print_Area" localSheetId="65">'UHM Fnts'!$A$1:$B$12</definedName>
    <definedName name="_xlnm.Print_Area" localSheetId="63">'UHM Sum'!$A$1:$C$71</definedName>
    <definedName name="_xlnm.Print_Area" localSheetId="43">'UNTHS1 Sum'!$A$1:$C$71</definedName>
    <definedName name="_xlnm.Print_Area" localSheetId="74">'UNTHSC Chts'!$A$1:$A$140</definedName>
    <definedName name="_xlnm.Print_Area" localSheetId="76">'UNTHSC FGD'!$B$1:$M$102</definedName>
    <definedName name="_xlnm.Print_Area" localSheetId="77">'UNTHSC Fnts'!$A$1:$B$12</definedName>
    <definedName name="_xlnm.Print_Area" localSheetId="75">'UNTHSC Sum'!$A$1:$C$71</definedName>
    <definedName name="_xlnm.Print_Area" localSheetId="42">'UNTHSC1 Chts'!$A$1:$A$140</definedName>
    <definedName name="_xlnm.Print_Area" localSheetId="44">'UNTHSC1 FGD'!$B$2:$M$102</definedName>
    <definedName name="_xlnm.Print_Area" localSheetId="45">'UNTHSC1 Fnts'!$A$1:$B$12</definedName>
    <definedName name="_xlnm.Print_Area" localSheetId="70">'UNTHSCPM Chts'!$A$1:$A$140</definedName>
    <definedName name="_xlnm.Print_Area" localSheetId="72">'UNTHSCPM FGD'!$B$1:$M$102</definedName>
    <definedName name="_xlnm.Print_Area" localSheetId="73">'UNTHSCPM Fnts'!$A$1:$B$12</definedName>
    <definedName name="_xlnm.Print_Area" localSheetId="71">'UNTHSCPM Sum'!$A$1:$C$71</definedName>
    <definedName name="_xlnm.Print_Area">[6]FY92!$A$1</definedName>
    <definedName name="_xlnm.Print_Titles" localSheetId="7">ComRpt!$1:$4</definedName>
    <definedName name="_xlnm.Print_Titles" localSheetId="9">'Smmy HRI SbS'!$A:$A</definedName>
    <definedName name="x">[7]Names!$B$77:$I$95</definedName>
    <definedName name="Z_14D2702E_F84A_4D2B_A8E0_1BA0EE84A954_.wvu.Cols" localSheetId="55" hidden="1">'AUSM Sum'!#REF!,'AUSM Sum'!#REF!,'AUSM Sum'!#REF!,'AUSM Sum'!#REF!,'AUSM Sum'!#REF!,'AUSM Sum'!#REF!,'AUSM Sum'!#REF!,'AUSM Sum'!#REF!,'AUSM Sum'!#REF!</definedName>
    <definedName name="Z_14D2702E_F84A_4D2B_A8E0_1BA0EE84A954_.wvu.Cols" localSheetId="23" hidden="1">'HSH Sum'!#REF!,'HSH Sum'!#REF!,'HSH Sum'!#REF!,'HSH Sum'!#REF!,'HSH Sum'!#REF!,'HSH Sum'!#REF!,'HSH Sum'!#REF!,'HSH Sum'!#REF!,'HSH Sum'!#REF!</definedName>
    <definedName name="Z_14D2702E_F84A_4D2B_A8E0_1BA0EE84A954_.wvu.Cols" localSheetId="27" hidden="1">'HSSA Sum'!#REF!,'HSSA Sum'!#REF!,'HSSA Sum'!#REF!,'HSSA Sum'!#REF!,'HSSA Sum'!#REF!,'HSSA Sum'!#REF!,'HSSA Sum'!#REF!,'HSSA Sum'!#REF!,'HSSA Sum'!#REF!</definedName>
    <definedName name="Z_14D2702E_F84A_4D2B_A8E0_1BA0EE84A954_.wvu.Cols" localSheetId="19" hidden="1">'MBG Sum'!#REF!,'MBG Sum'!#REF!,'MBG Sum'!#REF!,'MBG Sum'!#REF!,'MBG Sum'!#REF!,'MBG Sum'!#REF!,'MBG Sum'!#REF!,'MBG Sum'!#REF!,'MBG Sum'!#REF!</definedName>
    <definedName name="Z_14D2702E_F84A_4D2B_A8E0_1BA0EE84A954_.wvu.Cols" localSheetId="31" hidden="1">'MDA Sum'!#REF!,'MDA Sum'!#REF!,'MDA Sum'!#REF!,'MDA Sum'!#REF!,'MDA Sum'!#REF!,'MDA Sum'!#REF!,'MDA Sum'!#REF!,'MDA Sum'!#REF!,'MDA Sum'!#REF!</definedName>
    <definedName name="Z_14D2702E_F84A_4D2B_A8E0_1BA0EE84A954_.wvu.Cols" localSheetId="59" hidden="1">'RGVM Sum'!#REF!,'RGVM Sum'!#REF!,'RGVM Sum'!#REF!,'RGVM Sum'!#REF!,'RGVM Sum'!#REF!,'RGVM Sum'!#REF!,'RGVM Sum'!#REF!,'RGVM Sum'!#REF!,'RGVM Sum'!#REF!</definedName>
    <definedName name="Z_14D2702E_F84A_4D2B_A8E0_1BA0EE84A954_.wvu.Cols" localSheetId="67" hidden="1">'SHNF Sum'!#REF!,'SHNF Sum'!#REF!,'SHNF Sum'!#REF!,'SHNF Sum'!#REF!,'SHNF Sum'!#REF!,'SHNF Sum'!#REF!,'SHNF Sum'!#REF!,'SHNF Sum'!#REF!,'SHNF Sum'!#REF!</definedName>
    <definedName name="Z_14D2702E_F84A_4D2B_A8E0_1BA0EE84A954_.wvu.Cols" localSheetId="9" hidden="1">'Smmy HRI SbS'!#REF!,'Smmy HRI SbS'!#REF!,'Smmy HRI SbS'!#REF!,'Smmy HRI SbS'!#REF!,'Smmy HRI SbS'!#REF!,'Smmy HRI SbS'!#REF!,'Smmy HRI SbS'!#REF!,'Smmy HRI SbS'!#REF!,'Smmy HRI SbS'!#REF!</definedName>
    <definedName name="Z_14D2702E_F84A_4D2B_A8E0_1BA0EE84A954_.wvu.Cols" localSheetId="11" hidden="1">'Smmy Sum'!#REF!,'Smmy Sum'!#REF!,'Smmy Sum'!#REF!,'Smmy Sum'!#REF!,'Smmy Sum'!#REF!,'Smmy Sum'!#REF!,'Smmy Sum'!#REF!,'Smmy Sum'!#REF!,'Smmy Sum'!#REF!</definedName>
    <definedName name="Z_14D2702E_F84A_4D2B_A8E0_1BA0EE84A954_.wvu.Cols" localSheetId="15" hidden="1">'SWM Sum'!#REF!,'SWM Sum'!#REF!,'SWM Sum'!#REF!,'SWM Sum'!#REF!,'SWM Sum'!#REF!,'SWM Sum'!#REF!,'SWM Sum'!#REF!,'SWM Sum'!#REF!,'SWM Sum'!#REF!</definedName>
    <definedName name="Z_14D2702E_F84A_4D2B_A8E0_1BA0EE84A954_.wvu.Cols" localSheetId="39" hidden="1">'TAMHSC Sum'!#REF!,'TAMHSC Sum'!#REF!,'TAMHSC Sum'!#REF!,'TAMHSC Sum'!#REF!,'TAMHSC Sum'!#REF!,'TAMHSC Sum'!#REF!,'TAMHSC Sum'!#REF!,'TAMHSC Sum'!#REF!,'TAMHSC Sum'!#REF!</definedName>
    <definedName name="Z_14D2702E_F84A_4D2B_A8E0_1BA0EE84A954_.wvu.Cols" localSheetId="35" hidden="1">'THC Sum'!#REF!,'THC Sum'!#REF!,'THC Sum'!#REF!,'THC Sum'!#REF!,'THC Sum'!#REF!,'THC Sum'!#REF!,'THC Sum'!#REF!,'THC Sum'!#REF!,'THC Sum'!#REF!</definedName>
    <definedName name="Z_14D2702E_F84A_4D2B_A8E0_1BA0EE84A954_.wvu.Cols" localSheetId="47" hidden="1">'TTUHSC Sum'!#REF!,'TTUHSC Sum'!#REF!,'TTUHSC Sum'!#REF!,'TTUHSC Sum'!#REF!,'TTUHSC Sum'!#REF!,'TTUHSC Sum'!#REF!,'TTUHSC Sum'!#REF!,'TTUHSC Sum'!#REF!,'TTUHSC Sum'!#REF!</definedName>
    <definedName name="Z_14D2702E_F84A_4D2B_A8E0_1BA0EE84A954_.wvu.Cols" localSheetId="51" hidden="1">'TTUHSCEP Sum'!#REF!,'TTUHSCEP Sum'!#REF!,'TTUHSCEP Sum'!#REF!,'TTUHSCEP Sum'!#REF!,'TTUHSCEP Sum'!#REF!,'TTUHSCEP Sum'!#REF!,'TTUHSCEP Sum'!#REF!,'TTUHSCEP Sum'!#REF!,'TTUHSCEP Sum'!#REF!</definedName>
    <definedName name="Z_14D2702E_F84A_4D2B_A8E0_1BA0EE84A954_.wvu.Cols" localSheetId="63" hidden="1">'UHM Sum'!#REF!,'UHM Sum'!#REF!,'UHM Sum'!#REF!,'UHM Sum'!#REF!,'UHM Sum'!#REF!,'UHM Sum'!#REF!,'UHM Sum'!#REF!,'UHM Sum'!#REF!,'UHM Sum'!#REF!</definedName>
    <definedName name="Z_14D2702E_F84A_4D2B_A8E0_1BA0EE84A954_.wvu.Cols" localSheetId="43" hidden="1">'UNTHS1 Sum'!#REF!,'UNTHS1 Sum'!#REF!,'UNTHS1 Sum'!#REF!,'UNTHS1 Sum'!#REF!,'UNTHS1 Sum'!#REF!,'UNTHS1 Sum'!#REF!,'UNTHS1 Sum'!#REF!,'UNTHS1 Sum'!#REF!,'UNTHS1 Sum'!#REF!</definedName>
    <definedName name="Z_14D2702E_F84A_4D2B_A8E0_1BA0EE84A954_.wvu.Cols" localSheetId="75" hidden="1">'UNTHSC Sum'!#REF!,'UNTHSC Sum'!#REF!,'UNTHSC Sum'!#REF!,'UNTHSC Sum'!#REF!,'UNTHSC Sum'!#REF!,'UNTHSC Sum'!#REF!,'UNTHSC Sum'!#REF!,'UNTHSC Sum'!#REF!,'UNTHSC Sum'!#REF!</definedName>
    <definedName name="Z_14D2702E_F84A_4D2B_A8E0_1BA0EE84A954_.wvu.Cols" localSheetId="71" hidden="1">'UNTHSCPM Sum'!#REF!,'UNTHSCPM Sum'!#REF!,'UNTHSCPM Sum'!#REF!,'UNTHSCPM Sum'!#REF!,'UNTHSCPM Sum'!#REF!,'UNTHSCPM Sum'!#REF!,'UNTHSCPM Sum'!#REF!,'UNTHSCPM Sum'!#REF!,'UNTHSCPM Sum'!#REF!</definedName>
    <definedName name="Z_1FFC368C_FAAC_4C27_917C_33EB7F20D079_.wvu.PrintTitles" localSheetId="81" hidden="1">[8]Midwestern!$A$1:$B$65536,[8]Midwestern!$A$1:$IV$7</definedName>
    <definedName name="Z_1FFC368C_FAAC_4C27_917C_33EB7F20D079_.wvu.PrintTitles" localSheetId="56" hidden="1">[8]Midwestern!$A$1:$B$65536,[8]Midwestern!$A$1:$IV$7</definedName>
    <definedName name="Z_1FFC368C_FAAC_4C27_917C_33EB7F20D079_.wvu.PrintTitles" localSheetId="5" hidden="1">[8]Midwestern!$A$1:$B$65536,[8]Midwestern!$A$1:$IV$7</definedName>
    <definedName name="Z_1FFC368C_FAAC_4C27_917C_33EB7F20D079_.wvu.PrintTitles" localSheetId="85" hidden="1">[8]Midwestern!$A$1:$B$65536,[8]Midwestern!$A$1:$IV$7</definedName>
    <definedName name="Z_1FFC368C_FAAC_4C27_917C_33EB7F20D079_.wvu.PrintTitles" localSheetId="2" hidden="1">[8]Midwestern!$A$1:$B$65536,[8]Midwestern!$A$1:$IV$7</definedName>
    <definedName name="Z_1FFC368C_FAAC_4C27_917C_33EB7F20D079_.wvu.PrintTitles" localSheetId="3" hidden="1">[8]Midwestern!$A$1:$B$65536,[8]Midwestern!$A$1:$IV$7</definedName>
    <definedName name="Z_1FFC368C_FAAC_4C27_917C_33EB7F20D079_.wvu.PrintTitles" localSheetId="6" hidden="1">[8]Midwestern!$A$1:$B$65536,[8]Midwestern!$A$1:$IV$7</definedName>
    <definedName name="Z_1FFC368C_FAAC_4C27_917C_33EB7F20D079_.wvu.PrintTitles" localSheetId="83" hidden="1">[8]Midwestern!$A$1:$B$65536,[8]Midwestern!$A$1:$IV$7</definedName>
    <definedName name="Z_1FFC368C_FAAC_4C27_917C_33EB7F20D079_.wvu.PrintTitles" localSheetId="84" hidden="1">[8]Midwestern!$A$1:$B$65536,[8]Midwestern!$A$1:$IV$7</definedName>
    <definedName name="Z_1FFC368C_FAAC_4C27_917C_33EB7F20D079_.wvu.PrintTitles" localSheetId="80" hidden="1">[8]Midwestern!$A$1:$B$65536,[8]Midwestern!$A$1:$IV$7</definedName>
    <definedName name="Z_1FFC368C_FAAC_4C27_917C_33EB7F20D079_.wvu.PrintTitles" localSheetId="4" hidden="1">[8]Midwestern!$A$1:$B$65536,[8]Midwestern!$A$1:$IV$7</definedName>
    <definedName name="Z_1FFC368C_FAAC_4C27_917C_33EB7F20D079_.wvu.PrintTitles" localSheetId="60" hidden="1">[8]Midwestern!$A$1:$B$65536,[8]Midwestern!$A$1:$IV$7</definedName>
    <definedName name="Z_1FFC368C_FAAC_4C27_917C_33EB7F20D079_.wvu.PrintTitles" localSheetId="68" hidden="1">[8]Midwestern!$A$1:$B$65536,[8]Midwestern!$A$1:$IV$7</definedName>
    <definedName name="Z_1FFC368C_FAAC_4C27_917C_33EB7F20D079_.wvu.PrintTitles" localSheetId="82" hidden="1">[8]Midwestern!$A$1:$B$65536,[8]Midwestern!$A$1:$IV$7</definedName>
    <definedName name="Z_1FFC368C_FAAC_4C27_917C_33EB7F20D079_.wvu.PrintTitles" localSheetId="48" hidden="1">[8]Midwestern!$A$1:$B$65536,[8]Midwestern!$A$1:$IV$7</definedName>
    <definedName name="Z_1FFC368C_FAAC_4C27_917C_33EB7F20D079_.wvu.PrintTitles" localSheetId="52" hidden="1">[8]Midwestern!$A$1:$B$65536,[8]Midwestern!$A$1:$IV$7</definedName>
    <definedName name="Z_1FFC368C_FAAC_4C27_917C_33EB7F20D079_.wvu.PrintTitles" localSheetId="64" hidden="1">[8]Midwestern!$A$1:$B$65536,[8]Midwestern!$A$1:$IV$7</definedName>
    <definedName name="Z_1FFC368C_FAAC_4C27_917C_33EB7F20D079_.wvu.PrintTitles" localSheetId="76" hidden="1">[8]Midwestern!$A$1:$B$65536,[8]Midwestern!$A$1:$IV$7</definedName>
    <definedName name="Z_1FFC368C_FAAC_4C27_917C_33EB7F20D079_.wvu.PrintTitles" localSheetId="72" hidden="1">[8]Midwestern!$A$1:$B$65536,[8]Midwestern!$A$1:$IV$7</definedName>
    <definedName name="Z_1FFC368C_FAAC_4C27_917C_33EB7F20D079_.wvu.PrintTitles" hidden="1">[9]Midwestern!$A$1:$B$65536,[9]Midwestern!$A$1:$IV$7</definedName>
    <definedName name="Z_390E69FE_30BF_46A8_BB03_D0C9901EA0FB_.wvu.PrintTitles" localSheetId="81" hidden="1">[8]Midwestern!$A$1:$B$65536,[8]Midwestern!$A$1:$IV$7</definedName>
    <definedName name="Z_390E69FE_30BF_46A8_BB03_D0C9901EA0FB_.wvu.PrintTitles" localSheetId="56" hidden="1">[8]Midwestern!$A$1:$B$65536,[8]Midwestern!$A$1:$IV$7</definedName>
    <definedName name="Z_390E69FE_30BF_46A8_BB03_D0C9901EA0FB_.wvu.PrintTitles" localSheetId="5" hidden="1">[8]Midwestern!$A$1:$B$65536,[8]Midwestern!$A$1:$IV$7</definedName>
    <definedName name="Z_390E69FE_30BF_46A8_BB03_D0C9901EA0FB_.wvu.PrintTitles" localSheetId="85" hidden="1">[8]Midwestern!$A$1:$B$65536,[8]Midwestern!$A$1:$IV$7</definedName>
    <definedName name="Z_390E69FE_30BF_46A8_BB03_D0C9901EA0FB_.wvu.PrintTitles" localSheetId="2" hidden="1">[8]Midwestern!$A$1:$B$65536,[8]Midwestern!$A$1:$IV$7</definedName>
    <definedName name="Z_390E69FE_30BF_46A8_BB03_D0C9901EA0FB_.wvu.PrintTitles" localSheetId="3" hidden="1">[8]Midwestern!$A$1:$B$65536,[8]Midwestern!$A$1:$IV$7</definedName>
    <definedName name="Z_390E69FE_30BF_46A8_BB03_D0C9901EA0FB_.wvu.PrintTitles" localSheetId="6" hidden="1">[8]Midwestern!$A$1:$B$65536,[8]Midwestern!$A$1:$IV$7</definedName>
    <definedName name="Z_390E69FE_30BF_46A8_BB03_D0C9901EA0FB_.wvu.PrintTitles" localSheetId="83" hidden="1">[8]Midwestern!$A$1:$B$65536,[8]Midwestern!$A$1:$IV$7</definedName>
    <definedName name="Z_390E69FE_30BF_46A8_BB03_D0C9901EA0FB_.wvu.PrintTitles" localSheetId="84" hidden="1">[8]Midwestern!$A$1:$B$65536,[8]Midwestern!$A$1:$IV$7</definedName>
    <definedName name="Z_390E69FE_30BF_46A8_BB03_D0C9901EA0FB_.wvu.PrintTitles" localSheetId="80" hidden="1">[8]Midwestern!$A$1:$B$65536,[8]Midwestern!$A$1:$IV$7</definedName>
    <definedName name="Z_390E69FE_30BF_46A8_BB03_D0C9901EA0FB_.wvu.PrintTitles" localSheetId="4" hidden="1">[8]Midwestern!$A$1:$B$65536,[8]Midwestern!$A$1:$IV$7</definedName>
    <definedName name="Z_390E69FE_30BF_46A8_BB03_D0C9901EA0FB_.wvu.PrintTitles" localSheetId="60" hidden="1">[8]Midwestern!$A$1:$B$65536,[8]Midwestern!$A$1:$IV$7</definedName>
    <definedName name="Z_390E69FE_30BF_46A8_BB03_D0C9901EA0FB_.wvu.PrintTitles" localSheetId="68" hidden="1">[8]Midwestern!$A$1:$B$65536,[8]Midwestern!$A$1:$IV$7</definedName>
    <definedName name="Z_390E69FE_30BF_46A8_BB03_D0C9901EA0FB_.wvu.PrintTitles" localSheetId="82" hidden="1">[8]Midwestern!$A$1:$B$65536,[8]Midwestern!$A$1:$IV$7</definedName>
    <definedName name="Z_390E69FE_30BF_46A8_BB03_D0C9901EA0FB_.wvu.PrintTitles" localSheetId="48" hidden="1">[8]Midwestern!$A$1:$B$65536,[8]Midwestern!$A$1:$IV$7</definedName>
    <definedName name="Z_390E69FE_30BF_46A8_BB03_D0C9901EA0FB_.wvu.PrintTitles" localSheetId="52" hidden="1">[8]Midwestern!$A$1:$B$65536,[8]Midwestern!$A$1:$IV$7</definedName>
    <definedName name="Z_390E69FE_30BF_46A8_BB03_D0C9901EA0FB_.wvu.PrintTitles" localSheetId="64" hidden="1">[8]Midwestern!$A$1:$B$65536,[8]Midwestern!$A$1:$IV$7</definedName>
    <definedName name="Z_390E69FE_30BF_46A8_BB03_D0C9901EA0FB_.wvu.PrintTitles" localSheetId="76" hidden="1">[8]Midwestern!$A$1:$B$65536,[8]Midwestern!$A$1:$IV$7</definedName>
    <definedName name="Z_390E69FE_30BF_46A8_BB03_D0C9901EA0FB_.wvu.PrintTitles" localSheetId="72" hidden="1">[8]Midwestern!$A$1:$B$65536,[8]Midwestern!$A$1:$IV$7</definedName>
    <definedName name="Z_390E69FE_30BF_46A8_BB03_D0C9901EA0FB_.wvu.PrintTitles" hidden="1">[9]Midwestern!$A$1:$B$65536,[9]Midwestern!$A$1:$IV$7</definedName>
    <definedName name="Z_3C971B3B_4F1A_4A5F_87B7_49ECD435050C_.wvu.PrintArea" localSheetId="56" hidden="1">'AUSM FGD'!$B$2:$M$100</definedName>
    <definedName name="Z_3C971B3B_4F1A_4A5F_87B7_49ECD435050C_.wvu.PrintArea" localSheetId="55" hidden="1">'AUSM Sum'!$A$1:$B$70</definedName>
    <definedName name="Z_3C971B3B_4F1A_4A5F_87B7_49ECD435050C_.wvu.PrintArea" localSheetId="24" hidden="1">'HSH FGD'!$B$2:$M$100</definedName>
    <definedName name="Z_3C971B3B_4F1A_4A5F_87B7_49ECD435050C_.wvu.PrintArea" localSheetId="23" hidden="1">'HSH Sum'!$A$1:$B$70</definedName>
    <definedName name="Z_3C971B3B_4F1A_4A5F_87B7_49ECD435050C_.wvu.PrintArea" localSheetId="28" hidden="1">'HSSA FGD'!$B$2:$M$100</definedName>
    <definedName name="Z_3C971B3B_4F1A_4A5F_87B7_49ECD435050C_.wvu.PrintArea" localSheetId="27" hidden="1">'HSSA Sum'!$A$1:$B$70</definedName>
    <definedName name="Z_3C971B3B_4F1A_4A5F_87B7_49ECD435050C_.wvu.PrintArea" localSheetId="20" hidden="1">'MBG FGD'!$B$2:$M$100</definedName>
    <definedName name="Z_3C971B3B_4F1A_4A5F_87B7_49ECD435050C_.wvu.PrintArea" localSheetId="19" hidden="1">'MBG Sum'!$A$1:$B$70</definedName>
    <definedName name="Z_3C971B3B_4F1A_4A5F_87B7_49ECD435050C_.wvu.PrintArea" localSheetId="32" hidden="1">'MDA FGD'!$B$2:$M$100</definedName>
    <definedName name="Z_3C971B3B_4F1A_4A5F_87B7_49ECD435050C_.wvu.PrintArea" localSheetId="31" hidden="1">'MDA Sum'!$A$1:$B$70</definedName>
    <definedName name="Z_3C971B3B_4F1A_4A5F_87B7_49ECD435050C_.wvu.PrintArea" localSheetId="60" hidden="1">'RGVM FGD'!$B$2:$M$100</definedName>
    <definedName name="Z_3C971B3B_4F1A_4A5F_87B7_49ECD435050C_.wvu.PrintArea" localSheetId="59" hidden="1">'RGVM Sum'!$A$1:$B$70</definedName>
    <definedName name="Z_3C971B3B_4F1A_4A5F_87B7_49ECD435050C_.wvu.PrintArea" localSheetId="68" hidden="1">'SHNF FGD'!$B$2:$M$100</definedName>
    <definedName name="Z_3C971B3B_4F1A_4A5F_87B7_49ECD435050C_.wvu.PrintArea" localSheetId="67" hidden="1">'SHNF Sum'!$A$1:$B$70</definedName>
    <definedName name="Z_3C971B3B_4F1A_4A5F_87B7_49ECD435050C_.wvu.PrintArea" localSheetId="12" hidden="1">'Smmy FGD'!$B$2:$M$1010</definedName>
    <definedName name="Z_3C971B3B_4F1A_4A5F_87B7_49ECD435050C_.wvu.PrintArea" localSheetId="11" hidden="1">'Smmy Sum'!$A$1:$B$83</definedName>
    <definedName name="Z_3C971B3B_4F1A_4A5F_87B7_49ECD435050C_.wvu.PrintArea" localSheetId="16" hidden="1">'SWM FGD'!$B$2:$M$100</definedName>
    <definedName name="Z_3C971B3B_4F1A_4A5F_87B7_49ECD435050C_.wvu.PrintArea" localSheetId="15" hidden="1">'SWM Sum'!$A$1:$B$70</definedName>
    <definedName name="Z_3C971B3B_4F1A_4A5F_87B7_49ECD435050C_.wvu.PrintArea" localSheetId="40" hidden="1">'TAMHSC FGD'!$B$2:$M$100</definedName>
    <definedName name="Z_3C971B3B_4F1A_4A5F_87B7_49ECD435050C_.wvu.PrintArea" localSheetId="39" hidden="1">'TAMHSC Sum'!$A$1:$B$70</definedName>
    <definedName name="Z_3C971B3B_4F1A_4A5F_87B7_49ECD435050C_.wvu.PrintArea" localSheetId="36" hidden="1">'THC FGD'!$B$2:$M$100</definedName>
    <definedName name="Z_3C971B3B_4F1A_4A5F_87B7_49ECD435050C_.wvu.PrintArea" localSheetId="35" hidden="1">'THC Sum'!$A$1:$B$70</definedName>
    <definedName name="Z_3C971B3B_4F1A_4A5F_87B7_49ECD435050C_.wvu.PrintArea" localSheetId="48" hidden="1">'TTUHSC FGD'!$B$2:$M$100</definedName>
    <definedName name="Z_3C971B3B_4F1A_4A5F_87B7_49ECD435050C_.wvu.PrintArea" localSheetId="47" hidden="1">'TTUHSC Sum'!$A$1:$B$70</definedName>
    <definedName name="Z_3C971B3B_4F1A_4A5F_87B7_49ECD435050C_.wvu.PrintArea" localSheetId="52" hidden="1">'TTUHSCEP FGD'!$B$2:$M$100</definedName>
    <definedName name="Z_3C971B3B_4F1A_4A5F_87B7_49ECD435050C_.wvu.PrintArea" localSheetId="51" hidden="1">'TTUHSCEP Sum'!$A$1:$B$70</definedName>
    <definedName name="Z_3C971B3B_4F1A_4A5F_87B7_49ECD435050C_.wvu.PrintArea" localSheetId="64" hidden="1">'UHM FGD'!$B$2:$M$100</definedName>
    <definedName name="Z_3C971B3B_4F1A_4A5F_87B7_49ECD435050C_.wvu.PrintArea" localSheetId="63" hidden="1">'UHM Sum'!$A$1:$B$70</definedName>
    <definedName name="Z_3C971B3B_4F1A_4A5F_87B7_49ECD435050C_.wvu.PrintArea" localSheetId="43" hidden="1">'UNTHS1 Sum'!$A$1:$B$70</definedName>
    <definedName name="Z_3C971B3B_4F1A_4A5F_87B7_49ECD435050C_.wvu.PrintArea" localSheetId="76" hidden="1">'UNTHSC FGD'!$B$2:$M$100</definedName>
    <definedName name="Z_3C971B3B_4F1A_4A5F_87B7_49ECD435050C_.wvu.PrintArea" localSheetId="75" hidden="1">'UNTHSC Sum'!$A$1:$B$70</definedName>
    <definedName name="Z_3C971B3B_4F1A_4A5F_87B7_49ECD435050C_.wvu.PrintArea" localSheetId="44" hidden="1">'UNTHSC1 FGD'!$B$2:$M$100</definedName>
    <definedName name="Z_3C971B3B_4F1A_4A5F_87B7_49ECD435050C_.wvu.PrintArea" localSheetId="72" hidden="1">'UNTHSCPM FGD'!$B$2:$M$100</definedName>
    <definedName name="Z_3C971B3B_4F1A_4A5F_87B7_49ECD435050C_.wvu.PrintArea" localSheetId="71" hidden="1">'UNTHSCPM Sum'!$A$1:$B$70</definedName>
    <definedName name="Z_4AC09102_7151_4BC1_97EC_C57915589D6D_.wvu.PrintTitles" localSheetId="81" hidden="1">[8]Midwestern!$A$1:$B$65536,[8]Midwestern!$A$1:$IV$7</definedName>
    <definedName name="Z_4AC09102_7151_4BC1_97EC_C57915589D6D_.wvu.PrintTitles" localSheetId="56" hidden="1">[8]Midwestern!$A$1:$B$65536,[8]Midwestern!$A$1:$IV$7</definedName>
    <definedName name="Z_4AC09102_7151_4BC1_97EC_C57915589D6D_.wvu.PrintTitles" localSheetId="5" hidden="1">[8]Midwestern!$A$1:$B$65536,[8]Midwestern!$A$1:$IV$7</definedName>
    <definedName name="Z_4AC09102_7151_4BC1_97EC_C57915589D6D_.wvu.PrintTitles" localSheetId="85" hidden="1">[8]Midwestern!$A$1:$B$65536,[8]Midwestern!$A$1:$IV$7</definedName>
    <definedName name="Z_4AC09102_7151_4BC1_97EC_C57915589D6D_.wvu.PrintTitles" localSheetId="2" hidden="1">[8]Midwestern!$A$1:$B$65536,[8]Midwestern!$A$1:$IV$7</definedName>
    <definedName name="Z_4AC09102_7151_4BC1_97EC_C57915589D6D_.wvu.PrintTitles" localSheetId="3" hidden="1">[8]Midwestern!$A$1:$B$65536,[8]Midwestern!$A$1:$IV$7</definedName>
    <definedName name="Z_4AC09102_7151_4BC1_97EC_C57915589D6D_.wvu.PrintTitles" localSheetId="6" hidden="1">[8]Midwestern!$A$1:$B$65536,[8]Midwestern!$A$1:$IV$7</definedName>
    <definedName name="Z_4AC09102_7151_4BC1_97EC_C57915589D6D_.wvu.PrintTitles" localSheetId="83" hidden="1">[8]Midwestern!$A$1:$B$65536,[8]Midwestern!$A$1:$IV$7</definedName>
    <definedName name="Z_4AC09102_7151_4BC1_97EC_C57915589D6D_.wvu.PrintTitles" localSheetId="84" hidden="1">[8]Midwestern!$A$1:$B$65536,[8]Midwestern!$A$1:$IV$7</definedName>
    <definedName name="Z_4AC09102_7151_4BC1_97EC_C57915589D6D_.wvu.PrintTitles" localSheetId="80" hidden="1">[8]Midwestern!$A$1:$B$65536,[8]Midwestern!$A$1:$IV$7</definedName>
    <definedName name="Z_4AC09102_7151_4BC1_97EC_C57915589D6D_.wvu.PrintTitles" localSheetId="4" hidden="1">[8]Midwestern!$A$1:$B$65536,[8]Midwestern!$A$1:$IV$7</definedName>
    <definedName name="Z_4AC09102_7151_4BC1_97EC_C57915589D6D_.wvu.PrintTitles" localSheetId="60" hidden="1">[8]Midwestern!$A$1:$B$65536,[8]Midwestern!$A$1:$IV$7</definedName>
    <definedName name="Z_4AC09102_7151_4BC1_97EC_C57915589D6D_.wvu.PrintTitles" localSheetId="68" hidden="1">[8]Midwestern!$A$1:$B$65536,[8]Midwestern!$A$1:$IV$7</definedName>
    <definedName name="Z_4AC09102_7151_4BC1_97EC_C57915589D6D_.wvu.PrintTitles" localSheetId="82" hidden="1">[8]Midwestern!$A$1:$B$65536,[8]Midwestern!$A$1:$IV$7</definedName>
    <definedName name="Z_4AC09102_7151_4BC1_97EC_C57915589D6D_.wvu.PrintTitles" localSheetId="48" hidden="1">[8]Midwestern!$A$1:$B$65536,[8]Midwestern!$A$1:$IV$7</definedName>
    <definedName name="Z_4AC09102_7151_4BC1_97EC_C57915589D6D_.wvu.PrintTitles" localSheetId="52" hidden="1">[8]Midwestern!$A$1:$B$65536,[8]Midwestern!$A$1:$IV$7</definedName>
    <definedName name="Z_4AC09102_7151_4BC1_97EC_C57915589D6D_.wvu.PrintTitles" localSheetId="64" hidden="1">[8]Midwestern!$A$1:$B$65536,[8]Midwestern!$A$1:$IV$7</definedName>
    <definedName name="Z_4AC09102_7151_4BC1_97EC_C57915589D6D_.wvu.PrintTitles" localSheetId="76" hidden="1">[8]Midwestern!$A$1:$B$65536,[8]Midwestern!$A$1:$IV$7</definedName>
    <definedName name="Z_4AC09102_7151_4BC1_97EC_C57915589D6D_.wvu.PrintTitles" localSheetId="72" hidden="1">[8]Midwestern!$A$1:$B$65536,[8]Midwestern!$A$1:$IV$7</definedName>
    <definedName name="Z_4AC09102_7151_4BC1_97EC_C57915589D6D_.wvu.PrintTitles" hidden="1">[9]Midwestern!$A$1:$B$65536,[9]Midwestern!$A$1:$IV$7</definedName>
    <definedName name="Z_59C042EE_7BE0_46D7_83D3_48C0860AA9B7_.wvu.PrintTitles" localSheetId="81" hidden="1">[8]Midwestern!$A$1:$B$65536,[8]Midwestern!$A$1:$IV$7</definedName>
    <definedName name="Z_59C042EE_7BE0_46D7_83D3_48C0860AA9B7_.wvu.PrintTitles" localSheetId="56" hidden="1">[8]Midwestern!$A$1:$B$65536,[8]Midwestern!$A$1:$IV$7</definedName>
    <definedName name="Z_59C042EE_7BE0_46D7_83D3_48C0860AA9B7_.wvu.PrintTitles" localSheetId="5" hidden="1">[8]Midwestern!$A$1:$B$65536,[8]Midwestern!$A$1:$IV$7</definedName>
    <definedName name="Z_59C042EE_7BE0_46D7_83D3_48C0860AA9B7_.wvu.PrintTitles" localSheetId="85" hidden="1">[8]Midwestern!$A$1:$B$65536,[8]Midwestern!$A$1:$IV$7</definedName>
    <definedName name="Z_59C042EE_7BE0_46D7_83D3_48C0860AA9B7_.wvu.PrintTitles" localSheetId="2" hidden="1">[8]Midwestern!$A$1:$B$65536,[8]Midwestern!$A$1:$IV$7</definedName>
    <definedName name="Z_59C042EE_7BE0_46D7_83D3_48C0860AA9B7_.wvu.PrintTitles" localSheetId="3" hidden="1">[8]Midwestern!$A$1:$B$65536,[8]Midwestern!$A$1:$IV$7</definedName>
    <definedName name="Z_59C042EE_7BE0_46D7_83D3_48C0860AA9B7_.wvu.PrintTitles" localSheetId="6" hidden="1">[8]Midwestern!$A$1:$B$65536,[8]Midwestern!$A$1:$IV$7</definedName>
    <definedName name="Z_59C042EE_7BE0_46D7_83D3_48C0860AA9B7_.wvu.PrintTitles" localSheetId="83" hidden="1">[8]Midwestern!$A$1:$B$65536,[8]Midwestern!$A$1:$IV$7</definedName>
    <definedName name="Z_59C042EE_7BE0_46D7_83D3_48C0860AA9B7_.wvu.PrintTitles" localSheetId="84" hidden="1">[8]Midwestern!$A$1:$B$65536,[8]Midwestern!$A$1:$IV$7</definedName>
    <definedName name="Z_59C042EE_7BE0_46D7_83D3_48C0860AA9B7_.wvu.PrintTitles" localSheetId="80" hidden="1">[8]Midwestern!$A$1:$B$65536,[8]Midwestern!$A$1:$IV$7</definedName>
    <definedName name="Z_59C042EE_7BE0_46D7_83D3_48C0860AA9B7_.wvu.PrintTitles" localSheetId="4" hidden="1">[8]Midwestern!$A$1:$B$65536,[8]Midwestern!$A$1:$IV$7</definedName>
    <definedName name="Z_59C042EE_7BE0_46D7_83D3_48C0860AA9B7_.wvu.PrintTitles" localSheetId="60" hidden="1">[8]Midwestern!$A$1:$B$65536,[8]Midwestern!$A$1:$IV$7</definedName>
    <definedName name="Z_59C042EE_7BE0_46D7_83D3_48C0860AA9B7_.wvu.PrintTitles" localSheetId="68" hidden="1">[8]Midwestern!$A$1:$B$65536,[8]Midwestern!$A$1:$IV$7</definedName>
    <definedName name="Z_59C042EE_7BE0_46D7_83D3_48C0860AA9B7_.wvu.PrintTitles" localSheetId="82" hidden="1">[8]Midwestern!$A$1:$B$65536,[8]Midwestern!$A$1:$IV$7</definedName>
    <definedName name="Z_59C042EE_7BE0_46D7_83D3_48C0860AA9B7_.wvu.PrintTitles" localSheetId="48" hidden="1">[8]Midwestern!$A$1:$B$65536,[8]Midwestern!$A$1:$IV$7</definedName>
    <definedName name="Z_59C042EE_7BE0_46D7_83D3_48C0860AA9B7_.wvu.PrintTitles" localSheetId="52" hidden="1">[8]Midwestern!$A$1:$B$65536,[8]Midwestern!$A$1:$IV$7</definedName>
    <definedName name="Z_59C042EE_7BE0_46D7_83D3_48C0860AA9B7_.wvu.PrintTitles" localSheetId="64" hidden="1">[8]Midwestern!$A$1:$B$65536,[8]Midwestern!$A$1:$IV$7</definedName>
    <definedName name="Z_59C042EE_7BE0_46D7_83D3_48C0860AA9B7_.wvu.PrintTitles" localSheetId="76" hidden="1">[8]Midwestern!$A$1:$B$65536,[8]Midwestern!$A$1:$IV$7</definedName>
    <definedName name="Z_59C042EE_7BE0_46D7_83D3_48C0860AA9B7_.wvu.PrintTitles" localSheetId="72" hidden="1">[8]Midwestern!$A$1:$B$65536,[8]Midwestern!$A$1:$IV$7</definedName>
    <definedName name="Z_59C042EE_7BE0_46D7_83D3_48C0860AA9B7_.wvu.PrintTitles" hidden="1">[9]Midwestern!$A$1:$B$65536,[9]Midwestern!$A$1:$IV$7</definedName>
    <definedName name="Z_5DB122DC_76B1_4E56_B2C5_DC5B34D3FE31_.wvu.PrintTitles" localSheetId="81" hidden="1">[8]Midwestern!$A$1:$B$65536,[8]Midwestern!$A$1:$IV$7</definedName>
    <definedName name="Z_5DB122DC_76B1_4E56_B2C5_DC5B34D3FE31_.wvu.PrintTitles" localSheetId="56" hidden="1">[8]Midwestern!$A$1:$B$65536,[8]Midwestern!$A$1:$IV$7</definedName>
    <definedName name="Z_5DB122DC_76B1_4E56_B2C5_DC5B34D3FE31_.wvu.PrintTitles" localSheetId="5" hidden="1">[8]Midwestern!$A$1:$B$65536,[8]Midwestern!$A$1:$IV$7</definedName>
    <definedName name="Z_5DB122DC_76B1_4E56_B2C5_DC5B34D3FE31_.wvu.PrintTitles" localSheetId="85" hidden="1">[8]Midwestern!$A$1:$B$65536,[8]Midwestern!$A$1:$IV$7</definedName>
    <definedName name="Z_5DB122DC_76B1_4E56_B2C5_DC5B34D3FE31_.wvu.PrintTitles" localSheetId="2" hidden="1">[8]Midwestern!$A$1:$B$65536,[8]Midwestern!$A$1:$IV$7</definedName>
    <definedName name="Z_5DB122DC_76B1_4E56_B2C5_DC5B34D3FE31_.wvu.PrintTitles" localSheetId="3" hidden="1">[8]Midwestern!$A$1:$B$65536,[8]Midwestern!$A$1:$IV$7</definedName>
    <definedName name="Z_5DB122DC_76B1_4E56_B2C5_DC5B34D3FE31_.wvu.PrintTitles" localSheetId="6" hidden="1">[8]Midwestern!$A$1:$B$65536,[8]Midwestern!$A$1:$IV$7</definedName>
    <definedName name="Z_5DB122DC_76B1_4E56_B2C5_DC5B34D3FE31_.wvu.PrintTitles" localSheetId="83" hidden="1">[8]Midwestern!$A$1:$B$65536,[8]Midwestern!$A$1:$IV$7</definedName>
    <definedName name="Z_5DB122DC_76B1_4E56_B2C5_DC5B34D3FE31_.wvu.PrintTitles" localSheetId="84" hidden="1">[8]Midwestern!$A$1:$B$65536,[8]Midwestern!$A$1:$IV$7</definedName>
    <definedName name="Z_5DB122DC_76B1_4E56_B2C5_DC5B34D3FE31_.wvu.PrintTitles" localSheetId="80" hidden="1">[8]Midwestern!$A$1:$B$65536,[8]Midwestern!$A$1:$IV$7</definedName>
    <definedName name="Z_5DB122DC_76B1_4E56_B2C5_DC5B34D3FE31_.wvu.PrintTitles" localSheetId="4" hidden="1">[8]Midwestern!$A$1:$B$65536,[8]Midwestern!$A$1:$IV$7</definedName>
    <definedName name="Z_5DB122DC_76B1_4E56_B2C5_DC5B34D3FE31_.wvu.PrintTitles" localSheetId="60" hidden="1">[8]Midwestern!$A$1:$B$65536,[8]Midwestern!$A$1:$IV$7</definedName>
    <definedName name="Z_5DB122DC_76B1_4E56_B2C5_DC5B34D3FE31_.wvu.PrintTitles" localSheetId="68" hidden="1">[8]Midwestern!$A$1:$B$65536,[8]Midwestern!$A$1:$IV$7</definedName>
    <definedName name="Z_5DB122DC_76B1_4E56_B2C5_DC5B34D3FE31_.wvu.PrintTitles" localSheetId="82" hidden="1">[8]Midwestern!$A$1:$B$65536,[8]Midwestern!$A$1:$IV$7</definedName>
    <definedName name="Z_5DB122DC_76B1_4E56_B2C5_DC5B34D3FE31_.wvu.PrintTitles" localSheetId="48" hidden="1">[8]Midwestern!$A$1:$B$65536,[8]Midwestern!$A$1:$IV$7</definedName>
    <definedName name="Z_5DB122DC_76B1_4E56_B2C5_DC5B34D3FE31_.wvu.PrintTitles" localSheetId="52" hidden="1">[8]Midwestern!$A$1:$B$65536,[8]Midwestern!$A$1:$IV$7</definedName>
    <definedName name="Z_5DB122DC_76B1_4E56_B2C5_DC5B34D3FE31_.wvu.PrintTitles" localSheetId="64" hidden="1">[8]Midwestern!$A$1:$B$65536,[8]Midwestern!$A$1:$IV$7</definedName>
    <definedName name="Z_5DB122DC_76B1_4E56_B2C5_DC5B34D3FE31_.wvu.PrintTitles" localSheetId="76" hidden="1">[8]Midwestern!$A$1:$B$65536,[8]Midwestern!$A$1:$IV$7</definedName>
    <definedName name="Z_5DB122DC_76B1_4E56_B2C5_DC5B34D3FE31_.wvu.PrintTitles" localSheetId="72" hidden="1">[8]Midwestern!$A$1:$B$65536,[8]Midwestern!$A$1:$IV$7</definedName>
    <definedName name="Z_5DB122DC_76B1_4E56_B2C5_DC5B34D3FE31_.wvu.PrintTitles" hidden="1">[9]Midwestern!$A$1:$B$65536,[9]Midwestern!$A$1:$IV$7</definedName>
    <definedName name="Z_7E968537_F35A_46C0_AAAE_B8F2523DE409_.wvu.PrintTitles" localSheetId="81" hidden="1">[8]Midwestern!$A$1:$B$65536,[8]Midwestern!$A$1:$IV$7</definedName>
    <definedName name="Z_7E968537_F35A_46C0_AAAE_B8F2523DE409_.wvu.PrintTitles" localSheetId="56" hidden="1">[8]Midwestern!$A$1:$B$65536,[8]Midwestern!$A$1:$IV$7</definedName>
    <definedName name="Z_7E968537_F35A_46C0_AAAE_B8F2523DE409_.wvu.PrintTitles" localSheetId="5" hidden="1">[8]Midwestern!$A$1:$B$65536,[8]Midwestern!$A$1:$IV$7</definedName>
    <definedName name="Z_7E968537_F35A_46C0_AAAE_B8F2523DE409_.wvu.PrintTitles" localSheetId="85" hidden="1">[8]Midwestern!$A$1:$B$65536,[8]Midwestern!$A$1:$IV$7</definedName>
    <definedName name="Z_7E968537_F35A_46C0_AAAE_B8F2523DE409_.wvu.PrintTitles" localSheetId="2" hidden="1">[8]Midwestern!$A$1:$B$65536,[8]Midwestern!$A$1:$IV$7</definedName>
    <definedName name="Z_7E968537_F35A_46C0_AAAE_B8F2523DE409_.wvu.PrintTitles" localSheetId="3" hidden="1">[8]Midwestern!$A$1:$B$65536,[8]Midwestern!$A$1:$IV$7</definedName>
    <definedName name="Z_7E968537_F35A_46C0_AAAE_B8F2523DE409_.wvu.PrintTitles" localSheetId="6" hidden="1">[8]Midwestern!$A$1:$B$65536,[8]Midwestern!$A$1:$IV$7</definedName>
    <definedName name="Z_7E968537_F35A_46C0_AAAE_B8F2523DE409_.wvu.PrintTitles" localSheetId="83" hidden="1">[8]Midwestern!$A$1:$B$65536,[8]Midwestern!$A$1:$IV$7</definedName>
    <definedName name="Z_7E968537_F35A_46C0_AAAE_B8F2523DE409_.wvu.PrintTitles" localSheetId="84" hidden="1">[8]Midwestern!$A$1:$B$65536,[8]Midwestern!$A$1:$IV$7</definedName>
    <definedName name="Z_7E968537_F35A_46C0_AAAE_B8F2523DE409_.wvu.PrintTitles" localSheetId="80" hidden="1">[8]Midwestern!$A$1:$B$65536,[8]Midwestern!$A$1:$IV$7</definedName>
    <definedName name="Z_7E968537_F35A_46C0_AAAE_B8F2523DE409_.wvu.PrintTitles" localSheetId="4" hidden="1">[8]Midwestern!$A$1:$B$65536,[8]Midwestern!$A$1:$IV$7</definedName>
    <definedName name="Z_7E968537_F35A_46C0_AAAE_B8F2523DE409_.wvu.PrintTitles" localSheetId="60" hidden="1">[8]Midwestern!$A$1:$B$65536,[8]Midwestern!$A$1:$IV$7</definedName>
    <definedName name="Z_7E968537_F35A_46C0_AAAE_B8F2523DE409_.wvu.PrintTitles" localSheetId="68" hidden="1">[8]Midwestern!$A$1:$B$65536,[8]Midwestern!$A$1:$IV$7</definedName>
    <definedName name="Z_7E968537_F35A_46C0_AAAE_B8F2523DE409_.wvu.PrintTitles" localSheetId="82" hidden="1">[8]Midwestern!$A$1:$B$65536,[8]Midwestern!$A$1:$IV$7</definedName>
    <definedName name="Z_7E968537_F35A_46C0_AAAE_B8F2523DE409_.wvu.PrintTitles" localSheetId="48" hidden="1">[8]Midwestern!$A$1:$B$65536,[8]Midwestern!$A$1:$IV$7</definedName>
    <definedName name="Z_7E968537_F35A_46C0_AAAE_B8F2523DE409_.wvu.PrintTitles" localSheetId="52" hidden="1">[8]Midwestern!$A$1:$B$65536,[8]Midwestern!$A$1:$IV$7</definedName>
    <definedName name="Z_7E968537_F35A_46C0_AAAE_B8F2523DE409_.wvu.PrintTitles" localSheetId="64" hidden="1">[8]Midwestern!$A$1:$B$65536,[8]Midwestern!$A$1:$IV$7</definedName>
    <definedName name="Z_7E968537_F35A_46C0_AAAE_B8F2523DE409_.wvu.PrintTitles" localSheetId="76" hidden="1">[8]Midwestern!$A$1:$B$65536,[8]Midwestern!$A$1:$IV$7</definedName>
    <definedName name="Z_7E968537_F35A_46C0_AAAE_B8F2523DE409_.wvu.PrintTitles" localSheetId="72" hidden="1">[8]Midwestern!$A$1:$B$65536,[8]Midwestern!$A$1:$IV$7</definedName>
    <definedName name="Z_7E968537_F35A_46C0_AAAE_B8F2523DE409_.wvu.PrintTitles" hidden="1">[9]Midwestern!$A$1:$B$65536,[9]Midwestern!$A$1:$IV$7</definedName>
    <definedName name="Z_999D944D_85B2_4CAE_97DA_DC2EB4BF0AB0_.wvu.PrintTitles" localSheetId="81" hidden="1">[8]Midwestern!$A$1:$B$65536,[8]Midwestern!$A$1:$IV$7</definedName>
    <definedName name="Z_999D944D_85B2_4CAE_97DA_DC2EB4BF0AB0_.wvu.PrintTitles" localSheetId="56" hidden="1">[8]Midwestern!$A$1:$B$65536,[8]Midwestern!$A$1:$IV$7</definedName>
    <definedName name="Z_999D944D_85B2_4CAE_97DA_DC2EB4BF0AB0_.wvu.PrintTitles" localSheetId="5" hidden="1">[8]Midwestern!$A$1:$B$65536,[8]Midwestern!$A$1:$IV$7</definedName>
    <definedName name="Z_999D944D_85B2_4CAE_97DA_DC2EB4BF0AB0_.wvu.PrintTitles" localSheetId="85" hidden="1">[8]Midwestern!$A$1:$B$65536,[8]Midwestern!$A$1:$IV$7</definedName>
    <definedName name="Z_999D944D_85B2_4CAE_97DA_DC2EB4BF0AB0_.wvu.PrintTitles" localSheetId="2" hidden="1">[8]Midwestern!$A$1:$B$65536,[8]Midwestern!$A$1:$IV$7</definedName>
    <definedName name="Z_999D944D_85B2_4CAE_97DA_DC2EB4BF0AB0_.wvu.PrintTitles" localSheetId="3" hidden="1">[8]Midwestern!$A$1:$B$65536,[8]Midwestern!$A$1:$IV$7</definedName>
    <definedName name="Z_999D944D_85B2_4CAE_97DA_DC2EB4BF0AB0_.wvu.PrintTitles" localSheetId="6" hidden="1">[8]Midwestern!$A$1:$B$65536,[8]Midwestern!$A$1:$IV$7</definedName>
    <definedName name="Z_999D944D_85B2_4CAE_97DA_DC2EB4BF0AB0_.wvu.PrintTitles" localSheetId="83" hidden="1">[8]Midwestern!$A$1:$B$65536,[8]Midwestern!$A$1:$IV$7</definedName>
    <definedName name="Z_999D944D_85B2_4CAE_97DA_DC2EB4BF0AB0_.wvu.PrintTitles" localSheetId="84" hidden="1">[8]Midwestern!$A$1:$B$65536,[8]Midwestern!$A$1:$IV$7</definedName>
    <definedName name="Z_999D944D_85B2_4CAE_97DA_DC2EB4BF0AB0_.wvu.PrintTitles" localSheetId="80" hidden="1">[8]Midwestern!$A$1:$B$65536,[8]Midwestern!$A$1:$IV$7</definedName>
    <definedName name="Z_999D944D_85B2_4CAE_97DA_DC2EB4BF0AB0_.wvu.PrintTitles" localSheetId="4" hidden="1">[8]Midwestern!$A$1:$B$65536,[8]Midwestern!$A$1:$IV$7</definedName>
    <definedName name="Z_999D944D_85B2_4CAE_97DA_DC2EB4BF0AB0_.wvu.PrintTitles" localSheetId="60" hidden="1">[8]Midwestern!$A$1:$B$65536,[8]Midwestern!$A$1:$IV$7</definedName>
    <definedName name="Z_999D944D_85B2_4CAE_97DA_DC2EB4BF0AB0_.wvu.PrintTitles" localSheetId="68" hidden="1">[8]Midwestern!$A$1:$B$65536,[8]Midwestern!$A$1:$IV$7</definedName>
    <definedName name="Z_999D944D_85B2_4CAE_97DA_DC2EB4BF0AB0_.wvu.PrintTitles" localSheetId="82" hidden="1">[8]Midwestern!$A$1:$B$65536,[8]Midwestern!$A$1:$IV$7</definedName>
    <definedName name="Z_999D944D_85B2_4CAE_97DA_DC2EB4BF0AB0_.wvu.PrintTitles" localSheetId="48" hidden="1">[8]Midwestern!$A$1:$B$65536,[8]Midwestern!$A$1:$IV$7</definedName>
    <definedName name="Z_999D944D_85B2_4CAE_97DA_DC2EB4BF0AB0_.wvu.PrintTitles" localSheetId="52" hidden="1">[8]Midwestern!$A$1:$B$65536,[8]Midwestern!$A$1:$IV$7</definedName>
    <definedName name="Z_999D944D_85B2_4CAE_97DA_DC2EB4BF0AB0_.wvu.PrintTitles" localSheetId="64" hidden="1">[8]Midwestern!$A$1:$B$65536,[8]Midwestern!$A$1:$IV$7</definedName>
    <definedName name="Z_999D944D_85B2_4CAE_97DA_DC2EB4BF0AB0_.wvu.PrintTitles" localSheetId="76" hidden="1">[8]Midwestern!$A$1:$B$65536,[8]Midwestern!$A$1:$IV$7</definedName>
    <definedName name="Z_999D944D_85B2_4CAE_97DA_DC2EB4BF0AB0_.wvu.PrintTitles" localSheetId="72" hidden="1">[8]Midwestern!$A$1:$B$65536,[8]Midwestern!$A$1:$IV$7</definedName>
    <definedName name="Z_999D944D_85B2_4CAE_97DA_DC2EB4BF0AB0_.wvu.PrintTitles" hidden="1">[9]Midwestern!$A$1:$B$65536,[9]Midwestern!$A$1:$IV$7</definedName>
    <definedName name="Z_9A9AF875_8B7A_4EA5_9837_BF2AFF98C487_.wvu.PrintTitles" localSheetId="81" hidden="1">[8]Midwestern!$A$1:$B$65536,[8]Midwestern!$A$1:$IV$7</definedName>
    <definedName name="Z_9A9AF875_8B7A_4EA5_9837_BF2AFF98C487_.wvu.PrintTitles" localSheetId="56" hidden="1">[8]Midwestern!$A$1:$B$65536,[8]Midwestern!$A$1:$IV$7</definedName>
    <definedName name="Z_9A9AF875_8B7A_4EA5_9837_BF2AFF98C487_.wvu.PrintTitles" localSheetId="5" hidden="1">[8]Midwestern!$A$1:$B$65536,[8]Midwestern!$A$1:$IV$7</definedName>
    <definedName name="Z_9A9AF875_8B7A_4EA5_9837_BF2AFF98C487_.wvu.PrintTitles" localSheetId="85" hidden="1">[8]Midwestern!$A$1:$B$65536,[8]Midwestern!$A$1:$IV$7</definedName>
    <definedName name="Z_9A9AF875_8B7A_4EA5_9837_BF2AFF98C487_.wvu.PrintTitles" localSheetId="2" hidden="1">[8]Midwestern!$A$1:$B$65536,[8]Midwestern!$A$1:$IV$7</definedName>
    <definedName name="Z_9A9AF875_8B7A_4EA5_9837_BF2AFF98C487_.wvu.PrintTitles" localSheetId="3" hidden="1">[8]Midwestern!$A$1:$B$65536,[8]Midwestern!$A$1:$IV$7</definedName>
    <definedName name="Z_9A9AF875_8B7A_4EA5_9837_BF2AFF98C487_.wvu.PrintTitles" localSheetId="6" hidden="1">[8]Midwestern!$A$1:$B$65536,[8]Midwestern!$A$1:$IV$7</definedName>
    <definedName name="Z_9A9AF875_8B7A_4EA5_9837_BF2AFF98C487_.wvu.PrintTitles" localSheetId="83" hidden="1">[8]Midwestern!$A$1:$B$65536,[8]Midwestern!$A$1:$IV$7</definedName>
    <definedName name="Z_9A9AF875_8B7A_4EA5_9837_BF2AFF98C487_.wvu.PrintTitles" localSheetId="84" hidden="1">[8]Midwestern!$A$1:$B$65536,[8]Midwestern!$A$1:$IV$7</definedName>
    <definedName name="Z_9A9AF875_8B7A_4EA5_9837_BF2AFF98C487_.wvu.PrintTitles" localSheetId="80" hidden="1">[8]Midwestern!$A$1:$B$65536,[8]Midwestern!$A$1:$IV$7</definedName>
    <definedName name="Z_9A9AF875_8B7A_4EA5_9837_BF2AFF98C487_.wvu.PrintTitles" localSheetId="4" hidden="1">[8]Midwestern!$A$1:$B$65536,[8]Midwestern!$A$1:$IV$7</definedName>
    <definedName name="Z_9A9AF875_8B7A_4EA5_9837_BF2AFF98C487_.wvu.PrintTitles" localSheetId="60" hidden="1">[8]Midwestern!$A$1:$B$65536,[8]Midwestern!$A$1:$IV$7</definedName>
    <definedName name="Z_9A9AF875_8B7A_4EA5_9837_BF2AFF98C487_.wvu.PrintTitles" localSheetId="68" hidden="1">[8]Midwestern!$A$1:$B$65536,[8]Midwestern!$A$1:$IV$7</definedName>
    <definedName name="Z_9A9AF875_8B7A_4EA5_9837_BF2AFF98C487_.wvu.PrintTitles" localSheetId="82" hidden="1">[8]Midwestern!$A$1:$B$65536,[8]Midwestern!$A$1:$IV$7</definedName>
    <definedName name="Z_9A9AF875_8B7A_4EA5_9837_BF2AFF98C487_.wvu.PrintTitles" localSheetId="48" hidden="1">[8]Midwestern!$A$1:$B$65536,[8]Midwestern!$A$1:$IV$7</definedName>
    <definedName name="Z_9A9AF875_8B7A_4EA5_9837_BF2AFF98C487_.wvu.PrintTitles" localSheetId="52" hidden="1">[8]Midwestern!$A$1:$B$65536,[8]Midwestern!$A$1:$IV$7</definedName>
    <definedName name="Z_9A9AF875_8B7A_4EA5_9837_BF2AFF98C487_.wvu.PrintTitles" localSheetId="64" hidden="1">[8]Midwestern!$A$1:$B$65536,[8]Midwestern!$A$1:$IV$7</definedName>
    <definedName name="Z_9A9AF875_8B7A_4EA5_9837_BF2AFF98C487_.wvu.PrintTitles" localSheetId="76" hidden="1">[8]Midwestern!$A$1:$B$65536,[8]Midwestern!$A$1:$IV$7</definedName>
    <definedName name="Z_9A9AF875_8B7A_4EA5_9837_BF2AFF98C487_.wvu.PrintTitles" localSheetId="72" hidden="1">[8]Midwestern!$A$1:$B$65536,[8]Midwestern!$A$1:$IV$7</definedName>
    <definedName name="Z_9A9AF875_8B7A_4EA5_9837_BF2AFF98C487_.wvu.PrintTitles" hidden="1">[9]Midwestern!$A$1:$B$65536,[9]Midwestern!$A$1:$IV$7</definedName>
    <definedName name="Z_A81C0C90_8FC5_4D90_88FE_F0BCC0ABCCB0_.wvu.PrintArea" localSheetId="55" hidden="1">'AUSM Sum'!$A$1:$B$70</definedName>
    <definedName name="Z_A81C0C90_8FC5_4D90_88FE_F0BCC0ABCCB0_.wvu.PrintArea" localSheetId="23" hidden="1">'HSH Sum'!$A$1:$B$70</definedName>
    <definedName name="Z_A81C0C90_8FC5_4D90_88FE_F0BCC0ABCCB0_.wvu.PrintArea" localSheetId="27" hidden="1">'HSSA Sum'!$A$1:$B$70</definedName>
    <definedName name="Z_A81C0C90_8FC5_4D90_88FE_F0BCC0ABCCB0_.wvu.PrintArea" localSheetId="19" hidden="1">'MBG Sum'!$A$1:$B$70</definedName>
    <definedName name="Z_A81C0C90_8FC5_4D90_88FE_F0BCC0ABCCB0_.wvu.PrintArea" localSheetId="31" hidden="1">'MDA Sum'!$A$1:$B$70</definedName>
    <definedName name="Z_A81C0C90_8FC5_4D90_88FE_F0BCC0ABCCB0_.wvu.PrintArea" localSheetId="59" hidden="1">'RGVM Sum'!$A$1:$B$70</definedName>
    <definedName name="Z_A81C0C90_8FC5_4D90_88FE_F0BCC0ABCCB0_.wvu.PrintArea" localSheetId="67" hidden="1">'SHNF Sum'!$A$1:$B$70</definedName>
    <definedName name="Z_A81C0C90_8FC5_4D90_88FE_F0BCC0ABCCB0_.wvu.PrintArea" localSheetId="11" hidden="1">'Smmy Sum'!$A$1:$B$83</definedName>
    <definedName name="Z_A81C0C90_8FC5_4D90_88FE_F0BCC0ABCCB0_.wvu.PrintArea" localSheetId="15" hidden="1">'SWM Sum'!$A$1:$B$70</definedName>
    <definedName name="Z_A81C0C90_8FC5_4D90_88FE_F0BCC0ABCCB0_.wvu.PrintArea" localSheetId="39" hidden="1">'TAMHSC Sum'!$A$1:$B$70</definedName>
    <definedName name="Z_A81C0C90_8FC5_4D90_88FE_F0BCC0ABCCB0_.wvu.PrintArea" localSheetId="35" hidden="1">'THC Sum'!$A$1:$B$70</definedName>
    <definedName name="Z_A81C0C90_8FC5_4D90_88FE_F0BCC0ABCCB0_.wvu.PrintArea" localSheetId="47" hidden="1">'TTUHSC Sum'!$A$1:$B$70</definedName>
    <definedName name="Z_A81C0C90_8FC5_4D90_88FE_F0BCC0ABCCB0_.wvu.PrintArea" localSheetId="51" hidden="1">'TTUHSCEP Sum'!$A$1:$B$70</definedName>
    <definedName name="Z_A81C0C90_8FC5_4D90_88FE_F0BCC0ABCCB0_.wvu.PrintArea" localSheetId="63" hidden="1">'UHM Sum'!$A$1:$B$70</definedName>
    <definedName name="Z_A81C0C90_8FC5_4D90_88FE_F0BCC0ABCCB0_.wvu.PrintArea" localSheetId="43" hidden="1">'UNTHS1 Sum'!$A$1:$B$70</definedName>
    <definedName name="Z_A81C0C90_8FC5_4D90_88FE_F0BCC0ABCCB0_.wvu.PrintArea" localSheetId="75" hidden="1">'UNTHSC Sum'!$A$1:$B$70</definedName>
    <definedName name="Z_A81C0C90_8FC5_4D90_88FE_F0BCC0ABCCB0_.wvu.PrintArea" localSheetId="71" hidden="1">'UNTHSCPM Sum'!$A$1:$B$70</definedName>
    <definedName name="Z_AEEC638C_8A91_43C3_A958_A71F7CE9122F_.wvu.Cols" localSheetId="55" hidden="1">'AUSM Sum'!#REF!,'AUSM Sum'!#REF!,'AUSM Sum'!#REF!,'AUSM Sum'!#REF!,'AUSM Sum'!#REF!,'AUSM Sum'!#REF!,'AUSM Sum'!#REF!,'AUSM Sum'!#REF!,'AUSM Sum'!#REF!</definedName>
    <definedName name="Z_AEEC638C_8A91_43C3_A958_A71F7CE9122F_.wvu.Cols" localSheetId="23" hidden="1">'HSH Sum'!#REF!,'HSH Sum'!#REF!,'HSH Sum'!#REF!,'HSH Sum'!#REF!,'HSH Sum'!#REF!,'HSH Sum'!#REF!,'HSH Sum'!#REF!,'HSH Sum'!#REF!,'HSH Sum'!#REF!</definedName>
    <definedName name="Z_AEEC638C_8A91_43C3_A958_A71F7CE9122F_.wvu.Cols" localSheetId="27" hidden="1">'HSSA Sum'!#REF!,'HSSA Sum'!#REF!,'HSSA Sum'!#REF!,'HSSA Sum'!#REF!,'HSSA Sum'!#REF!,'HSSA Sum'!#REF!,'HSSA Sum'!#REF!,'HSSA Sum'!#REF!,'HSSA Sum'!#REF!</definedName>
    <definedName name="Z_AEEC638C_8A91_43C3_A958_A71F7CE9122F_.wvu.Cols" localSheetId="19" hidden="1">'MBG Sum'!#REF!,'MBG Sum'!#REF!,'MBG Sum'!#REF!,'MBG Sum'!#REF!,'MBG Sum'!#REF!,'MBG Sum'!#REF!,'MBG Sum'!#REF!,'MBG Sum'!#REF!,'MBG Sum'!#REF!</definedName>
    <definedName name="Z_AEEC638C_8A91_43C3_A958_A71F7CE9122F_.wvu.Cols" localSheetId="31" hidden="1">'MDA Sum'!#REF!,'MDA Sum'!#REF!,'MDA Sum'!#REF!,'MDA Sum'!#REF!,'MDA Sum'!#REF!,'MDA Sum'!#REF!,'MDA Sum'!#REF!,'MDA Sum'!#REF!,'MDA Sum'!#REF!</definedName>
    <definedName name="Z_AEEC638C_8A91_43C3_A958_A71F7CE9122F_.wvu.Cols" localSheetId="59" hidden="1">'RGVM Sum'!#REF!,'RGVM Sum'!#REF!,'RGVM Sum'!#REF!,'RGVM Sum'!#REF!,'RGVM Sum'!#REF!,'RGVM Sum'!#REF!,'RGVM Sum'!#REF!,'RGVM Sum'!#REF!,'RGVM Sum'!#REF!</definedName>
    <definedName name="Z_AEEC638C_8A91_43C3_A958_A71F7CE9122F_.wvu.Cols" localSheetId="67" hidden="1">'SHNF Sum'!#REF!,'SHNF Sum'!#REF!,'SHNF Sum'!#REF!,'SHNF Sum'!#REF!,'SHNF Sum'!#REF!,'SHNF Sum'!#REF!,'SHNF Sum'!#REF!,'SHNF Sum'!#REF!,'SHNF Sum'!#REF!</definedName>
    <definedName name="Z_AEEC638C_8A91_43C3_A958_A71F7CE9122F_.wvu.Cols" localSheetId="9" hidden="1">'Smmy HRI SbS'!#REF!,'Smmy HRI SbS'!#REF!,'Smmy HRI SbS'!#REF!,'Smmy HRI SbS'!#REF!,'Smmy HRI SbS'!#REF!,'Smmy HRI SbS'!#REF!,'Smmy HRI SbS'!#REF!,'Smmy HRI SbS'!#REF!,'Smmy HRI SbS'!#REF!</definedName>
    <definedName name="Z_AEEC638C_8A91_43C3_A958_A71F7CE9122F_.wvu.Cols" localSheetId="11" hidden="1">'Smmy Sum'!#REF!,'Smmy Sum'!#REF!,'Smmy Sum'!#REF!,'Smmy Sum'!#REF!,'Smmy Sum'!#REF!,'Smmy Sum'!#REF!,'Smmy Sum'!#REF!,'Smmy Sum'!#REF!,'Smmy Sum'!#REF!</definedName>
    <definedName name="Z_AEEC638C_8A91_43C3_A958_A71F7CE9122F_.wvu.Cols" localSheetId="15" hidden="1">'SWM Sum'!#REF!,'SWM Sum'!#REF!,'SWM Sum'!#REF!,'SWM Sum'!#REF!,'SWM Sum'!#REF!,'SWM Sum'!#REF!,'SWM Sum'!#REF!,'SWM Sum'!#REF!,'SWM Sum'!#REF!</definedName>
    <definedName name="Z_AEEC638C_8A91_43C3_A958_A71F7CE9122F_.wvu.Cols" localSheetId="39" hidden="1">'TAMHSC Sum'!#REF!,'TAMHSC Sum'!#REF!,'TAMHSC Sum'!#REF!,'TAMHSC Sum'!#REF!,'TAMHSC Sum'!#REF!,'TAMHSC Sum'!#REF!,'TAMHSC Sum'!#REF!,'TAMHSC Sum'!#REF!,'TAMHSC Sum'!#REF!</definedName>
    <definedName name="Z_AEEC638C_8A91_43C3_A958_A71F7CE9122F_.wvu.Cols" localSheetId="35" hidden="1">'THC Sum'!#REF!,'THC Sum'!#REF!,'THC Sum'!#REF!,'THC Sum'!#REF!,'THC Sum'!#REF!,'THC Sum'!#REF!,'THC Sum'!#REF!,'THC Sum'!#REF!,'THC Sum'!#REF!</definedName>
    <definedName name="Z_AEEC638C_8A91_43C3_A958_A71F7CE9122F_.wvu.Cols" localSheetId="47" hidden="1">'TTUHSC Sum'!#REF!,'TTUHSC Sum'!#REF!,'TTUHSC Sum'!#REF!,'TTUHSC Sum'!#REF!,'TTUHSC Sum'!#REF!,'TTUHSC Sum'!#REF!,'TTUHSC Sum'!#REF!,'TTUHSC Sum'!#REF!,'TTUHSC Sum'!#REF!</definedName>
    <definedName name="Z_AEEC638C_8A91_43C3_A958_A71F7CE9122F_.wvu.Cols" localSheetId="51" hidden="1">'TTUHSCEP Sum'!#REF!,'TTUHSCEP Sum'!#REF!,'TTUHSCEP Sum'!#REF!,'TTUHSCEP Sum'!#REF!,'TTUHSCEP Sum'!#REF!,'TTUHSCEP Sum'!#REF!,'TTUHSCEP Sum'!#REF!,'TTUHSCEP Sum'!#REF!,'TTUHSCEP Sum'!#REF!</definedName>
    <definedName name="Z_AEEC638C_8A91_43C3_A958_A71F7CE9122F_.wvu.Cols" localSheetId="63" hidden="1">'UHM Sum'!#REF!,'UHM Sum'!#REF!,'UHM Sum'!#REF!,'UHM Sum'!#REF!,'UHM Sum'!#REF!,'UHM Sum'!#REF!,'UHM Sum'!#REF!,'UHM Sum'!#REF!,'UHM Sum'!#REF!</definedName>
    <definedName name="Z_AEEC638C_8A91_43C3_A958_A71F7CE9122F_.wvu.Cols" localSheetId="43" hidden="1">'UNTHS1 Sum'!#REF!,'UNTHS1 Sum'!#REF!,'UNTHS1 Sum'!#REF!,'UNTHS1 Sum'!#REF!,'UNTHS1 Sum'!#REF!,'UNTHS1 Sum'!#REF!,'UNTHS1 Sum'!#REF!,'UNTHS1 Sum'!#REF!,'UNTHS1 Sum'!#REF!</definedName>
    <definedName name="Z_AEEC638C_8A91_43C3_A958_A71F7CE9122F_.wvu.Cols" localSheetId="75" hidden="1">'UNTHSC Sum'!#REF!,'UNTHSC Sum'!#REF!,'UNTHSC Sum'!#REF!,'UNTHSC Sum'!#REF!,'UNTHSC Sum'!#REF!,'UNTHSC Sum'!#REF!,'UNTHSC Sum'!#REF!,'UNTHSC Sum'!#REF!,'UNTHSC Sum'!#REF!</definedName>
    <definedName name="Z_AEEC638C_8A91_43C3_A958_A71F7CE9122F_.wvu.Cols" localSheetId="71" hidden="1">'UNTHSCPM Sum'!#REF!,'UNTHSCPM Sum'!#REF!,'UNTHSCPM Sum'!#REF!,'UNTHSCPM Sum'!#REF!,'UNTHSCPM Sum'!#REF!,'UNTHSCPM Sum'!#REF!,'UNTHSCPM Sum'!#REF!,'UNTHSCPM Sum'!#REF!,'UNTHSCPM Sum'!#REF!</definedName>
    <definedName name="Z_C63CB8F7_18C4_4A70_94EC_26C8D6B5C80F_.wvu.PrintTitles" localSheetId="81" hidden="1">[8]Midwestern!$A$1:$B$65536,[8]Midwestern!$A$1:$IV$7</definedName>
    <definedName name="Z_C63CB8F7_18C4_4A70_94EC_26C8D6B5C80F_.wvu.PrintTitles" localSheetId="56" hidden="1">[8]Midwestern!$A$1:$B$65536,[8]Midwestern!$A$1:$IV$7</definedName>
    <definedName name="Z_C63CB8F7_18C4_4A70_94EC_26C8D6B5C80F_.wvu.PrintTitles" localSheetId="5" hidden="1">[8]Midwestern!$A$1:$B$65536,[8]Midwestern!$A$1:$IV$7</definedName>
    <definedName name="Z_C63CB8F7_18C4_4A70_94EC_26C8D6B5C80F_.wvu.PrintTitles" localSheetId="85" hidden="1">[8]Midwestern!$A$1:$B$65536,[8]Midwestern!$A$1:$IV$7</definedName>
    <definedName name="Z_C63CB8F7_18C4_4A70_94EC_26C8D6B5C80F_.wvu.PrintTitles" localSheetId="2" hidden="1">[8]Midwestern!$A$1:$B$65536,[8]Midwestern!$A$1:$IV$7</definedName>
    <definedName name="Z_C63CB8F7_18C4_4A70_94EC_26C8D6B5C80F_.wvu.PrintTitles" localSheetId="3" hidden="1">[8]Midwestern!$A$1:$B$65536,[8]Midwestern!$A$1:$IV$7</definedName>
    <definedName name="Z_C63CB8F7_18C4_4A70_94EC_26C8D6B5C80F_.wvu.PrintTitles" localSheetId="6" hidden="1">[8]Midwestern!$A$1:$B$65536,[8]Midwestern!$A$1:$IV$7</definedName>
    <definedName name="Z_C63CB8F7_18C4_4A70_94EC_26C8D6B5C80F_.wvu.PrintTitles" localSheetId="83" hidden="1">[8]Midwestern!$A$1:$B$65536,[8]Midwestern!$A$1:$IV$7</definedName>
    <definedName name="Z_C63CB8F7_18C4_4A70_94EC_26C8D6B5C80F_.wvu.PrintTitles" localSheetId="84" hidden="1">[8]Midwestern!$A$1:$B$65536,[8]Midwestern!$A$1:$IV$7</definedName>
    <definedName name="Z_C63CB8F7_18C4_4A70_94EC_26C8D6B5C80F_.wvu.PrintTitles" localSheetId="80" hidden="1">[8]Midwestern!$A$1:$B$65536,[8]Midwestern!$A$1:$IV$7</definedName>
    <definedName name="Z_C63CB8F7_18C4_4A70_94EC_26C8D6B5C80F_.wvu.PrintTitles" localSheetId="4" hidden="1">[8]Midwestern!$A$1:$B$65536,[8]Midwestern!$A$1:$IV$7</definedName>
    <definedName name="Z_C63CB8F7_18C4_4A70_94EC_26C8D6B5C80F_.wvu.PrintTitles" localSheetId="60" hidden="1">[8]Midwestern!$A$1:$B$65536,[8]Midwestern!$A$1:$IV$7</definedName>
    <definedName name="Z_C63CB8F7_18C4_4A70_94EC_26C8D6B5C80F_.wvu.PrintTitles" localSheetId="68" hidden="1">[8]Midwestern!$A$1:$B$65536,[8]Midwestern!$A$1:$IV$7</definedName>
    <definedName name="Z_C63CB8F7_18C4_4A70_94EC_26C8D6B5C80F_.wvu.PrintTitles" localSheetId="82" hidden="1">[8]Midwestern!$A$1:$B$65536,[8]Midwestern!$A$1:$IV$7</definedName>
    <definedName name="Z_C63CB8F7_18C4_4A70_94EC_26C8D6B5C80F_.wvu.PrintTitles" localSheetId="48" hidden="1">[8]Midwestern!$A$1:$B$65536,[8]Midwestern!$A$1:$IV$7</definedName>
    <definedName name="Z_C63CB8F7_18C4_4A70_94EC_26C8D6B5C80F_.wvu.PrintTitles" localSheetId="52" hidden="1">[8]Midwestern!$A$1:$B$65536,[8]Midwestern!$A$1:$IV$7</definedName>
    <definedName name="Z_C63CB8F7_18C4_4A70_94EC_26C8D6B5C80F_.wvu.PrintTitles" localSheetId="64" hidden="1">[8]Midwestern!$A$1:$B$65536,[8]Midwestern!$A$1:$IV$7</definedName>
    <definedName name="Z_C63CB8F7_18C4_4A70_94EC_26C8D6B5C80F_.wvu.PrintTitles" localSheetId="76" hidden="1">[8]Midwestern!$A$1:$B$65536,[8]Midwestern!$A$1:$IV$7</definedName>
    <definedName name="Z_C63CB8F7_18C4_4A70_94EC_26C8D6B5C80F_.wvu.PrintTitles" localSheetId="72" hidden="1">[8]Midwestern!$A$1:$B$65536,[8]Midwestern!$A$1:$IV$7</definedName>
    <definedName name="Z_C63CB8F7_18C4_4A70_94EC_26C8D6B5C80F_.wvu.PrintTitles" hidden="1">[9]Midwestern!$A$1:$B$65536,[9]Midwestern!$A$1:$IV$7</definedName>
    <definedName name="Z_CD28C8E9_3CF9_4B7E_BA5C_9BCC30B9DAC7_.wvu.PrintArea" localSheetId="55" hidden="1">'AUSM Sum'!$A$1:$B$70</definedName>
    <definedName name="Z_CD28C8E9_3CF9_4B7E_BA5C_9BCC30B9DAC7_.wvu.PrintArea" localSheetId="23" hidden="1">'HSH Sum'!$A$1:$B$70</definedName>
    <definedName name="Z_CD28C8E9_3CF9_4B7E_BA5C_9BCC30B9DAC7_.wvu.PrintArea" localSheetId="27" hidden="1">'HSSA Sum'!$A$1:$B$70</definedName>
    <definedName name="Z_CD28C8E9_3CF9_4B7E_BA5C_9BCC30B9DAC7_.wvu.PrintArea" localSheetId="19" hidden="1">'MBG Sum'!$A$1:$B$70</definedName>
    <definedName name="Z_CD28C8E9_3CF9_4B7E_BA5C_9BCC30B9DAC7_.wvu.PrintArea" localSheetId="31" hidden="1">'MDA Sum'!$A$1:$B$70</definedName>
    <definedName name="Z_CD28C8E9_3CF9_4B7E_BA5C_9BCC30B9DAC7_.wvu.PrintArea" localSheetId="59" hidden="1">'RGVM Sum'!$A$1:$B$70</definedName>
    <definedName name="Z_CD28C8E9_3CF9_4B7E_BA5C_9BCC30B9DAC7_.wvu.PrintArea" localSheetId="67" hidden="1">'SHNF Sum'!$A$1:$B$70</definedName>
    <definedName name="Z_CD28C8E9_3CF9_4B7E_BA5C_9BCC30B9DAC7_.wvu.PrintArea" localSheetId="11" hidden="1">'Smmy Sum'!$A$1:$B$83</definedName>
    <definedName name="Z_CD28C8E9_3CF9_4B7E_BA5C_9BCC30B9DAC7_.wvu.PrintArea" localSheetId="15" hidden="1">'SWM Sum'!$A$1:$B$70</definedName>
    <definedName name="Z_CD28C8E9_3CF9_4B7E_BA5C_9BCC30B9DAC7_.wvu.PrintArea" localSheetId="39" hidden="1">'TAMHSC Sum'!$A$1:$B$70</definedName>
    <definedName name="Z_CD28C8E9_3CF9_4B7E_BA5C_9BCC30B9DAC7_.wvu.PrintArea" localSheetId="35" hidden="1">'THC Sum'!$A$1:$B$70</definedName>
    <definedName name="Z_CD28C8E9_3CF9_4B7E_BA5C_9BCC30B9DAC7_.wvu.PrintArea" localSheetId="47" hidden="1">'TTUHSC Sum'!$A$1:$B$70</definedName>
    <definedName name="Z_CD28C8E9_3CF9_4B7E_BA5C_9BCC30B9DAC7_.wvu.PrintArea" localSheetId="51" hidden="1">'TTUHSCEP Sum'!$A$1:$B$70</definedName>
    <definedName name="Z_CD28C8E9_3CF9_4B7E_BA5C_9BCC30B9DAC7_.wvu.PrintArea" localSheetId="63" hidden="1">'UHM Sum'!$A$1:$B$70</definedName>
    <definedName name="Z_CD28C8E9_3CF9_4B7E_BA5C_9BCC30B9DAC7_.wvu.PrintArea" localSheetId="43" hidden="1">'UNTHS1 Sum'!$A$1:$B$70</definedName>
    <definedName name="Z_CD28C8E9_3CF9_4B7E_BA5C_9BCC30B9DAC7_.wvu.PrintArea" localSheetId="75" hidden="1">'UNTHSC Sum'!$A$1:$B$70</definedName>
    <definedName name="Z_CD28C8E9_3CF9_4B7E_BA5C_9BCC30B9DAC7_.wvu.PrintArea" localSheetId="71" hidden="1">'UNTHSCPM Sum'!$A$1:$B$70</definedName>
    <definedName name="Z_D8EE2E15_379C_4027_9083_08D90932B4E1_.wvu.PrintTitles" localSheetId="81" hidden="1">[8]Midwestern!$A$1:$B$65536,[8]Midwestern!$A$1:$IV$7</definedName>
    <definedName name="Z_D8EE2E15_379C_4027_9083_08D90932B4E1_.wvu.PrintTitles" localSheetId="56" hidden="1">[8]Midwestern!$A$1:$B$65536,[8]Midwestern!$A$1:$IV$7</definedName>
    <definedName name="Z_D8EE2E15_379C_4027_9083_08D90932B4E1_.wvu.PrintTitles" localSheetId="5" hidden="1">[8]Midwestern!$A$1:$B$65536,[8]Midwestern!$A$1:$IV$7</definedName>
    <definedName name="Z_D8EE2E15_379C_4027_9083_08D90932B4E1_.wvu.PrintTitles" localSheetId="85" hidden="1">[8]Midwestern!$A$1:$B$65536,[8]Midwestern!$A$1:$IV$7</definedName>
    <definedName name="Z_D8EE2E15_379C_4027_9083_08D90932B4E1_.wvu.PrintTitles" localSheetId="2" hidden="1">[8]Midwestern!$A$1:$B$65536,[8]Midwestern!$A$1:$IV$7</definedName>
    <definedName name="Z_D8EE2E15_379C_4027_9083_08D90932B4E1_.wvu.PrintTitles" localSheetId="3" hidden="1">[8]Midwestern!$A$1:$B$65536,[8]Midwestern!$A$1:$IV$7</definedName>
    <definedName name="Z_D8EE2E15_379C_4027_9083_08D90932B4E1_.wvu.PrintTitles" localSheetId="6" hidden="1">[8]Midwestern!$A$1:$B$65536,[8]Midwestern!$A$1:$IV$7</definedName>
    <definedName name="Z_D8EE2E15_379C_4027_9083_08D90932B4E1_.wvu.PrintTitles" localSheetId="83" hidden="1">[8]Midwestern!$A$1:$B$65536,[8]Midwestern!$A$1:$IV$7</definedName>
    <definedName name="Z_D8EE2E15_379C_4027_9083_08D90932B4E1_.wvu.PrintTitles" localSheetId="84" hidden="1">[8]Midwestern!$A$1:$B$65536,[8]Midwestern!$A$1:$IV$7</definedName>
    <definedName name="Z_D8EE2E15_379C_4027_9083_08D90932B4E1_.wvu.PrintTitles" localSheetId="80" hidden="1">[8]Midwestern!$A$1:$B$65536,[8]Midwestern!$A$1:$IV$7</definedName>
    <definedName name="Z_D8EE2E15_379C_4027_9083_08D90932B4E1_.wvu.PrintTitles" localSheetId="4" hidden="1">[8]Midwestern!$A$1:$B$65536,[8]Midwestern!$A$1:$IV$7</definedName>
    <definedName name="Z_D8EE2E15_379C_4027_9083_08D90932B4E1_.wvu.PrintTitles" localSheetId="60" hidden="1">[8]Midwestern!$A$1:$B$65536,[8]Midwestern!$A$1:$IV$7</definedName>
    <definedName name="Z_D8EE2E15_379C_4027_9083_08D90932B4E1_.wvu.PrintTitles" localSheetId="68" hidden="1">[8]Midwestern!$A$1:$B$65536,[8]Midwestern!$A$1:$IV$7</definedName>
    <definedName name="Z_D8EE2E15_379C_4027_9083_08D90932B4E1_.wvu.PrintTitles" localSheetId="82" hidden="1">[8]Midwestern!$A$1:$B$65536,[8]Midwestern!$A$1:$IV$7</definedName>
    <definedName name="Z_D8EE2E15_379C_4027_9083_08D90932B4E1_.wvu.PrintTitles" localSheetId="48" hidden="1">[8]Midwestern!$A$1:$B$65536,[8]Midwestern!$A$1:$IV$7</definedName>
    <definedName name="Z_D8EE2E15_379C_4027_9083_08D90932B4E1_.wvu.PrintTitles" localSheetId="52" hidden="1">[8]Midwestern!$A$1:$B$65536,[8]Midwestern!$A$1:$IV$7</definedName>
    <definedName name="Z_D8EE2E15_379C_4027_9083_08D90932B4E1_.wvu.PrintTitles" localSheetId="64" hidden="1">[8]Midwestern!$A$1:$B$65536,[8]Midwestern!$A$1:$IV$7</definedName>
    <definedName name="Z_D8EE2E15_379C_4027_9083_08D90932B4E1_.wvu.PrintTitles" localSheetId="76" hidden="1">[8]Midwestern!$A$1:$B$65536,[8]Midwestern!$A$1:$IV$7</definedName>
    <definedName name="Z_D8EE2E15_379C_4027_9083_08D90932B4E1_.wvu.PrintTitles" localSheetId="72" hidden="1">[8]Midwestern!$A$1:$B$65536,[8]Midwestern!$A$1:$IV$7</definedName>
    <definedName name="Z_D8EE2E15_379C_4027_9083_08D90932B4E1_.wvu.PrintTitles" hidden="1">[9]Midwestern!$A$1:$B$65536,[9]Midwestern!$A$1:$IV$7</definedName>
    <definedName name="Z_DA0A9440_6679_42F3_94BC_92F66D8750AF_.wvu.Cols" localSheetId="55" hidden="1">'AUSM Sum'!#REF!,'AUSM Sum'!#REF!,'AUSM Sum'!#REF!,'AUSM Sum'!#REF!,'AUSM Sum'!#REF!,'AUSM Sum'!#REF!,'AUSM Sum'!#REF!,'AUSM Sum'!#REF!,'AUSM Sum'!#REF!</definedName>
    <definedName name="Z_DA0A9440_6679_42F3_94BC_92F66D8750AF_.wvu.Cols" localSheetId="23" hidden="1">'HSH Sum'!#REF!,'HSH Sum'!#REF!,'HSH Sum'!#REF!,'HSH Sum'!#REF!,'HSH Sum'!#REF!,'HSH Sum'!#REF!,'HSH Sum'!#REF!,'HSH Sum'!#REF!,'HSH Sum'!#REF!</definedName>
    <definedName name="Z_DA0A9440_6679_42F3_94BC_92F66D8750AF_.wvu.Cols" localSheetId="27" hidden="1">'HSSA Sum'!#REF!,'HSSA Sum'!#REF!,'HSSA Sum'!#REF!,'HSSA Sum'!#REF!,'HSSA Sum'!#REF!,'HSSA Sum'!#REF!,'HSSA Sum'!#REF!,'HSSA Sum'!#REF!,'HSSA Sum'!#REF!</definedName>
    <definedName name="Z_DA0A9440_6679_42F3_94BC_92F66D8750AF_.wvu.Cols" localSheetId="19" hidden="1">'MBG Sum'!#REF!,'MBG Sum'!#REF!,'MBG Sum'!#REF!,'MBG Sum'!#REF!,'MBG Sum'!#REF!,'MBG Sum'!#REF!,'MBG Sum'!#REF!,'MBG Sum'!#REF!,'MBG Sum'!#REF!</definedName>
    <definedName name="Z_DA0A9440_6679_42F3_94BC_92F66D8750AF_.wvu.Cols" localSheetId="31" hidden="1">'MDA Sum'!#REF!,'MDA Sum'!#REF!,'MDA Sum'!#REF!,'MDA Sum'!#REF!,'MDA Sum'!#REF!,'MDA Sum'!#REF!,'MDA Sum'!#REF!,'MDA Sum'!#REF!,'MDA Sum'!#REF!</definedName>
    <definedName name="Z_DA0A9440_6679_42F3_94BC_92F66D8750AF_.wvu.Cols" localSheetId="59" hidden="1">'RGVM Sum'!#REF!,'RGVM Sum'!#REF!,'RGVM Sum'!#REF!,'RGVM Sum'!#REF!,'RGVM Sum'!#REF!,'RGVM Sum'!#REF!,'RGVM Sum'!#REF!,'RGVM Sum'!#REF!,'RGVM Sum'!#REF!</definedName>
    <definedName name="Z_DA0A9440_6679_42F3_94BC_92F66D8750AF_.wvu.Cols" localSheetId="67" hidden="1">'SHNF Sum'!#REF!,'SHNF Sum'!#REF!,'SHNF Sum'!#REF!,'SHNF Sum'!#REF!,'SHNF Sum'!#REF!,'SHNF Sum'!#REF!,'SHNF Sum'!#REF!,'SHNF Sum'!#REF!,'SHNF Sum'!#REF!</definedName>
    <definedName name="Z_DA0A9440_6679_42F3_94BC_92F66D8750AF_.wvu.Cols" localSheetId="9" hidden="1">'Smmy HRI SbS'!#REF!,'Smmy HRI SbS'!#REF!,'Smmy HRI SbS'!#REF!,'Smmy HRI SbS'!#REF!,'Smmy HRI SbS'!#REF!,'Smmy HRI SbS'!#REF!,'Smmy HRI SbS'!#REF!,'Smmy HRI SbS'!#REF!,'Smmy HRI SbS'!#REF!</definedName>
    <definedName name="Z_DA0A9440_6679_42F3_94BC_92F66D8750AF_.wvu.Cols" localSheetId="11" hidden="1">'Smmy Sum'!#REF!,'Smmy Sum'!#REF!,'Smmy Sum'!#REF!,'Smmy Sum'!#REF!,'Smmy Sum'!#REF!,'Smmy Sum'!#REF!,'Smmy Sum'!#REF!,'Smmy Sum'!#REF!,'Smmy Sum'!#REF!</definedName>
    <definedName name="Z_DA0A9440_6679_42F3_94BC_92F66D8750AF_.wvu.Cols" localSheetId="15" hidden="1">'SWM Sum'!#REF!,'SWM Sum'!#REF!,'SWM Sum'!#REF!,'SWM Sum'!#REF!,'SWM Sum'!#REF!,'SWM Sum'!#REF!,'SWM Sum'!#REF!,'SWM Sum'!#REF!,'SWM Sum'!#REF!</definedName>
    <definedName name="Z_DA0A9440_6679_42F3_94BC_92F66D8750AF_.wvu.Cols" localSheetId="39" hidden="1">'TAMHSC Sum'!#REF!,'TAMHSC Sum'!#REF!,'TAMHSC Sum'!#REF!,'TAMHSC Sum'!#REF!,'TAMHSC Sum'!#REF!,'TAMHSC Sum'!#REF!,'TAMHSC Sum'!#REF!,'TAMHSC Sum'!#REF!,'TAMHSC Sum'!#REF!</definedName>
    <definedName name="Z_DA0A9440_6679_42F3_94BC_92F66D8750AF_.wvu.Cols" localSheetId="35" hidden="1">'THC Sum'!#REF!,'THC Sum'!#REF!,'THC Sum'!#REF!,'THC Sum'!#REF!,'THC Sum'!#REF!,'THC Sum'!#REF!,'THC Sum'!#REF!,'THC Sum'!#REF!,'THC Sum'!#REF!</definedName>
    <definedName name="Z_DA0A9440_6679_42F3_94BC_92F66D8750AF_.wvu.Cols" localSheetId="47" hidden="1">'TTUHSC Sum'!#REF!,'TTUHSC Sum'!#REF!,'TTUHSC Sum'!#REF!,'TTUHSC Sum'!#REF!,'TTUHSC Sum'!#REF!,'TTUHSC Sum'!#REF!,'TTUHSC Sum'!#REF!,'TTUHSC Sum'!#REF!,'TTUHSC Sum'!#REF!</definedName>
    <definedName name="Z_DA0A9440_6679_42F3_94BC_92F66D8750AF_.wvu.Cols" localSheetId="51" hidden="1">'TTUHSCEP Sum'!#REF!,'TTUHSCEP Sum'!#REF!,'TTUHSCEP Sum'!#REF!,'TTUHSCEP Sum'!#REF!,'TTUHSCEP Sum'!#REF!,'TTUHSCEP Sum'!#REF!,'TTUHSCEP Sum'!#REF!,'TTUHSCEP Sum'!#REF!,'TTUHSCEP Sum'!#REF!</definedName>
    <definedName name="Z_DA0A9440_6679_42F3_94BC_92F66D8750AF_.wvu.Cols" localSheetId="63" hidden="1">'UHM Sum'!#REF!,'UHM Sum'!#REF!,'UHM Sum'!#REF!,'UHM Sum'!#REF!,'UHM Sum'!#REF!,'UHM Sum'!#REF!,'UHM Sum'!#REF!,'UHM Sum'!#REF!,'UHM Sum'!#REF!</definedName>
    <definedName name="Z_DA0A9440_6679_42F3_94BC_92F66D8750AF_.wvu.Cols" localSheetId="43" hidden="1">'UNTHS1 Sum'!#REF!,'UNTHS1 Sum'!#REF!,'UNTHS1 Sum'!#REF!,'UNTHS1 Sum'!#REF!,'UNTHS1 Sum'!#REF!,'UNTHS1 Sum'!#REF!,'UNTHS1 Sum'!#REF!,'UNTHS1 Sum'!#REF!,'UNTHS1 Sum'!#REF!</definedName>
    <definedName name="Z_DA0A9440_6679_42F3_94BC_92F66D8750AF_.wvu.Cols" localSheetId="75" hidden="1">'UNTHSC Sum'!#REF!,'UNTHSC Sum'!#REF!,'UNTHSC Sum'!#REF!,'UNTHSC Sum'!#REF!,'UNTHSC Sum'!#REF!,'UNTHSC Sum'!#REF!,'UNTHSC Sum'!#REF!,'UNTHSC Sum'!#REF!,'UNTHSC Sum'!#REF!</definedName>
    <definedName name="Z_DA0A9440_6679_42F3_94BC_92F66D8750AF_.wvu.Cols" localSheetId="71" hidden="1">'UNTHSCPM Sum'!#REF!,'UNTHSCPM Sum'!#REF!,'UNTHSCPM Sum'!#REF!,'UNTHSCPM Sum'!#REF!,'UNTHSCPM Sum'!#REF!,'UNTHSCPM Sum'!#REF!,'UNTHSCPM Sum'!#REF!,'UNTHSCPM Sum'!#REF!,'UNTHSCPM Sum'!#REF!</definedName>
    <definedName name="Z_ECAD605C_AB83_4734_B66F_6ADEF748858F_.wvu.PrintArea" localSheetId="54" hidden="1">'AUSM Chts'!$A$1:$A$137</definedName>
    <definedName name="Z_ECAD605C_AB83_4734_B66F_6ADEF748858F_.wvu.PrintArea" localSheetId="56" hidden="1">'AUSM FGD'!$B$2:$M$100</definedName>
    <definedName name="Z_ECAD605C_AB83_4734_B66F_6ADEF748858F_.wvu.PrintArea" localSheetId="55" hidden="1">'AUSM Sum'!$A$1:$B$70</definedName>
    <definedName name="Z_ECAD605C_AB83_4734_B66F_6ADEF748858F_.wvu.PrintArea" localSheetId="22" hidden="1">'HSH Chts'!$A$1:$A$137</definedName>
    <definedName name="Z_ECAD605C_AB83_4734_B66F_6ADEF748858F_.wvu.PrintArea" localSheetId="24" hidden="1">'HSH FGD'!$B$2:$M$100</definedName>
    <definedName name="Z_ECAD605C_AB83_4734_B66F_6ADEF748858F_.wvu.PrintArea" localSheetId="23" hidden="1">'HSH Sum'!$A$1:$B$70</definedName>
    <definedName name="Z_ECAD605C_AB83_4734_B66F_6ADEF748858F_.wvu.PrintArea" localSheetId="26" hidden="1">'HSSA Chts'!$A$1:$A$137</definedName>
    <definedName name="Z_ECAD605C_AB83_4734_B66F_6ADEF748858F_.wvu.PrintArea" localSheetId="28" hidden="1">'HSSA FGD'!$B$2:$M$100</definedName>
    <definedName name="Z_ECAD605C_AB83_4734_B66F_6ADEF748858F_.wvu.PrintArea" localSheetId="27" hidden="1">'HSSA Sum'!$A$1:$B$70</definedName>
    <definedName name="Z_ECAD605C_AB83_4734_B66F_6ADEF748858F_.wvu.PrintArea" localSheetId="18" hidden="1">'MBG Chts'!$A$1:$A$137</definedName>
    <definedName name="Z_ECAD605C_AB83_4734_B66F_6ADEF748858F_.wvu.PrintArea" localSheetId="20" hidden="1">'MBG FGD'!$B$2:$M$100</definedName>
    <definedName name="Z_ECAD605C_AB83_4734_B66F_6ADEF748858F_.wvu.PrintArea" localSheetId="19" hidden="1">'MBG Sum'!$A$1:$B$70</definedName>
    <definedName name="Z_ECAD605C_AB83_4734_B66F_6ADEF748858F_.wvu.PrintArea" localSheetId="30" hidden="1">'MDA Chts'!$A$1:$A$137</definedName>
    <definedName name="Z_ECAD605C_AB83_4734_B66F_6ADEF748858F_.wvu.PrintArea" localSheetId="32" hidden="1">'MDA FGD'!$B$2:$M$100</definedName>
    <definedName name="Z_ECAD605C_AB83_4734_B66F_6ADEF748858F_.wvu.PrintArea" localSheetId="31" hidden="1">'MDA Sum'!$A$1:$B$70</definedName>
    <definedName name="Z_ECAD605C_AB83_4734_B66F_6ADEF748858F_.wvu.PrintArea" localSheetId="58" hidden="1">'RGVM Chts'!$A$1:$A$137</definedName>
    <definedName name="Z_ECAD605C_AB83_4734_B66F_6ADEF748858F_.wvu.PrintArea" localSheetId="60" hidden="1">'RGVM FGD'!$B$2:$M$100</definedName>
    <definedName name="Z_ECAD605C_AB83_4734_B66F_6ADEF748858F_.wvu.PrintArea" localSheetId="59" hidden="1">'RGVM Sum'!$A$1:$B$70</definedName>
    <definedName name="Z_ECAD605C_AB83_4734_B66F_6ADEF748858F_.wvu.PrintArea" localSheetId="66" hidden="1">'SHNF Chts'!$A$1:$A$137</definedName>
    <definedName name="Z_ECAD605C_AB83_4734_B66F_6ADEF748858F_.wvu.PrintArea" localSheetId="68" hidden="1">'SHNF FGD'!$B$2:$M$100</definedName>
    <definedName name="Z_ECAD605C_AB83_4734_B66F_6ADEF748858F_.wvu.PrintArea" localSheetId="67" hidden="1">'SHNF Sum'!$A$1:$B$70</definedName>
    <definedName name="Z_ECAD605C_AB83_4734_B66F_6ADEF748858F_.wvu.PrintArea" localSheetId="10" hidden="1">'Smmy Chts'!$A$1:$A$137</definedName>
    <definedName name="Z_ECAD605C_AB83_4734_B66F_6ADEF748858F_.wvu.PrintArea" localSheetId="12" hidden="1">'Smmy FGD'!$B$2:$M$1010</definedName>
    <definedName name="Z_ECAD605C_AB83_4734_B66F_6ADEF748858F_.wvu.PrintArea" localSheetId="11" hidden="1">'Smmy Sum'!$A$1:$B$83</definedName>
    <definedName name="Z_ECAD605C_AB83_4734_B66F_6ADEF748858F_.wvu.PrintArea" localSheetId="14" hidden="1">'SWM Chts'!$A$1:$A$137</definedName>
    <definedName name="Z_ECAD605C_AB83_4734_B66F_6ADEF748858F_.wvu.PrintArea" localSheetId="16" hidden="1">'SWM FGD'!$B$2:$M$100</definedName>
    <definedName name="Z_ECAD605C_AB83_4734_B66F_6ADEF748858F_.wvu.PrintArea" localSheetId="15" hidden="1">'SWM Sum'!$A$1:$B$70</definedName>
    <definedName name="Z_ECAD605C_AB83_4734_B66F_6ADEF748858F_.wvu.PrintArea" localSheetId="38" hidden="1">'TAMHSC Chts'!$A$1:$A$137</definedName>
    <definedName name="Z_ECAD605C_AB83_4734_B66F_6ADEF748858F_.wvu.PrintArea" localSheetId="40" hidden="1">'TAMHSC FGD'!$B$2:$M$100</definedName>
    <definedName name="Z_ECAD605C_AB83_4734_B66F_6ADEF748858F_.wvu.PrintArea" localSheetId="39" hidden="1">'TAMHSC Sum'!$A$1:$B$70</definedName>
    <definedName name="Z_ECAD605C_AB83_4734_B66F_6ADEF748858F_.wvu.PrintArea" localSheetId="34" hidden="1">'THC Chts'!$A$1:$A$137</definedName>
    <definedName name="Z_ECAD605C_AB83_4734_B66F_6ADEF748858F_.wvu.PrintArea" localSheetId="36" hidden="1">'THC FGD'!$B$2:$M$100</definedName>
    <definedName name="Z_ECAD605C_AB83_4734_B66F_6ADEF748858F_.wvu.PrintArea" localSheetId="35" hidden="1">'THC Sum'!$A$1:$B$70</definedName>
    <definedName name="Z_ECAD605C_AB83_4734_B66F_6ADEF748858F_.wvu.PrintArea" localSheetId="46" hidden="1">'TTUHSC Chts'!$A$1:$A$137</definedName>
    <definedName name="Z_ECAD605C_AB83_4734_B66F_6ADEF748858F_.wvu.PrintArea" localSheetId="48" hidden="1">'TTUHSC FGD'!$B$2:$M$100</definedName>
    <definedName name="Z_ECAD605C_AB83_4734_B66F_6ADEF748858F_.wvu.PrintArea" localSheetId="47" hidden="1">'TTUHSC Sum'!$A$1:$B$70</definedName>
    <definedName name="Z_ECAD605C_AB83_4734_B66F_6ADEF748858F_.wvu.PrintArea" localSheetId="50" hidden="1">'TTUHSCEP Chts'!$A$1:$A$137</definedName>
    <definedName name="Z_ECAD605C_AB83_4734_B66F_6ADEF748858F_.wvu.PrintArea" localSheetId="52" hidden="1">'TTUHSCEP FGD'!$B$2:$M$100</definedName>
    <definedName name="Z_ECAD605C_AB83_4734_B66F_6ADEF748858F_.wvu.PrintArea" localSheetId="51" hidden="1">'TTUHSCEP Sum'!$A$1:$B$70</definedName>
    <definedName name="Z_ECAD605C_AB83_4734_B66F_6ADEF748858F_.wvu.PrintArea" localSheetId="62" hidden="1">'UHM Chts'!$A$1:$A$137</definedName>
    <definedName name="Z_ECAD605C_AB83_4734_B66F_6ADEF748858F_.wvu.PrintArea" localSheetId="64" hidden="1">'UHM FGD'!$B$2:$M$100</definedName>
    <definedName name="Z_ECAD605C_AB83_4734_B66F_6ADEF748858F_.wvu.PrintArea" localSheetId="63" hidden="1">'UHM Sum'!$A$1:$B$70</definedName>
    <definedName name="Z_ECAD605C_AB83_4734_B66F_6ADEF748858F_.wvu.PrintArea" localSheetId="43" hidden="1">'UNTHS1 Sum'!$A$1:$B$70</definedName>
    <definedName name="Z_ECAD605C_AB83_4734_B66F_6ADEF748858F_.wvu.PrintArea" localSheetId="74" hidden="1">'UNTHSC Chts'!$A$1:$A$137</definedName>
    <definedName name="Z_ECAD605C_AB83_4734_B66F_6ADEF748858F_.wvu.PrintArea" localSheetId="76" hidden="1">'UNTHSC FGD'!$B$2:$M$100</definedName>
    <definedName name="Z_ECAD605C_AB83_4734_B66F_6ADEF748858F_.wvu.PrintArea" localSheetId="75" hidden="1">'UNTHSC Sum'!$A$1:$B$70</definedName>
    <definedName name="Z_ECAD605C_AB83_4734_B66F_6ADEF748858F_.wvu.PrintArea" localSheetId="42" hidden="1">'UNTHSC1 Chts'!$A$1:$A$137</definedName>
    <definedName name="Z_ECAD605C_AB83_4734_B66F_6ADEF748858F_.wvu.PrintArea" localSheetId="44" hidden="1">'UNTHSC1 FGD'!$B$2:$M$100</definedName>
    <definedName name="Z_ECAD605C_AB83_4734_B66F_6ADEF748858F_.wvu.PrintArea" localSheetId="70" hidden="1">'UNTHSCPM Chts'!$A$1:$A$137</definedName>
    <definedName name="Z_ECAD605C_AB83_4734_B66F_6ADEF748858F_.wvu.PrintArea" localSheetId="72" hidden="1">'UNTHSCPM FGD'!$B$2:$M$100</definedName>
    <definedName name="Z_ECAD605C_AB83_4734_B66F_6ADEF748858F_.wvu.PrintArea" localSheetId="71" hidden="1">'UNTHSCPM Sum'!$A$1:$B$70</definedName>
  </definedNames>
  <calcPr calcId="191028"/>
  <customWorkbookViews>
    <customWorkbookView name="prntcharts" guid="{ECAD605C-AB83-4734-B66F-6ADEF748858F}" maximized="1" windowWidth="1020" windowHeight="563" activeSheetId="3"/>
    <customWorkbookView name="prntsummary" guid="{A81C0C90-8FC5-4D90-88FE-F0BCC0ABCCB0}" maximized="1" windowWidth="1020" windowHeight="563" activeSheetId="1"/>
    <customWorkbookView name="prntfunddetail" guid="{3C971B3B-4F1A-4A5F-87B7-49ECD435050C}" maximized="1" windowWidth="1020" windowHeight="563" activeSheetId="8"/>
    <customWorkbookView name="Frank DuBose - Personal View" guid="{CD28C8E9-3CF9-4B7E-BA5C-9BCC30B9DAC7}" mergeInterval="0" personalView="1" maximized="1" windowWidth="796" windowHeight="43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2" i="73" l="1"/>
  <c r="R21" i="73"/>
  <c r="R20" i="73"/>
  <c r="R19" i="73"/>
  <c r="R18" i="73"/>
  <c r="R17" i="73"/>
  <c r="R16" i="73"/>
  <c r="R15" i="73"/>
  <c r="R14" i="73"/>
  <c r="R13" i="73"/>
  <c r="R12" i="73"/>
  <c r="R11" i="73"/>
  <c r="L5" i="71" l="1"/>
  <c r="J5" i="71"/>
  <c r="I24" i="101"/>
  <c r="J24" i="101"/>
  <c r="K24" i="101"/>
  <c r="L24" i="101"/>
  <c r="M24" i="101"/>
  <c r="H24" i="101"/>
  <c r="M22" i="101"/>
  <c r="L22" i="101"/>
  <c r="K22" i="101"/>
  <c r="J22" i="101"/>
  <c r="I22" i="101"/>
  <c r="H22" i="101"/>
  <c r="R22" i="97"/>
  <c r="Q22" i="97"/>
  <c r="P22" i="97"/>
  <c r="O22" i="97"/>
  <c r="L22" i="97"/>
  <c r="K22" i="97"/>
  <c r="J22" i="97"/>
  <c r="I22" i="97"/>
  <c r="H22" i="97"/>
  <c r="G22" i="97"/>
  <c r="O22" i="73"/>
  <c r="N22" i="73"/>
  <c r="M22" i="73"/>
  <c r="L22" i="73"/>
  <c r="X21" i="100"/>
  <c r="W21" i="100"/>
  <c r="V21" i="100"/>
  <c r="U21" i="100"/>
  <c r="T21" i="100"/>
  <c r="S21" i="100"/>
  <c r="R21" i="100"/>
  <c r="Q21" i="100"/>
  <c r="P21" i="100"/>
  <c r="O21" i="100"/>
  <c r="N21" i="100"/>
  <c r="M21" i="100"/>
  <c r="L21" i="100"/>
  <c r="K21" i="100"/>
  <c r="J21" i="100"/>
  <c r="I21" i="100"/>
  <c r="H21" i="100"/>
  <c r="G21" i="100"/>
  <c r="F21" i="100"/>
  <c r="E21" i="100"/>
  <c r="D73" i="86"/>
  <c r="E72" i="86"/>
  <c r="D72" i="86"/>
  <c r="B72" i="86"/>
  <c r="D65" i="86"/>
  <c r="B65" i="86"/>
  <c r="D64" i="86"/>
  <c r="B64" i="86"/>
  <c r="D60" i="86"/>
  <c r="B60" i="86"/>
  <c r="D59" i="86"/>
  <c r="B59" i="86"/>
  <c r="D58" i="86"/>
  <c r="B58" i="86"/>
  <c r="D57" i="86"/>
  <c r="B57" i="86"/>
  <c r="D53" i="86"/>
  <c r="B53" i="86"/>
  <c r="D52" i="86"/>
  <c r="B52" i="86"/>
  <c r="B51" i="86"/>
  <c r="D50" i="86"/>
  <c r="B50" i="86"/>
  <c r="D49" i="86"/>
  <c r="B49" i="86"/>
  <c r="D48" i="86"/>
  <c r="B48" i="86"/>
  <c r="D107" i="85" s="1"/>
  <c r="D47" i="86"/>
  <c r="B47" i="86"/>
  <c r="D46" i="86"/>
  <c r="B46" i="86"/>
  <c r="D45" i="86"/>
  <c r="B45" i="86"/>
  <c r="D44" i="86"/>
  <c r="B44" i="86"/>
  <c r="D43" i="86"/>
  <c r="B43" i="86"/>
  <c r="D42" i="86"/>
  <c r="B42" i="86"/>
  <c r="D37" i="86"/>
  <c r="B37" i="86"/>
  <c r="D36" i="86"/>
  <c r="B36" i="86"/>
  <c r="D35" i="86"/>
  <c r="B35" i="86"/>
  <c r="D34" i="86"/>
  <c r="B34" i="86"/>
  <c r="D33" i="86"/>
  <c r="B33" i="86"/>
  <c r="D61" i="85" s="1"/>
  <c r="D32" i="86"/>
  <c r="B32" i="86"/>
  <c r="D60" i="85" s="1"/>
  <c r="D29" i="86"/>
  <c r="B29" i="86"/>
  <c r="D26" i="86"/>
  <c r="B26" i="86"/>
  <c r="D23" i="86"/>
  <c r="B23" i="86"/>
  <c r="D19" i="86"/>
  <c r="B19" i="86"/>
  <c r="D18" i="86"/>
  <c r="B18" i="86"/>
  <c r="D14" i="86"/>
  <c r="B14" i="86"/>
  <c r="D13" i="86"/>
  <c r="B13" i="86"/>
  <c r="D11" i="86"/>
  <c r="B11" i="86"/>
  <c r="D10" i="86"/>
  <c r="B10" i="86"/>
  <c r="A1" i="86"/>
  <c r="D106" i="85"/>
  <c r="D105" i="85"/>
  <c r="D104" i="85"/>
  <c r="D103" i="85"/>
  <c r="D102" i="85"/>
  <c r="D67" i="85"/>
  <c r="D66" i="85"/>
  <c r="D65" i="85"/>
  <c r="D64" i="85"/>
  <c r="D63" i="85"/>
  <c r="D62" i="85"/>
  <c r="D59" i="85"/>
  <c r="D57" i="85"/>
  <c r="D56" i="85"/>
  <c r="C56" i="85"/>
  <c r="D54" i="85"/>
  <c r="D53" i="85"/>
  <c r="D15" i="85"/>
  <c r="C14" i="85"/>
  <c r="D13" i="85"/>
  <c r="C13" i="85"/>
  <c r="C12" i="85"/>
  <c r="C11" i="85"/>
  <c r="M995" i="94"/>
  <c r="L995" i="94"/>
  <c r="K995" i="94"/>
  <c r="J995" i="94"/>
  <c r="I995" i="94"/>
  <c r="H995" i="94"/>
  <c r="G995" i="94"/>
  <c r="F995" i="94"/>
  <c r="E995" i="94"/>
  <c r="D995" i="94"/>
  <c r="B995" i="94"/>
  <c r="M981" i="94"/>
  <c r="L981" i="94"/>
  <c r="K981" i="94"/>
  <c r="J981" i="94"/>
  <c r="I981" i="94"/>
  <c r="H981" i="94"/>
  <c r="G981" i="94"/>
  <c r="F981" i="94"/>
  <c r="E981" i="94"/>
  <c r="D981" i="94"/>
  <c r="M967" i="94"/>
  <c r="L967" i="94"/>
  <c r="K967" i="94"/>
  <c r="J967" i="94"/>
  <c r="I967" i="94"/>
  <c r="H967" i="94"/>
  <c r="G967" i="94"/>
  <c r="F967" i="94"/>
  <c r="E967" i="94"/>
  <c r="D967" i="94"/>
  <c r="M953" i="94"/>
  <c r="L953" i="94"/>
  <c r="K953" i="94"/>
  <c r="J953" i="94"/>
  <c r="I953" i="94"/>
  <c r="H953" i="94"/>
  <c r="G953" i="94"/>
  <c r="F953" i="94"/>
  <c r="E953" i="94"/>
  <c r="D953" i="94"/>
  <c r="M939" i="94"/>
  <c r="L939" i="94"/>
  <c r="K939" i="94"/>
  <c r="J939" i="94"/>
  <c r="I939" i="94"/>
  <c r="H939" i="94"/>
  <c r="G939" i="94"/>
  <c r="F939" i="94"/>
  <c r="E939" i="94"/>
  <c r="D939" i="94"/>
  <c r="M925" i="94"/>
  <c r="L925" i="94"/>
  <c r="K925" i="94"/>
  <c r="J925" i="94"/>
  <c r="I925" i="94"/>
  <c r="H925" i="94"/>
  <c r="G925" i="94"/>
  <c r="F925" i="94"/>
  <c r="E925" i="94"/>
  <c r="D925" i="94"/>
  <c r="M910" i="94"/>
  <c r="L910" i="94"/>
  <c r="K910" i="94"/>
  <c r="J910" i="94"/>
  <c r="I910" i="94"/>
  <c r="H910" i="94"/>
  <c r="G910" i="94"/>
  <c r="F910" i="94"/>
  <c r="E910" i="94"/>
  <c r="D910" i="94"/>
  <c r="M895" i="94"/>
  <c r="L895" i="94"/>
  <c r="K895" i="94"/>
  <c r="J895" i="94"/>
  <c r="I895" i="94"/>
  <c r="H895" i="94"/>
  <c r="G895" i="94"/>
  <c r="F895" i="94"/>
  <c r="E895" i="94"/>
  <c r="D895" i="94"/>
  <c r="M881" i="94"/>
  <c r="L881" i="94"/>
  <c r="K881" i="94"/>
  <c r="J881" i="94"/>
  <c r="I881" i="94"/>
  <c r="H881" i="94"/>
  <c r="G881" i="94"/>
  <c r="F881" i="94"/>
  <c r="E881" i="94"/>
  <c r="D881" i="94"/>
  <c r="M867" i="94"/>
  <c r="L867" i="94"/>
  <c r="K867" i="94"/>
  <c r="J867" i="94"/>
  <c r="I867" i="94"/>
  <c r="H867" i="94"/>
  <c r="G867" i="94"/>
  <c r="F867" i="94"/>
  <c r="E867" i="94"/>
  <c r="D867" i="94"/>
  <c r="M851" i="94"/>
  <c r="L851" i="94"/>
  <c r="K851" i="94"/>
  <c r="J851" i="94"/>
  <c r="I851" i="94"/>
  <c r="H851" i="94"/>
  <c r="G851" i="94"/>
  <c r="F851" i="94"/>
  <c r="E851" i="94"/>
  <c r="D851" i="94"/>
  <c r="M837" i="94"/>
  <c r="L837" i="94"/>
  <c r="K837" i="94"/>
  <c r="J837" i="94"/>
  <c r="I837" i="94"/>
  <c r="H837" i="94"/>
  <c r="G837" i="94"/>
  <c r="F837" i="94"/>
  <c r="E837" i="94"/>
  <c r="D837" i="94"/>
  <c r="B837" i="94"/>
  <c r="M823" i="94"/>
  <c r="L823" i="94"/>
  <c r="K823" i="94"/>
  <c r="J823" i="94"/>
  <c r="I823" i="94"/>
  <c r="H823" i="94"/>
  <c r="G823" i="94"/>
  <c r="F823" i="94"/>
  <c r="E823" i="94"/>
  <c r="D823" i="94"/>
  <c r="B823" i="94"/>
  <c r="M809" i="94"/>
  <c r="L809" i="94"/>
  <c r="K809" i="94"/>
  <c r="J809" i="94"/>
  <c r="I809" i="94"/>
  <c r="H809" i="94"/>
  <c r="G809" i="94"/>
  <c r="F809" i="94"/>
  <c r="E809" i="94"/>
  <c r="D809" i="94"/>
  <c r="M795" i="94"/>
  <c r="L795" i="94"/>
  <c r="K795" i="94"/>
  <c r="J795" i="94"/>
  <c r="I795" i="94"/>
  <c r="H795" i="94"/>
  <c r="G795" i="94"/>
  <c r="F795" i="94"/>
  <c r="E795" i="94"/>
  <c r="D795" i="94"/>
  <c r="M779" i="94"/>
  <c r="L779" i="94"/>
  <c r="K779" i="94"/>
  <c r="J779" i="94"/>
  <c r="I779" i="94"/>
  <c r="H779" i="94"/>
  <c r="G779" i="94"/>
  <c r="F779" i="94"/>
  <c r="E779" i="94"/>
  <c r="D779" i="94"/>
  <c r="M765" i="94"/>
  <c r="L765" i="94"/>
  <c r="K765" i="94"/>
  <c r="J765" i="94"/>
  <c r="I765" i="94"/>
  <c r="H765" i="94"/>
  <c r="G765" i="94"/>
  <c r="F765" i="94"/>
  <c r="E765" i="94"/>
  <c r="D765" i="94"/>
  <c r="M751" i="94"/>
  <c r="L751" i="94"/>
  <c r="K751" i="94"/>
  <c r="J751" i="94"/>
  <c r="I751" i="94"/>
  <c r="H751" i="94"/>
  <c r="G751" i="94"/>
  <c r="F751" i="94"/>
  <c r="E751" i="94"/>
  <c r="D751" i="94"/>
  <c r="M737" i="94"/>
  <c r="L737" i="94"/>
  <c r="K737" i="94"/>
  <c r="J737" i="94"/>
  <c r="I737" i="94"/>
  <c r="H737" i="94"/>
  <c r="G737" i="94"/>
  <c r="F737" i="94"/>
  <c r="E737" i="94"/>
  <c r="D737" i="94"/>
  <c r="M723" i="94"/>
  <c r="L723" i="94"/>
  <c r="K723" i="94"/>
  <c r="J723" i="94"/>
  <c r="I723" i="94"/>
  <c r="H723" i="94"/>
  <c r="G723" i="94"/>
  <c r="F723" i="94"/>
  <c r="E723" i="94"/>
  <c r="D723" i="94"/>
  <c r="M709" i="94"/>
  <c r="L709" i="94"/>
  <c r="K709" i="94"/>
  <c r="J709" i="94"/>
  <c r="I709" i="94"/>
  <c r="H709" i="94"/>
  <c r="G709" i="94"/>
  <c r="F709" i="94"/>
  <c r="E709" i="94"/>
  <c r="D709" i="94"/>
  <c r="M695" i="94"/>
  <c r="L695" i="94"/>
  <c r="K695" i="94"/>
  <c r="J695" i="94"/>
  <c r="I695" i="94"/>
  <c r="H695" i="94"/>
  <c r="G695" i="94"/>
  <c r="F695" i="94"/>
  <c r="E695" i="94"/>
  <c r="D695" i="94"/>
  <c r="M681" i="94"/>
  <c r="L681" i="94"/>
  <c r="K681" i="94"/>
  <c r="J681" i="94"/>
  <c r="I681" i="94"/>
  <c r="H681" i="94"/>
  <c r="G681" i="94"/>
  <c r="F681" i="94"/>
  <c r="E681" i="94"/>
  <c r="D681" i="94"/>
  <c r="M667" i="94"/>
  <c r="L667" i="94"/>
  <c r="K667" i="94"/>
  <c r="J667" i="94"/>
  <c r="I667" i="94"/>
  <c r="H667" i="94"/>
  <c r="G667" i="94"/>
  <c r="F667" i="94"/>
  <c r="E667" i="94"/>
  <c r="D667" i="94"/>
  <c r="B667" i="94"/>
  <c r="M653" i="94"/>
  <c r="L653" i="94"/>
  <c r="K653" i="94"/>
  <c r="J653" i="94"/>
  <c r="I653" i="94"/>
  <c r="H653" i="94"/>
  <c r="G653" i="94"/>
  <c r="F653" i="94"/>
  <c r="E653" i="94"/>
  <c r="D653" i="94"/>
  <c r="B653" i="94"/>
  <c r="M639" i="94"/>
  <c r="L639" i="94"/>
  <c r="K639" i="94"/>
  <c r="J639" i="94"/>
  <c r="I639" i="94"/>
  <c r="H639" i="94"/>
  <c r="G639" i="94"/>
  <c r="F639" i="94"/>
  <c r="E639" i="94"/>
  <c r="D639" i="94"/>
  <c r="M625" i="94"/>
  <c r="L625" i="94"/>
  <c r="K625" i="94"/>
  <c r="J625" i="94"/>
  <c r="I625" i="94"/>
  <c r="H625" i="94"/>
  <c r="G625" i="94"/>
  <c r="F625" i="94"/>
  <c r="E625" i="94"/>
  <c r="D625" i="94"/>
  <c r="M611" i="94"/>
  <c r="L611" i="94"/>
  <c r="K611" i="94"/>
  <c r="J611" i="94"/>
  <c r="I611" i="94"/>
  <c r="H611" i="94"/>
  <c r="G611" i="94"/>
  <c r="F611" i="94"/>
  <c r="E611" i="94"/>
  <c r="D611" i="94"/>
  <c r="M596" i="94"/>
  <c r="L596" i="94"/>
  <c r="K596" i="94"/>
  <c r="J596" i="94"/>
  <c r="I596" i="94"/>
  <c r="H596" i="94"/>
  <c r="G596" i="94"/>
  <c r="F596" i="94"/>
  <c r="E596" i="94"/>
  <c r="D596" i="94"/>
  <c r="M582" i="94"/>
  <c r="L582" i="94"/>
  <c r="K582" i="94"/>
  <c r="J582" i="94"/>
  <c r="I582" i="94"/>
  <c r="H582" i="94"/>
  <c r="G582" i="94"/>
  <c r="F582" i="94"/>
  <c r="E582" i="94"/>
  <c r="D582" i="94"/>
  <c r="M568" i="94"/>
  <c r="L568" i="94"/>
  <c r="K568" i="94"/>
  <c r="J568" i="94"/>
  <c r="I568" i="94"/>
  <c r="H568" i="94"/>
  <c r="G568" i="94"/>
  <c r="F568" i="94"/>
  <c r="E568" i="94"/>
  <c r="D568" i="94"/>
  <c r="M554" i="94"/>
  <c r="L554" i="94"/>
  <c r="K554" i="94"/>
  <c r="J554" i="94"/>
  <c r="I554" i="94"/>
  <c r="H554" i="94"/>
  <c r="G554" i="94"/>
  <c r="F554" i="94"/>
  <c r="E554" i="94"/>
  <c r="D554" i="94"/>
  <c r="M540" i="94"/>
  <c r="L540" i="94"/>
  <c r="K540" i="94"/>
  <c r="J540" i="94"/>
  <c r="I540" i="94"/>
  <c r="H540" i="94"/>
  <c r="G540" i="94"/>
  <c r="F540" i="94"/>
  <c r="E540" i="94"/>
  <c r="D540" i="94"/>
  <c r="M526" i="94"/>
  <c r="L526" i="94"/>
  <c r="K526" i="94"/>
  <c r="J526" i="94"/>
  <c r="I526" i="94"/>
  <c r="H526" i="94"/>
  <c r="G526" i="94"/>
  <c r="F526" i="94"/>
  <c r="E526" i="94"/>
  <c r="D526" i="94"/>
  <c r="M512" i="94"/>
  <c r="L512" i="94"/>
  <c r="K512" i="94"/>
  <c r="J512" i="94"/>
  <c r="I512" i="94"/>
  <c r="H512" i="94"/>
  <c r="G512" i="94"/>
  <c r="F512" i="94"/>
  <c r="E512" i="94"/>
  <c r="D512" i="94"/>
  <c r="M498" i="94"/>
  <c r="L498" i="94"/>
  <c r="K498" i="94"/>
  <c r="J498" i="94"/>
  <c r="I498" i="94"/>
  <c r="H498" i="94"/>
  <c r="G498" i="94"/>
  <c r="F498" i="94"/>
  <c r="E498" i="94"/>
  <c r="D498" i="94"/>
  <c r="B498" i="94"/>
  <c r="M482" i="94"/>
  <c r="L482" i="94"/>
  <c r="K482" i="94"/>
  <c r="J482" i="94"/>
  <c r="I482" i="94"/>
  <c r="H482" i="94"/>
  <c r="G482" i="94"/>
  <c r="F482" i="94"/>
  <c r="E482" i="94"/>
  <c r="D482" i="94"/>
  <c r="B482" i="94"/>
  <c r="M466" i="94"/>
  <c r="L466" i="94"/>
  <c r="K466" i="94"/>
  <c r="J466" i="94"/>
  <c r="I466" i="94"/>
  <c r="H466" i="94"/>
  <c r="G466" i="94"/>
  <c r="F466" i="94"/>
  <c r="E466" i="94"/>
  <c r="D466" i="94"/>
  <c r="M450" i="94"/>
  <c r="L450" i="94"/>
  <c r="K450" i="94"/>
  <c r="J450" i="94"/>
  <c r="I450" i="94"/>
  <c r="H450" i="94"/>
  <c r="G450" i="94"/>
  <c r="F450" i="94"/>
  <c r="E450" i="94"/>
  <c r="D450" i="94"/>
  <c r="M434" i="94"/>
  <c r="L434" i="94"/>
  <c r="K434" i="94"/>
  <c r="J434" i="94"/>
  <c r="I434" i="94"/>
  <c r="H434" i="94"/>
  <c r="G434" i="94"/>
  <c r="F434" i="94"/>
  <c r="E434" i="94"/>
  <c r="D434" i="94"/>
  <c r="M419" i="94"/>
  <c r="L419" i="94"/>
  <c r="K419" i="94"/>
  <c r="J419" i="94"/>
  <c r="I419" i="94"/>
  <c r="H419" i="94"/>
  <c r="G419" i="94"/>
  <c r="F419" i="94"/>
  <c r="E419" i="94"/>
  <c r="D419" i="94"/>
  <c r="M405" i="94"/>
  <c r="L405" i="94"/>
  <c r="K405" i="94"/>
  <c r="J405" i="94"/>
  <c r="I405" i="94"/>
  <c r="H405" i="94"/>
  <c r="G405" i="94"/>
  <c r="F405" i="94"/>
  <c r="E405" i="94"/>
  <c r="D405" i="94"/>
  <c r="M391" i="94"/>
  <c r="L391" i="94"/>
  <c r="K391" i="94"/>
  <c r="J391" i="94"/>
  <c r="I391" i="94"/>
  <c r="H391" i="94"/>
  <c r="G391" i="94"/>
  <c r="F391" i="94"/>
  <c r="E391" i="94"/>
  <c r="D391" i="94"/>
  <c r="M377" i="94"/>
  <c r="L377" i="94"/>
  <c r="K377" i="94"/>
  <c r="J377" i="94"/>
  <c r="I377" i="94"/>
  <c r="H377" i="94"/>
  <c r="G377" i="94"/>
  <c r="F377" i="94"/>
  <c r="E377" i="94"/>
  <c r="D377" i="94"/>
  <c r="M363" i="94"/>
  <c r="L363" i="94"/>
  <c r="K363" i="94"/>
  <c r="J363" i="94"/>
  <c r="I363" i="94"/>
  <c r="H363" i="94"/>
  <c r="G363" i="94"/>
  <c r="F363" i="94"/>
  <c r="E363" i="94"/>
  <c r="D363" i="94"/>
  <c r="M349" i="94"/>
  <c r="L349" i="94"/>
  <c r="K349" i="94"/>
  <c r="J349" i="94"/>
  <c r="I349" i="94"/>
  <c r="H349" i="94"/>
  <c r="G349" i="94"/>
  <c r="F349" i="94"/>
  <c r="E349" i="94"/>
  <c r="D349" i="94"/>
  <c r="M335" i="94"/>
  <c r="L335" i="94"/>
  <c r="K335" i="94"/>
  <c r="J335" i="94"/>
  <c r="I335" i="94"/>
  <c r="H335" i="94"/>
  <c r="G335" i="94"/>
  <c r="F335" i="94"/>
  <c r="E335" i="94"/>
  <c r="D335" i="94"/>
  <c r="M321" i="94"/>
  <c r="L321" i="94"/>
  <c r="K321" i="94"/>
  <c r="J321" i="94"/>
  <c r="I321" i="94"/>
  <c r="H321" i="94"/>
  <c r="G321" i="94"/>
  <c r="F321" i="94"/>
  <c r="E321" i="94"/>
  <c r="D321" i="94"/>
  <c r="B321" i="94"/>
  <c r="M307" i="94"/>
  <c r="L307" i="94"/>
  <c r="K307" i="94"/>
  <c r="J307" i="94"/>
  <c r="I307" i="94"/>
  <c r="H307" i="94"/>
  <c r="G307" i="94"/>
  <c r="F307" i="94"/>
  <c r="E307" i="94"/>
  <c r="D307" i="94"/>
  <c r="B307" i="94"/>
  <c r="M293" i="94"/>
  <c r="L293" i="94"/>
  <c r="K293" i="94"/>
  <c r="J293" i="94"/>
  <c r="I293" i="94"/>
  <c r="H293" i="94"/>
  <c r="G293" i="94"/>
  <c r="F293" i="94"/>
  <c r="E293" i="94"/>
  <c r="D293" i="94"/>
  <c r="M279" i="94"/>
  <c r="L279" i="94"/>
  <c r="K279" i="94"/>
  <c r="J279" i="94"/>
  <c r="I279" i="94"/>
  <c r="H279" i="94"/>
  <c r="G279" i="94"/>
  <c r="F279" i="94"/>
  <c r="E279" i="94"/>
  <c r="D279" i="94"/>
  <c r="B279" i="94"/>
  <c r="M265" i="94"/>
  <c r="L265" i="94"/>
  <c r="K265" i="94"/>
  <c r="J265" i="94"/>
  <c r="I265" i="94"/>
  <c r="H265" i="94"/>
  <c r="G265" i="94"/>
  <c r="F265" i="94"/>
  <c r="E265" i="94"/>
  <c r="D265" i="94"/>
  <c r="M250" i="94"/>
  <c r="L250" i="94"/>
  <c r="K250" i="94"/>
  <c r="J250" i="94"/>
  <c r="I250" i="94"/>
  <c r="H250" i="94"/>
  <c r="G250" i="94"/>
  <c r="F250" i="94"/>
  <c r="E250" i="94"/>
  <c r="D250" i="94"/>
  <c r="M236" i="94"/>
  <c r="L236" i="94"/>
  <c r="K236" i="94"/>
  <c r="J236" i="94"/>
  <c r="I236" i="94"/>
  <c r="H236" i="94"/>
  <c r="G236" i="94"/>
  <c r="F236" i="94"/>
  <c r="E236" i="94"/>
  <c r="D236" i="94"/>
  <c r="M222" i="94"/>
  <c r="L222" i="94"/>
  <c r="K222" i="94"/>
  <c r="J222" i="94"/>
  <c r="I222" i="94"/>
  <c r="H222" i="94"/>
  <c r="G222" i="94"/>
  <c r="F222" i="94"/>
  <c r="E222" i="94"/>
  <c r="D222" i="94"/>
  <c r="M208" i="94"/>
  <c r="L208" i="94"/>
  <c r="K208" i="94"/>
  <c r="J208" i="94"/>
  <c r="I208" i="94"/>
  <c r="H208" i="94"/>
  <c r="G208" i="94"/>
  <c r="F208" i="94"/>
  <c r="E208" i="94"/>
  <c r="D208" i="94"/>
  <c r="M194" i="94"/>
  <c r="L194" i="94"/>
  <c r="K194" i="94"/>
  <c r="J194" i="94"/>
  <c r="I194" i="94"/>
  <c r="H194" i="94"/>
  <c r="G194" i="94"/>
  <c r="F194" i="94"/>
  <c r="E194" i="94"/>
  <c r="D194" i="94"/>
  <c r="M180" i="94"/>
  <c r="L180" i="94"/>
  <c r="K180" i="94"/>
  <c r="J180" i="94"/>
  <c r="I180" i="94"/>
  <c r="H180" i="94"/>
  <c r="G180" i="94"/>
  <c r="F180" i="94"/>
  <c r="E180" i="94"/>
  <c r="D180" i="94"/>
  <c r="M166" i="94"/>
  <c r="L166" i="94"/>
  <c r="K166" i="94"/>
  <c r="J166" i="94"/>
  <c r="I166" i="94"/>
  <c r="H166" i="94"/>
  <c r="G166" i="94"/>
  <c r="F166" i="94"/>
  <c r="E166" i="94"/>
  <c r="D166" i="94"/>
  <c r="M152" i="94"/>
  <c r="L152" i="94"/>
  <c r="K152" i="94"/>
  <c r="J152" i="94"/>
  <c r="I152" i="94"/>
  <c r="H152" i="94"/>
  <c r="G152" i="94"/>
  <c r="F152" i="94"/>
  <c r="E152" i="94"/>
  <c r="D152" i="94"/>
  <c r="B152" i="94"/>
  <c r="M138" i="94"/>
  <c r="L138" i="94"/>
  <c r="K138" i="94"/>
  <c r="J138" i="94"/>
  <c r="I138" i="94"/>
  <c r="H138" i="94"/>
  <c r="G138" i="94"/>
  <c r="F138" i="94"/>
  <c r="E138" i="94"/>
  <c r="D138" i="94"/>
  <c r="B138" i="94"/>
  <c r="M124" i="94"/>
  <c r="L124" i="94"/>
  <c r="K124" i="94"/>
  <c r="J124" i="94"/>
  <c r="I124" i="94"/>
  <c r="H124" i="94"/>
  <c r="G124" i="94"/>
  <c r="F124" i="94"/>
  <c r="E124" i="94"/>
  <c r="D124" i="94"/>
  <c r="M110" i="94"/>
  <c r="L110" i="94"/>
  <c r="K110" i="94"/>
  <c r="J110" i="94"/>
  <c r="I110" i="94"/>
  <c r="H110" i="94"/>
  <c r="G110" i="94"/>
  <c r="F110" i="94"/>
  <c r="E110" i="94"/>
  <c r="D110" i="94"/>
  <c r="B110" i="94"/>
  <c r="M96" i="94"/>
  <c r="L96" i="94"/>
  <c r="K96" i="94"/>
  <c r="J96" i="94"/>
  <c r="I96" i="94"/>
  <c r="H96" i="94"/>
  <c r="G96" i="94"/>
  <c r="F96" i="94"/>
  <c r="E96" i="94"/>
  <c r="D96" i="94"/>
  <c r="M80" i="94"/>
  <c r="L80" i="94"/>
  <c r="K80" i="94"/>
  <c r="J80" i="94"/>
  <c r="I80" i="94"/>
  <c r="H80" i="94"/>
  <c r="G80" i="94"/>
  <c r="F80" i="94"/>
  <c r="E80" i="94"/>
  <c r="D80" i="94"/>
  <c r="M66" i="94"/>
  <c r="L66" i="94"/>
  <c r="K66" i="94"/>
  <c r="J66" i="94"/>
  <c r="I66" i="94"/>
  <c r="H66" i="94"/>
  <c r="G66" i="94"/>
  <c r="F66" i="94"/>
  <c r="E66" i="94"/>
  <c r="D66" i="94"/>
  <c r="M52" i="94"/>
  <c r="L52" i="94"/>
  <c r="K52" i="94"/>
  <c r="J52" i="94"/>
  <c r="I52" i="94"/>
  <c r="H52" i="94"/>
  <c r="G52" i="94"/>
  <c r="F52" i="94"/>
  <c r="E52" i="94"/>
  <c r="D52" i="94"/>
  <c r="M38" i="94"/>
  <c r="L38" i="94"/>
  <c r="K38" i="94"/>
  <c r="J38" i="94"/>
  <c r="I38" i="94"/>
  <c r="H38" i="94"/>
  <c r="G38" i="94"/>
  <c r="F38" i="94"/>
  <c r="E38" i="94"/>
  <c r="D38" i="94"/>
  <c r="M24" i="94"/>
  <c r="L24" i="94"/>
  <c r="K24" i="94"/>
  <c r="J24" i="94"/>
  <c r="I24" i="94"/>
  <c r="H24" i="94"/>
  <c r="G24" i="94"/>
  <c r="F24" i="94"/>
  <c r="E24" i="94"/>
  <c r="D24" i="94"/>
  <c r="M10" i="94"/>
  <c r="L10" i="94"/>
  <c r="K10" i="94"/>
  <c r="J10" i="94"/>
  <c r="I10" i="94"/>
  <c r="H10" i="94"/>
  <c r="G10" i="94"/>
  <c r="F10" i="94"/>
  <c r="E10" i="94"/>
  <c r="D10" i="94"/>
  <c r="X82" i="65"/>
  <c r="X81" i="65"/>
  <c r="X71" i="65"/>
  <c r="X70" i="65"/>
  <c r="X66" i="65"/>
  <c r="X65" i="65"/>
  <c r="X64" i="65"/>
  <c r="X63" i="65"/>
  <c r="X59" i="65"/>
  <c r="X58" i="65"/>
  <c r="X57" i="65"/>
  <c r="X56" i="65"/>
  <c r="X55" i="65"/>
  <c r="X54" i="65"/>
  <c r="X53" i="65"/>
  <c r="X52" i="65"/>
  <c r="X51" i="65"/>
  <c r="X50" i="65"/>
  <c r="X49" i="65"/>
  <c r="X48" i="65"/>
  <c r="X43" i="65"/>
  <c r="X42" i="65"/>
  <c r="X41" i="65"/>
  <c r="X40" i="65"/>
  <c r="X39" i="65"/>
  <c r="X38" i="65"/>
  <c r="X35" i="65"/>
  <c r="X36" i="65" s="1"/>
  <c r="X33" i="65"/>
  <c r="X32" i="65"/>
  <c r="X29" i="65"/>
  <c r="X30" i="65" s="1"/>
  <c r="X23" i="65"/>
  <c r="X22" i="65"/>
  <c r="X19" i="65"/>
  <c r="X18" i="65"/>
  <c r="X14" i="65"/>
  <c r="X13" i="65"/>
  <c r="X11" i="65"/>
  <c r="X10" i="65"/>
  <c r="X4" i="65"/>
  <c r="J20" i="78"/>
  <c r="I20" i="78"/>
  <c r="H20" i="78"/>
  <c r="X85" i="65"/>
  <c r="X84" i="65"/>
  <c r="X83" i="65"/>
  <c r="M1029" i="94"/>
  <c r="B1029" i="94"/>
  <c r="M1015" i="94"/>
  <c r="B1015" i="94"/>
  <c r="D113" i="85"/>
  <c r="D112" i="85"/>
  <c r="D111" i="85"/>
  <c r="D110" i="85"/>
  <c r="D109" i="85"/>
  <c r="D108" i="85"/>
  <c r="E75" i="86"/>
  <c r="E74" i="86"/>
  <c r="D74" i="86"/>
  <c r="E73" i="86"/>
  <c r="B2" i="87"/>
  <c r="B851" i="94" s="1"/>
  <c r="B23" i="89"/>
  <c r="B21" i="89"/>
  <c r="B19" i="89"/>
  <c r="B17" i="89"/>
  <c r="B15" i="89"/>
  <c r="B9" i="89"/>
  <c r="B1" i="89"/>
  <c r="D19" i="79"/>
  <c r="E20" i="95"/>
  <c r="D20" i="95"/>
  <c r="AF21" i="100"/>
  <c r="AE21" i="100"/>
  <c r="AD21" i="100"/>
  <c r="AC21" i="100"/>
  <c r="AB21" i="100"/>
  <c r="AA21" i="100"/>
  <c r="Z21" i="100"/>
  <c r="Y21" i="100"/>
  <c r="V23" i="73"/>
  <c r="U23" i="73"/>
  <c r="T23" i="73"/>
  <c r="V22" i="73"/>
  <c r="U22" i="73"/>
  <c r="T22" i="73"/>
  <c r="P22" i="73"/>
  <c r="AA22" i="97"/>
  <c r="Z22" i="97"/>
  <c r="Y22" i="97"/>
  <c r="T22" i="97"/>
  <c r="S22" i="97"/>
  <c r="J15" i="81"/>
  <c r="I15" i="81"/>
  <c r="H15" i="81"/>
  <c r="G15" i="81"/>
  <c r="E15" i="81"/>
  <c r="E22" i="101"/>
  <c r="B124" i="94" l="1"/>
  <c r="B293" i="94"/>
  <c r="B466" i="94"/>
  <c r="B639" i="94"/>
  <c r="B809" i="94"/>
  <c r="B981" i="94"/>
  <c r="B450" i="94"/>
  <c r="B625" i="94"/>
  <c r="B795" i="94"/>
  <c r="B967" i="94"/>
  <c r="B96" i="94"/>
  <c r="B265" i="94"/>
  <c r="B434" i="94"/>
  <c r="B611" i="94"/>
  <c r="B779" i="94"/>
  <c r="B953" i="94"/>
  <c r="B80" i="94"/>
  <c r="B250" i="94"/>
  <c r="B419" i="94"/>
  <c r="B596" i="94"/>
  <c r="B765" i="94"/>
  <c r="B939" i="94"/>
  <c r="B66" i="94"/>
  <c r="B236" i="94"/>
  <c r="B405" i="94"/>
  <c r="B582" i="94"/>
  <c r="B751" i="94"/>
  <c r="B925" i="94"/>
  <c r="B52" i="94"/>
  <c r="B222" i="94"/>
  <c r="B391" i="94"/>
  <c r="B568" i="94"/>
  <c r="B737" i="94"/>
  <c r="B910" i="94"/>
  <c r="B38" i="94"/>
  <c r="B208" i="94"/>
  <c r="B377" i="94"/>
  <c r="B554" i="94"/>
  <c r="B723" i="94"/>
  <c r="B895" i="94"/>
  <c r="A6" i="57"/>
  <c r="B24" i="94"/>
  <c r="B194" i="94"/>
  <c r="B363" i="94"/>
  <c r="B540" i="94"/>
  <c r="B709" i="94"/>
  <c r="B881" i="94"/>
  <c r="B10" i="94"/>
  <c r="B180" i="94"/>
  <c r="B349" i="94"/>
  <c r="B526" i="94"/>
  <c r="B695" i="94"/>
  <c r="B867" i="94"/>
  <c r="B166" i="94"/>
  <c r="B335" i="94"/>
  <c r="B512" i="94"/>
  <c r="B681" i="94"/>
  <c r="J63" i="71"/>
  <c r="Z24" i="73"/>
  <c r="L6" i="71"/>
  <c r="D10" i="62" l="1"/>
  <c r="D11" i="62"/>
  <c r="D13" i="62"/>
  <c r="D14" i="62"/>
  <c r="D19" i="62"/>
  <c r="D20" i="62"/>
  <c r="D133" i="94" s="1"/>
  <c r="D21" i="62"/>
  <c r="D22" i="62"/>
  <c r="D23" i="62"/>
  <c r="D24" i="62"/>
  <c r="D25" i="62"/>
  <c r="D26" i="62"/>
  <c r="D27" i="62"/>
  <c r="D28" i="62"/>
  <c r="D50" i="62"/>
  <c r="D53" i="62"/>
  <c r="D491" i="94" s="1"/>
  <c r="D56" i="62"/>
  <c r="D57" i="62"/>
  <c r="D58" i="62"/>
  <c r="D59" i="62"/>
  <c r="D60" i="62"/>
  <c r="D61" i="62"/>
  <c r="D65" i="62"/>
  <c r="D66" i="62"/>
  <c r="D67" i="62"/>
  <c r="D68" i="62"/>
  <c r="D69" i="62"/>
  <c r="D70" i="62"/>
  <c r="D690" i="94" s="1"/>
  <c r="D71" i="62"/>
  <c r="D72" i="62"/>
  <c r="D73" i="62"/>
  <c r="D74" i="62"/>
  <c r="D75" i="62"/>
  <c r="D76" i="62"/>
  <c r="D80" i="62"/>
  <c r="D81" i="62"/>
  <c r="D82" i="62"/>
  <c r="D83" i="62"/>
  <c r="D87" i="62"/>
  <c r="D88" i="62"/>
  <c r="D890" i="94" s="1"/>
  <c r="D93" i="62"/>
  <c r="D94" i="62"/>
  <c r="D95" i="62"/>
  <c r="D96" i="62"/>
  <c r="D97" i="62"/>
  <c r="D32" i="62"/>
  <c r="D33" i="62"/>
  <c r="D34" i="62"/>
  <c r="D35" i="62"/>
  <c r="D36" i="62"/>
  <c r="D37" i="62"/>
  <c r="D38" i="62"/>
  <c r="D39" i="62"/>
  <c r="D40" i="62"/>
  <c r="D41" i="62"/>
  <c r="D47" i="62"/>
  <c r="E10" i="62"/>
  <c r="E11" i="62"/>
  <c r="E13" i="62"/>
  <c r="E14" i="62"/>
  <c r="E75" i="94" s="1"/>
  <c r="E19" i="62"/>
  <c r="E20" i="62"/>
  <c r="E21" i="62"/>
  <c r="E22" i="62"/>
  <c r="E161" i="94" s="1"/>
  <c r="E23" i="62"/>
  <c r="E24" i="62"/>
  <c r="E189" i="94" s="1"/>
  <c r="E25" i="62"/>
  <c r="E203" i="94" s="1"/>
  <c r="E26" i="62"/>
  <c r="E27" i="62"/>
  <c r="E28" i="62"/>
  <c r="E50" i="62"/>
  <c r="E53" i="62"/>
  <c r="E491" i="94" s="1"/>
  <c r="E56" i="62"/>
  <c r="E57" i="62"/>
  <c r="E58" i="62"/>
  <c r="E59" i="62"/>
  <c r="E60" i="62"/>
  <c r="E563" i="94" s="1"/>
  <c r="E61" i="62"/>
  <c r="E577" i="94" s="1"/>
  <c r="E65" i="62"/>
  <c r="E66" i="62"/>
  <c r="E634" i="94" s="1"/>
  <c r="E67" i="62"/>
  <c r="E68" i="62"/>
  <c r="E69" i="62"/>
  <c r="E70" i="62"/>
  <c r="E690" i="94" s="1"/>
  <c r="E71" i="62"/>
  <c r="E72" i="62"/>
  <c r="E73" i="62"/>
  <c r="E74" i="62"/>
  <c r="E746" i="94" s="1"/>
  <c r="E75" i="62"/>
  <c r="E760" i="94" s="1"/>
  <c r="E76" i="62"/>
  <c r="E774" i="94" s="1"/>
  <c r="E80" i="62"/>
  <c r="E81" i="62"/>
  <c r="E818" i="94" s="1"/>
  <c r="E82" i="62"/>
  <c r="E83" i="62"/>
  <c r="E87" i="62"/>
  <c r="E88" i="62"/>
  <c r="E890" i="94" s="1"/>
  <c r="E93" i="62"/>
  <c r="E94" i="62"/>
  <c r="E95" i="62"/>
  <c r="E96" i="62"/>
  <c r="E976" i="94" s="1"/>
  <c r="E97" i="62"/>
  <c r="E990" i="94" s="1"/>
  <c r="E32" i="62"/>
  <c r="E288" i="94" s="1"/>
  <c r="E33" i="62"/>
  <c r="E302" i="94" s="1"/>
  <c r="E34" i="62"/>
  <c r="E316" i="94" s="1"/>
  <c r="E35" i="62"/>
  <c r="E36" i="62"/>
  <c r="E37" i="62"/>
  <c r="E38" i="62"/>
  <c r="E372" i="94" s="1"/>
  <c r="E39" i="62"/>
  <c r="E40" i="62"/>
  <c r="E41" i="62"/>
  <c r="E47" i="62"/>
  <c r="E459" i="94" s="1"/>
  <c r="F10" i="62"/>
  <c r="F11" i="62"/>
  <c r="F13" i="62"/>
  <c r="F61" i="94" s="1"/>
  <c r="F14" i="62"/>
  <c r="F19" i="62"/>
  <c r="F20" i="62"/>
  <c r="F133" i="94" s="1"/>
  <c r="F21" i="62"/>
  <c r="F147" i="94" s="1"/>
  <c r="F22" i="62"/>
  <c r="F161" i="94" s="1"/>
  <c r="F23" i="62"/>
  <c r="F24" i="62"/>
  <c r="F25" i="62"/>
  <c r="F26" i="62"/>
  <c r="F217" i="94" s="1"/>
  <c r="F27" i="62"/>
  <c r="F231" i="94" s="1"/>
  <c r="F28" i="62"/>
  <c r="F245" i="94" s="1"/>
  <c r="F50" i="62"/>
  <c r="F53" i="62"/>
  <c r="F56" i="62"/>
  <c r="F57" i="62"/>
  <c r="F58" i="62"/>
  <c r="F59" i="62"/>
  <c r="F549" i="94" s="1"/>
  <c r="F60" i="62"/>
  <c r="F61" i="62"/>
  <c r="F577" i="94" s="1"/>
  <c r="F65" i="62"/>
  <c r="F66" i="62"/>
  <c r="F67" i="62"/>
  <c r="F68" i="62"/>
  <c r="F69" i="62"/>
  <c r="F70" i="62"/>
  <c r="F71" i="62"/>
  <c r="F72" i="62"/>
  <c r="F73" i="62"/>
  <c r="F74" i="62"/>
  <c r="F746" i="94" s="1"/>
  <c r="F75" i="62"/>
  <c r="F76" i="62"/>
  <c r="F80" i="62"/>
  <c r="F81" i="62"/>
  <c r="F82" i="62"/>
  <c r="F83" i="62"/>
  <c r="F87" i="62"/>
  <c r="F88" i="62"/>
  <c r="F93" i="62"/>
  <c r="F934" i="94" s="1"/>
  <c r="F94" i="62"/>
  <c r="F948" i="94" s="1"/>
  <c r="F95" i="62"/>
  <c r="F962" i="94" s="1"/>
  <c r="F96" i="62"/>
  <c r="F976" i="94" s="1"/>
  <c r="F97" i="62"/>
  <c r="F32" i="62"/>
  <c r="F33" i="62"/>
  <c r="F302" i="94" s="1"/>
  <c r="F34" i="62"/>
  <c r="F316" i="94" s="1"/>
  <c r="F35" i="62"/>
  <c r="F330" i="94" s="1"/>
  <c r="F36" i="62"/>
  <c r="F37" i="62"/>
  <c r="F358" i="94" s="1"/>
  <c r="F38" i="62"/>
  <c r="F39" i="62"/>
  <c r="F386" i="94" s="1"/>
  <c r="F40" i="62"/>
  <c r="F400" i="94" s="1"/>
  <c r="F41" i="62"/>
  <c r="F414" i="94" s="1"/>
  <c r="F47" i="62"/>
  <c r="G10" i="62"/>
  <c r="G11" i="62"/>
  <c r="G13" i="62"/>
  <c r="G14" i="62"/>
  <c r="G75" i="94" s="1"/>
  <c r="G19" i="62"/>
  <c r="G119" i="94" s="1"/>
  <c r="G20" i="62"/>
  <c r="G133" i="94" s="1"/>
  <c r="G21" i="62"/>
  <c r="G147" i="94" s="1"/>
  <c r="G22" i="62"/>
  <c r="G161" i="94" s="1"/>
  <c r="G23" i="62"/>
  <c r="G24" i="62"/>
  <c r="G189" i="94" s="1"/>
  <c r="G25" i="62"/>
  <c r="G203" i="94" s="1"/>
  <c r="G26" i="62"/>
  <c r="G217" i="94" s="1"/>
  <c r="G27" i="62"/>
  <c r="G28" i="62"/>
  <c r="G50" i="62"/>
  <c r="G475" i="94" s="1"/>
  <c r="G53" i="62"/>
  <c r="G491" i="94" s="1"/>
  <c r="G56" i="62"/>
  <c r="G57" i="62"/>
  <c r="G521" i="94" s="1"/>
  <c r="G58" i="62"/>
  <c r="G535" i="94" s="1"/>
  <c r="G59" i="62"/>
  <c r="G549" i="94" s="1"/>
  <c r="G60" i="62"/>
  <c r="G563" i="94" s="1"/>
  <c r="G61" i="62"/>
  <c r="G577" i="94" s="1"/>
  <c r="G65" i="62"/>
  <c r="G620" i="94" s="1"/>
  <c r="G66" i="62"/>
  <c r="G634" i="94" s="1"/>
  <c r="G67" i="62"/>
  <c r="G68" i="62"/>
  <c r="G69" i="62"/>
  <c r="G70" i="62"/>
  <c r="G690" i="94" s="1"/>
  <c r="G71" i="62"/>
  <c r="G704" i="94" s="1"/>
  <c r="G72" i="62"/>
  <c r="G718" i="94" s="1"/>
  <c r="G73" i="62"/>
  <c r="G732" i="94" s="1"/>
  <c r="G74" i="62"/>
  <c r="G746" i="94" s="1"/>
  <c r="G75" i="62"/>
  <c r="G760" i="94" s="1"/>
  <c r="G76" i="62"/>
  <c r="G774" i="94" s="1"/>
  <c r="G80" i="62"/>
  <c r="G81" i="62"/>
  <c r="G818" i="94" s="1"/>
  <c r="G82" i="62"/>
  <c r="G83" i="62"/>
  <c r="G87" i="62"/>
  <c r="G88" i="62"/>
  <c r="G890" i="94" s="1"/>
  <c r="G93" i="62"/>
  <c r="G934" i="94" s="1"/>
  <c r="G94" i="62"/>
  <c r="G948" i="94" s="1"/>
  <c r="G95" i="62"/>
  <c r="G962" i="94" s="1"/>
  <c r="G96" i="62"/>
  <c r="G976" i="94" s="1"/>
  <c r="G97" i="62"/>
  <c r="G990" i="94" s="1"/>
  <c r="G32" i="62"/>
  <c r="G288" i="94" s="1"/>
  <c r="G33" i="62"/>
  <c r="G302" i="94" s="1"/>
  <c r="G34" i="62"/>
  <c r="G316" i="94" s="1"/>
  <c r="G35" i="62"/>
  <c r="G36" i="62"/>
  <c r="G37" i="62"/>
  <c r="G38" i="62"/>
  <c r="G372" i="94" s="1"/>
  <c r="G39" i="62"/>
  <c r="G386" i="94" s="1"/>
  <c r="G40" i="62"/>
  <c r="G400" i="94" s="1"/>
  <c r="G41" i="62"/>
  <c r="G414" i="94" s="1"/>
  <c r="G47" i="62"/>
  <c r="G459" i="94" s="1"/>
  <c r="H10" i="62"/>
  <c r="H11" i="62"/>
  <c r="H33" i="94" s="1"/>
  <c r="H13" i="62"/>
  <c r="H61" i="94" s="1"/>
  <c r="H14" i="62"/>
  <c r="H75" i="94" s="1"/>
  <c r="H19" i="62"/>
  <c r="H20" i="62"/>
  <c r="H133" i="94" s="1"/>
  <c r="H21" i="62"/>
  <c r="H147" i="94" s="1"/>
  <c r="H22" i="62"/>
  <c r="H161" i="94" s="1"/>
  <c r="H23" i="62"/>
  <c r="H24" i="62"/>
  <c r="H189" i="94" s="1"/>
  <c r="H25" i="62"/>
  <c r="H203" i="94" s="1"/>
  <c r="H26" i="62"/>
  <c r="H217" i="94" s="1"/>
  <c r="H27" i="62"/>
  <c r="H231" i="94" s="1"/>
  <c r="H28" i="62"/>
  <c r="H245" i="94" s="1"/>
  <c r="H50" i="62"/>
  <c r="H475" i="94" s="1"/>
  <c r="H53" i="62"/>
  <c r="H491" i="94" s="1"/>
  <c r="H56" i="62"/>
  <c r="H57" i="62"/>
  <c r="H58" i="62"/>
  <c r="H535" i="94" s="1"/>
  <c r="H59" i="62"/>
  <c r="H549" i="94" s="1"/>
  <c r="H60" i="62"/>
  <c r="H563" i="94" s="1"/>
  <c r="H61" i="62"/>
  <c r="H577" i="94" s="1"/>
  <c r="H65" i="62"/>
  <c r="H66" i="62"/>
  <c r="H634" i="94" s="1"/>
  <c r="H67" i="62"/>
  <c r="H648" i="94" s="1"/>
  <c r="H68" i="62"/>
  <c r="H662" i="94" s="1"/>
  <c r="H69" i="62"/>
  <c r="H676" i="94" s="1"/>
  <c r="H70" i="62"/>
  <c r="H690" i="94" s="1"/>
  <c r="H71" i="62"/>
  <c r="H72" i="62"/>
  <c r="H718" i="94" s="1"/>
  <c r="H73" i="62"/>
  <c r="H732" i="94" s="1"/>
  <c r="H74" i="62"/>
  <c r="H746" i="94" s="1"/>
  <c r="H75" i="62"/>
  <c r="H760" i="94" s="1"/>
  <c r="H76" i="62"/>
  <c r="H774" i="94" s="1"/>
  <c r="H80" i="62"/>
  <c r="H81" i="62"/>
  <c r="H818" i="94" s="1"/>
  <c r="H82" i="62"/>
  <c r="H832" i="94" s="1"/>
  <c r="H83" i="62"/>
  <c r="H846" i="94" s="1"/>
  <c r="H87" i="62"/>
  <c r="H88" i="62"/>
  <c r="H890" i="94" s="1"/>
  <c r="H93" i="62"/>
  <c r="H94" i="62"/>
  <c r="H948" i="94" s="1"/>
  <c r="H95" i="62"/>
  <c r="H962" i="94" s="1"/>
  <c r="H96" i="62"/>
  <c r="H976" i="94" s="1"/>
  <c r="H97" i="62"/>
  <c r="H990" i="94" s="1"/>
  <c r="H32" i="62"/>
  <c r="H33" i="62"/>
  <c r="H302" i="94" s="1"/>
  <c r="H34" i="62"/>
  <c r="H316" i="94" s="1"/>
  <c r="H35" i="62"/>
  <c r="H330" i="94" s="1"/>
  <c r="H36" i="62"/>
  <c r="H37" i="62"/>
  <c r="H358" i="94" s="1"/>
  <c r="H38" i="62"/>
  <c r="H372" i="94" s="1"/>
  <c r="H39" i="62"/>
  <c r="H40" i="62"/>
  <c r="H41" i="62"/>
  <c r="H414" i="94" s="1"/>
  <c r="H47" i="62"/>
  <c r="H459" i="94" s="1"/>
  <c r="I10" i="62"/>
  <c r="I11" i="62"/>
  <c r="I33" i="94" s="1"/>
  <c r="I13" i="62"/>
  <c r="I61" i="94" s="1"/>
  <c r="I14" i="62"/>
  <c r="I75" i="94" s="1"/>
  <c r="I20" i="62"/>
  <c r="I21" i="62"/>
  <c r="I147" i="94" s="1"/>
  <c r="I22" i="62"/>
  <c r="I161" i="94" s="1"/>
  <c r="I23" i="62"/>
  <c r="I175" i="94" s="1"/>
  <c r="I24" i="62"/>
  <c r="I25" i="62"/>
  <c r="I203" i="94" s="1"/>
  <c r="I26" i="62"/>
  <c r="I217" i="94" s="1"/>
  <c r="I27" i="62"/>
  <c r="I231" i="94" s="1"/>
  <c r="I28" i="62"/>
  <c r="I245" i="94" s="1"/>
  <c r="I50" i="62"/>
  <c r="I475" i="94" s="1"/>
  <c r="I53" i="62"/>
  <c r="I56" i="62"/>
  <c r="I507" i="94" s="1"/>
  <c r="I57" i="62"/>
  <c r="I521" i="94" s="1"/>
  <c r="I58" i="62"/>
  <c r="I535" i="94" s="1"/>
  <c r="I59" i="62"/>
  <c r="I549" i="94" s="1"/>
  <c r="I60" i="62"/>
  <c r="I563" i="94" s="1"/>
  <c r="I61" i="62"/>
  <c r="I65" i="62"/>
  <c r="I66" i="62"/>
  <c r="I634" i="94" s="1"/>
  <c r="I67" i="62"/>
  <c r="I648" i="94" s="1"/>
  <c r="I68" i="62"/>
  <c r="I662" i="94" s="1"/>
  <c r="I69" i="62"/>
  <c r="I676" i="94" s="1"/>
  <c r="I70" i="62"/>
  <c r="I71" i="62"/>
  <c r="I704" i="94" s="1"/>
  <c r="I72" i="62"/>
  <c r="I718" i="94" s="1"/>
  <c r="I73" i="62"/>
  <c r="I732" i="94" s="1"/>
  <c r="I74" i="62"/>
  <c r="I746" i="94" s="1"/>
  <c r="I75" i="62"/>
  <c r="I760" i="94" s="1"/>
  <c r="I76" i="62"/>
  <c r="I80" i="62"/>
  <c r="I804" i="94" s="1"/>
  <c r="I81" i="62"/>
  <c r="I818" i="94" s="1"/>
  <c r="I82" i="62"/>
  <c r="I832" i="94" s="1"/>
  <c r="I83" i="62"/>
  <c r="I846" i="94" s="1"/>
  <c r="I87" i="62"/>
  <c r="I88" i="62"/>
  <c r="I890" i="94" s="1"/>
  <c r="I93" i="62"/>
  <c r="I934" i="94" s="1"/>
  <c r="I94" i="62"/>
  <c r="I948" i="94" s="1"/>
  <c r="I95" i="62"/>
  <c r="I962" i="94" s="1"/>
  <c r="I96" i="62"/>
  <c r="I976" i="94" s="1"/>
  <c r="I97" i="62"/>
  <c r="I990" i="94" s="1"/>
  <c r="I32" i="62"/>
  <c r="I288" i="94" s="1"/>
  <c r="I33" i="62"/>
  <c r="I302" i="94" s="1"/>
  <c r="I34" i="62"/>
  <c r="I316" i="94" s="1"/>
  <c r="I35" i="62"/>
  <c r="I330" i="94" s="1"/>
  <c r="I36" i="62"/>
  <c r="I37" i="62"/>
  <c r="I358" i="94" s="1"/>
  <c r="I38" i="62"/>
  <c r="I372" i="94" s="1"/>
  <c r="I39" i="62"/>
  <c r="I386" i="94" s="1"/>
  <c r="I40" i="62"/>
  <c r="I400" i="94" s="1"/>
  <c r="I41" i="62"/>
  <c r="I414" i="94" s="1"/>
  <c r="I47" i="62"/>
  <c r="I459" i="94" s="1"/>
  <c r="J10" i="62"/>
  <c r="J19" i="94" s="1"/>
  <c r="J11" i="62"/>
  <c r="J13" i="62"/>
  <c r="J61" i="94" s="1"/>
  <c r="J14" i="62"/>
  <c r="J75" i="94" s="1"/>
  <c r="J19" i="62"/>
  <c r="J21" i="62"/>
  <c r="J147" i="94" s="1"/>
  <c r="J22" i="62"/>
  <c r="J161" i="94" s="1"/>
  <c r="J23" i="62"/>
  <c r="J24" i="62"/>
  <c r="J189" i="94" s="1"/>
  <c r="J25" i="62"/>
  <c r="J203" i="94" s="1"/>
  <c r="J26" i="62"/>
  <c r="J217" i="94" s="1"/>
  <c r="J27" i="62"/>
  <c r="J231" i="94" s="1"/>
  <c r="J28" i="62"/>
  <c r="J245" i="94" s="1"/>
  <c r="J50" i="62"/>
  <c r="J475" i="94" s="1"/>
  <c r="J53" i="62"/>
  <c r="J56" i="62"/>
  <c r="J57" i="62"/>
  <c r="J521" i="94" s="1"/>
  <c r="J58" i="62"/>
  <c r="J535" i="94" s="1"/>
  <c r="J59" i="62"/>
  <c r="J549" i="94" s="1"/>
  <c r="J60" i="62"/>
  <c r="J61" i="62"/>
  <c r="J577" i="94" s="1"/>
  <c r="J65" i="62"/>
  <c r="J620" i="94" s="1"/>
  <c r="J66" i="62"/>
  <c r="J634" i="94" s="1"/>
  <c r="J67" i="62"/>
  <c r="J648" i="94" s="1"/>
  <c r="J68" i="62"/>
  <c r="J662" i="94" s="1"/>
  <c r="J69" i="62"/>
  <c r="J70" i="62"/>
  <c r="J690" i="94" s="1"/>
  <c r="J71" i="62"/>
  <c r="J704" i="94" s="1"/>
  <c r="J72" i="62"/>
  <c r="J718" i="94" s="1"/>
  <c r="J73" i="62"/>
  <c r="J732" i="94" s="1"/>
  <c r="J74" i="62"/>
  <c r="J746" i="94" s="1"/>
  <c r="J75" i="62"/>
  <c r="J76" i="62"/>
  <c r="J774" i="94" s="1"/>
  <c r="J80" i="62"/>
  <c r="J81" i="62"/>
  <c r="J818" i="94" s="1"/>
  <c r="J82" i="62"/>
  <c r="J832" i="94" s="1"/>
  <c r="J83" i="62"/>
  <c r="J846" i="94" s="1"/>
  <c r="J87" i="62"/>
  <c r="J88" i="62"/>
  <c r="J890" i="94" s="1"/>
  <c r="J93" i="62"/>
  <c r="J934" i="94" s="1"/>
  <c r="J94" i="62"/>
  <c r="J948" i="94" s="1"/>
  <c r="J95" i="62"/>
  <c r="J962" i="94" s="1"/>
  <c r="J96" i="62"/>
  <c r="J976" i="94" s="1"/>
  <c r="J97" i="62"/>
  <c r="J32" i="62"/>
  <c r="J33" i="62"/>
  <c r="J302" i="94" s="1"/>
  <c r="J34" i="62"/>
  <c r="J316" i="94" s="1"/>
  <c r="J35" i="62"/>
  <c r="J330" i="94" s="1"/>
  <c r="J36" i="62"/>
  <c r="J344" i="94" s="1"/>
  <c r="J37" i="62"/>
  <c r="J358" i="94" s="1"/>
  <c r="J38" i="62"/>
  <c r="J372" i="94" s="1"/>
  <c r="J39" i="62"/>
  <c r="J386" i="94" s="1"/>
  <c r="J40" i="62"/>
  <c r="J400" i="94" s="1"/>
  <c r="J41" i="62"/>
  <c r="J414" i="94" s="1"/>
  <c r="J47" i="62"/>
  <c r="J459" i="94" s="1"/>
  <c r="K10" i="62"/>
  <c r="K11" i="62"/>
  <c r="K13" i="62"/>
  <c r="K61" i="94" s="1"/>
  <c r="K14" i="62"/>
  <c r="K75" i="94" s="1"/>
  <c r="K21" i="62"/>
  <c r="K147" i="94" s="1"/>
  <c r="K22" i="62"/>
  <c r="K161" i="94" s="1"/>
  <c r="K23" i="62"/>
  <c r="K24" i="62"/>
  <c r="K25" i="62"/>
  <c r="K203" i="94" s="1"/>
  <c r="K26" i="62"/>
  <c r="K217" i="94" s="1"/>
  <c r="K27" i="62"/>
  <c r="K231" i="94" s="1"/>
  <c r="K28" i="62"/>
  <c r="K50" i="62"/>
  <c r="K53" i="62"/>
  <c r="K491" i="94" s="1"/>
  <c r="K56" i="62"/>
  <c r="K507" i="94" s="1"/>
  <c r="K57" i="62"/>
  <c r="K521" i="94" s="1"/>
  <c r="K58" i="62"/>
  <c r="K535" i="94" s="1"/>
  <c r="K59" i="62"/>
  <c r="K549" i="94" s="1"/>
  <c r="K60" i="62"/>
  <c r="K61" i="62"/>
  <c r="K577" i="94" s="1"/>
  <c r="K65" i="62"/>
  <c r="K66" i="62"/>
  <c r="K634" i="94" s="1"/>
  <c r="K67" i="62"/>
  <c r="K648" i="94" s="1"/>
  <c r="K68" i="62"/>
  <c r="K69" i="62"/>
  <c r="K70" i="62"/>
  <c r="K71" i="62"/>
  <c r="K704" i="94" s="1"/>
  <c r="K72" i="62"/>
  <c r="K718" i="94" s="1"/>
  <c r="K73" i="62"/>
  <c r="K732" i="94" s="1"/>
  <c r="K74" i="62"/>
  <c r="K746" i="94" s="1"/>
  <c r="K75" i="62"/>
  <c r="K760" i="94" s="1"/>
  <c r="K76" i="62"/>
  <c r="K774" i="94" s="1"/>
  <c r="K80" i="62"/>
  <c r="K81" i="62"/>
  <c r="K818" i="94" s="1"/>
  <c r="K82" i="62"/>
  <c r="K832" i="94" s="1"/>
  <c r="K83" i="62"/>
  <c r="K87" i="62"/>
  <c r="K88" i="62"/>
  <c r="K93" i="62"/>
  <c r="K934" i="94" s="1"/>
  <c r="K94" i="62"/>
  <c r="K948" i="94" s="1"/>
  <c r="K95" i="62"/>
  <c r="K962" i="94" s="1"/>
  <c r="K96" i="62"/>
  <c r="K976" i="94" s="1"/>
  <c r="K97" i="62"/>
  <c r="K990" i="94" s="1"/>
  <c r="K32" i="62"/>
  <c r="K33" i="62"/>
  <c r="K302" i="94" s="1"/>
  <c r="K34" i="62"/>
  <c r="K316" i="94" s="1"/>
  <c r="K35" i="62"/>
  <c r="K330" i="94" s="1"/>
  <c r="K36" i="62"/>
  <c r="K37" i="62"/>
  <c r="K38" i="62"/>
  <c r="K372" i="94" s="1"/>
  <c r="K39" i="62"/>
  <c r="K386" i="94" s="1"/>
  <c r="K40" i="62"/>
  <c r="K400" i="94" s="1"/>
  <c r="K41" i="62"/>
  <c r="K414" i="94" s="1"/>
  <c r="K47" i="62"/>
  <c r="K459" i="94" s="1"/>
  <c r="L10" i="62"/>
  <c r="L11" i="62"/>
  <c r="L33" i="94" s="1"/>
  <c r="L13" i="62"/>
  <c r="L61" i="94" s="1"/>
  <c r="L14" i="62"/>
  <c r="L75" i="94" s="1"/>
  <c r="L20" i="62"/>
  <c r="L133" i="94" s="1"/>
  <c r="L21" i="62"/>
  <c r="L22" i="62"/>
  <c r="L23" i="62"/>
  <c r="L175" i="94" s="1"/>
  <c r="L24" i="62"/>
  <c r="L189" i="94" s="1"/>
  <c r="L25" i="62"/>
  <c r="L203" i="94" s="1"/>
  <c r="L26" i="62"/>
  <c r="L217" i="94" s="1"/>
  <c r="L27" i="62"/>
  <c r="L231" i="94" s="1"/>
  <c r="L28" i="62"/>
  <c r="L245" i="94" s="1"/>
  <c r="L50" i="62"/>
  <c r="L475" i="94" s="1"/>
  <c r="L53" i="62"/>
  <c r="L56" i="62"/>
  <c r="L57" i="62"/>
  <c r="L58" i="62"/>
  <c r="L59" i="62"/>
  <c r="L60" i="62"/>
  <c r="L563" i="94" s="1"/>
  <c r="L61" i="62"/>
  <c r="L577" i="94" s="1"/>
  <c r="L65" i="62"/>
  <c r="L620" i="94" s="1"/>
  <c r="L66" i="62"/>
  <c r="L634" i="94" s="1"/>
  <c r="L67" i="62"/>
  <c r="L68" i="62"/>
  <c r="L662" i="94" s="1"/>
  <c r="L69" i="62"/>
  <c r="L676" i="94" s="1"/>
  <c r="L70" i="62"/>
  <c r="L690" i="94" s="1"/>
  <c r="L71" i="62"/>
  <c r="L704" i="94" s="1"/>
  <c r="L72" i="62"/>
  <c r="L718" i="94" s="1"/>
  <c r="L73" i="62"/>
  <c r="L74" i="62"/>
  <c r="L75" i="62"/>
  <c r="L760" i="94" s="1"/>
  <c r="L76" i="62"/>
  <c r="L774" i="94" s="1"/>
  <c r="L80" i="62"/>
  <c r="L804" i="94" s="1"/>
  <c r="L81" i="62"/>
  <c r="L818" i="94" s="1"/>
  <c r="L82" i="62"/>
  <c r="L83" i="62"/>
  <c r="L846" i="94" s="1"/>
  <c r="L87" i="62"/>
  <c r="L88" i="62"/>
  <c r="L890" i="94" s="1"/>
  <c r="L93" i="62"/>
  <c r="L934" i="94" s="1"/>
  <c r="L94" i="62"/>
  <c r="L948" i="94" s="1"/>
  <c r="L95" i="62"/>
  <c r="L96" i="62"/>
  <c r="L97" i="62"/>
  <c r="L990" i="94" s="1"/>
  <c r="L32" i="62"/>
  <c r="L288" i="94" s="1"/>
  <c r="L33" i="62"/>
  <c r="L302" i="94" s="1"/>
  <c r="L34" i="62"/>
  <c r="L316" i="94" s="1"/>
  <c r="L35" i="62"/>
  <c r="L330" i="94" s="1"/>
  <c r="L36" i="62"/>
  <c r="L37" i="62"/>
  <c r="L358" i="94" s="1"/>
  <c r="L38" i="62"/>
  <c r="L372" i="94" s="1"/>
  <c r="L39" i="62"/>
  <c r="L386" i="94" s="1"/>
  <c r="L40" i="62"/>
  <c r="L400" i="94" s="1"/>
  <c r="L41" i="62"/>
  <c r="L47" i="62"/>
  <c r="M105" i="62"/>
  <c r="M1024" i="94" s="1"/>
  <c r="L112" i="62"/>
  <c r="Q32" i="62"/>
  <c r="L113" i="62" s="1"/>
  <c r="R34" i="62"/>
  <c r="L114" i="62" s="1"/>
  <c r="P65" i="62"/>
  <c r="P66" i="62"/>
  <c r="P67" i="62"/>
  <c r="P68" i="62"/>
  <c r="E17" i="95" s="1"/>
  <c r="P69" i="62"/>
  <c r="P70" i="62"/>
  <c r="P71" i="62"/>
  <c r="P72" i="62"/>
  <c r="P73" i="62"/>
  <c r="P74" i="62"/>
  <c r="S76" i="62"/>
  <c r="S77" i="62"/>
  <c r="Q65" i="62"/>
  <c r="Q66" i="62"/>
  <c r="Q67" i="62"/>
  <c r="Q68" i="62"/>
  <c r="Q69" i="62"/>
  <c r="Q70" i="62"/>
  <c r="Q71" i="62"/>
  <c r="Q72" i="62"/>
  <c r="Q73" i="62"/>
  <c r="R65" i="62"/>
  <c r="R66" i="62"/>
  <c r="R67" i="62"/>
  <c r="R68" i="62"/>
  <c r="R69" i="62"/>
  <c r="R70" i="62"/>
  <c r="R71" i="62"/>
  <c r="R72" i="62"/>
  <c r="R73" i="62"/>
  <c r="X65" i="62"/>
  <c r="X66" i="62"/>
  <c r="X67" i="62"/>
  <c r="X68" i="62"/>
  <c r="X69" i="62"/>
  <c r="X70" i="62"/>
  <c r="X71" i="62"/>
  <c r="X72" i="62"/>
  <c r="X73" i="62"/>
  <c r="X74" i="62"/>
  <c r="S84" i="62"/>
  <c r="L120" i="62" s="1"/>
  <c r="S87" i="62"/>
  <c r="B21" i="53" s="1"/>
  <c r="D36" i="51"/>
  <c r="D37" i="51"/>
  <c r="F563" i="94"/>
  <c r="J75" i="71"/>
  <c r="K75" i="71" s="1"/>
  <c r="J68" i="71"/>
  <c r="K98" i="72"/>
  <c r="G98" i="72"/>
  <c r="J72" i="72"/>
  <c r="J73" i="72" s="1"/>
  <c r="K55" i="72"/>
  <c r="K77" i="72" s="1"/>
  <c r="G55" i="72"/>
  <c r="G77" i="72" s="1"/>
  <c r="O23" i="80"/>
  <c r="M23" i="80"/>
  <c r="K23" i="80"/>
  <c r="I23" i="80"/>
  <c r="L75" i="71"/>
  <c r="L73" i="71"/>
  <c r="K73" i="71"/>
  <c r="I71" i="71"/>
  <c r="H71" i="71"/>
  <c r="G71" i="71"/>
  <c r="F71" i="71"/>
  <c r="E71" i="71"/>
  <c r="D71" i="71"/>
  <c r="K70" i="71"/>
  <c r="L68" i="71"/>
  <c r="L67" i="71"/>
  <c r="J67" i="71"/>
  <c r="E107" i="71" s="1"/>
  <c r="L107" i="71" s="1"/>
  <c r="L66" i="71"/>
  <c r="K66" i="71"/>
  <c r="J65" i="71"/>
  <c r="J64" i="71"/>
  <c r="J62" i="71"/>
  <c r="I101" i="71" s="1"/>
  <c r="L61" i="71"/>
  <c r="J60" i="71"/>
  <c r="K100" i="71" s="1"/>
  <c r="J59" i="71"/>
  <c r="J100" i="71" s="1"/>
  <c r="J58" i="71"/>
  <c r="I100" i="71" s="1"/>
  <c r="J57" i="71"/>
  <c r="E100" i="71" s="1"/>
  <c r="J56" i="71"/>
  <c r="H100" i="71" s="1"/>
  <c r="J55" i="71"/>
  <c r="G100" i="71" s="1"/>
  <c r="L54" i="71"/>
  <c r="J53" i="71"/>
  <c r="K99" i="71" s="1"/>
  <c r="J52" i="71"/>
  <c r="H99" i="71" s="1"/>
  <c r="J51" i="71"/>
  <c r="E99" i="71" s="1"/>
  <c r="J50" i="71"/>
  <c r="J99" i="71" s="1"/>
  <c r="J49" i="71"/>
  <c r="L48" i="71"/>
  <c r="J47" i="71"/>
  <c r="J98" i="71" s="1"/>
  <c r="J46" i="71"/>
  <c r="E98" i="71" s="1"/>
  <c r="J45" i="71"/>
  <c r="J44" i="71"/>
  <c r="K98" i="71" s="1"/>
  <c r="J43" i="71"/>
  <c r="I98" i="71" s="1"/>
  <c r="J42" i="71"/>
  <c r="F98" i="71" s="1"/>
  <c r="J41" i="71"/>
  <c r="H98" i="71" s="1"/>
  <c r="J40" i="71"/>
  <c r="L39" i="71"/>
  <c r="J38" i="71"/>
  <c r="J104" i="71" s="1"/>
  <c r="J37" i="71"/>
  <c r="G104" i="71" s="1"/>
  <c r="L36" i="71"/>
  <c r="L35" i="71"/>
  <c r="J35" i="71"/>
  <c r="H103" i="71" s="1"/>
  <c r="L103" i="71" s="1"/>
  <c r="J34" i="71"/>
  <c r="I97" i="71" s="1"/>
  <c r="J33" i="71"/>
  <c r="J32" i="71"/>
  <c r="J31" i="71"/>
  <c r="J30" i="71"/>
  <c r="J29" i="71"/>
  <c r="G97" i="71" s="1"/>
  <c r="J28" i="71"/>
  <c r="J27" i="71"/>
  <c r="L26" i="71"/>
  <c r="J25" i="71"/>
  <c r="J102" i="71" s="1"/>
  <c r="J24" i="71"/>
  <c r="I102" i="71" s="1"/>
  <c r="J23" i="71"/>
  <c r="P22" i="71"/>
  <c r="J22" i="71"/>
  <c r="J21" i="71"/>
  <c r="J20" i="71"/>
  <c r="J19" i="71"/>
  <c r="J18" i="71"/>
  <c r="J17" i="71"/>
  <c r="H102" i="71" s="1"/>
  <c r="L16" i="71"/>
  <c r="J15" i="71"/>
  <c r="J105" i="71"/>
  <c r="J14" i="71"/>
  <c r="I105" i="71" s="1"/>
  <c r="J13" i="71"/>
  <c r="H105" i="71" s="1"/>
  <c r="J12" i="71"/>
  <c r="E105" i="71" s="1"/>
  <c r="J11" i="71"/>
  <c r="G105" i="71" s="1"/>
  <c r="L10" i="71"/>
  <c r="J9" i="71"/>
  <c r="J8" i="71"/>
  <c r="H96" i="71" s="1"/>
  <c r="J7" i="71"/>
  <c r="B21" i="120"/>
  <c r="M105" i="118"/>
  <c r="L112" i="118" s="1"/>
  <c r="U103" i="118"/>
  <c r="J28" i="78" s="1"/>
  <c r="R103" i="118"/>
  <c r="I28" i="78" s="1"/>
  <c r="P103" i="118"/>
  <c r="H28" i="78" s="1"/>
  <c r="L97" i="118"/>
  <c r="K97" i="118"/>
  <c r="J97" i="118"/>
  <c r="I97" i="118"/>
  <c r="H97" i="118"/>
  <c r="G97" i="118"/>
  <c r="F97" i="118"/>
  <c r="E97" i="118"/>
  <c r="D97" i="118"/>
  <c r="L96" i="118"/>
  <c r="K96" i="118"/>
  <c r="J96" i="118"/>
  <c r="I96" i="118"/>
  <c r="H96" i="118"/>
  <c r="G96" i="118"/>
  <c r="F96" i="118"/>
  <c r="E96" i="118"/>
  <c r="D96" i="118"/>
  <c r="L95" i="118"/>
  <c r="K95" i="118"/>
  <c r="J95" i="118"/>
  <c r="I95" i="118"/>
  <c r="H95" i="118"/>
  <c r="G95" i="118"/>
  <c r="F95" i="118"/>
  <c r="E95" i="118"/>
  <c r="D95" i="118"/>
  <c r="L94" i="118"/>
  <c r="K94" i="118"/>
  <c r="J94" i="118"/>
  <c r="I94" i="118"/>
  <c r="H94" i="118"/>
  <c r="G94" i="118"/>
  <c r="F94" i="118"/>
  <c r="E94" i="118"/>
  <c r="D94" i="118"/>
  <c r="L93" i="118"/>
  <c r="K93" i="118"/>
  <c r="J93" i="118"/>
  <c r="I93" i="118"/>
  <c r="H93" i="118"/>
  <c r="G93" i="118"/>
  <c r="F93" i="118"/>
  <c r="E93" i="118"/>
  <c r="D93" i="118"/>
  <c r="L88" i="118"/>
  <c r="K88" i="118"/>
  <c r="J88" i="118"/>
  <c r="I88" i="118"/>
  <c r="H88" i="118"/>
  <c r="G88" i="118"/>
  <c r="F88" i="118"/>
  <c r="D65" i="117" s="1"/>
  <c r="E88" i="118"/>
  <c r="D88" i="118"/>
  <c r="S87" i="118"/>
  <c r="B21" i="119" s="1"/>
  <c r="L87" i="118"/>
  <c r="K87" i="118"/>
  <c r="J87" i="118"/>
  <c r="I87" i="118"/>
  <c r="H87" i="118"/>
  <c r="G87" i="118"/>
  <c r="F87" i="118"/>
  <c r="E87" i="118"/>
  <c r="D87" i="118"/>
  <c r="S84" i="118"/>
  <c r="L120" i="118" s="1"/>
  <c r="L83" i="118"/>
  <c r="K83" i="118"/>
  <c r="J83" i="118"/>
  <c r="J80" i="118"/>
  <c r="J81" i="118"/>
  <c r="J82" i="118"/>
  <c r="I83" i="118"/>
  <c r="H83" i="118"/>
  <c r="G83" i="118"/>
  <c r="F83" i="118"/>
  <c r="D60" i="117" s="1"/>
  <c r="E83" i="118"/>
  <c r="D83" i="118"/>
  <c r="L82" i="118"/>
  <c r="K82" i="118"/>
  <c r="I82" i="118"/>
  <c r="H82" i="118"/>
  <c r="G82" i="118"/>
  <c r="F82" i="118"/>
  <c r="D59" i="117" s="1"/>
  <c r="E82" i="118"/>
  <c r="D82" i="118"/>
  <c r="L81" i="118"/>
  <c r="K81" i="118"/>
  <c r="I81" i="118"/>
  <c r="H81" i="118"/>
  <c r="G81" i="118"/>
  <c r="F81" i="118"/>
  <c r="D58" i="117" s="1"/>
  <c r="E81" i="118"/>
  <c r="D81" i="118"/>
  <c r="L80" i="118"/>
  <c r="K80" i="118"/>
  <c r="I80" i="118"/>
  <c r="H80" i="118"/>
  <c r="G80" i="118"/>
  <c r="F80" i="118"/>
  <c r="D57" i="117" s="1"/>
  <c r="E80" i="118"/>
  <c r="D80" i="118"/>
  <c r="S77" i="118"/>
  <c r="S76" i="118"/>
  <c r="L76" i="118"/>
  <c r="K76" i="118"/>
  <c r="J76" i="118"/>
  <c r="I76" i="118"/>
  <c r="H76" i="118"/>
  <c r="G76" i="118"/>
  <c r="F76" i="118"/>
  <c r="D53" i="117" s="1"/>
  <c r="E76" i="118"/>
  <c r="D76" i="118"/>
  <c r="L75" i="118"/>
  <c r="K75" i="118"/>
  <c r="J75" i="118"/>
  <c r="I75" i="118"/>
  <c r="H75" i="118"/>
  <c r="G75" i="118"/>
  <c r="F75" i="118"/>
  <c r="D52" i="117" s="1"/>
  <c r="E75" i="118"/>
  <c r="D75" i="118"/>
  <c r="X74" i="118"/>
  <c r="P74" i="118"/>
  <c r="L74" i="118"/>
  <c r="K74" i="118"/>
  <c r="J74" i="118"/>
  <c r="I74" i="118"/>
  <c r="H74" i="118"/>
  <c r="G74" i="118"/>
  <c r="F74" i="118"/>
  <c r="D73" i="117" s="1"/>
  <c r="E74" i="118"/>
  <c r="D74" i="118"/>
  <c r="X73" i="118"/>
  <c r="R73" i="118"/>
  <c r="Q73" i="118"/>
  <c r="P73" i="118"/>
  <c r="L73" i="118"/>
  <c r="K73" i="118"/>
  <c r="J73" i="118"/>
  <c r="I73" i="118"/>
  <c r="H73" i="118"/>
  <c r="G73" i="118"/>
  <c r="F73" i="118"/>
  <c r="D50" i="117" s="1"/>
  <c r="E73" i="118"/>
  <c r="D73" i="118"/>
  <c r="X72" i="118"/>
  <c r="R72" i="118"/>
  <c r="Q72" i="118"/>
  <c r="P72" i="118"/>
  <c r="L72" i="118"/>
  <c r="K72" i="118"/>
  <c r="J72" i="118"/>
  <c r="I72" i="118"/>
  <c r="H72" i="118"/>
  <c r="G72" i="118"/>
  <c r="F72" i="118"/>
  <c r="D49" i="117" s="1"/>
  <c r="E72" i="118"/>
  <c r="D72" i="118"/>
  <c r="X71" i="118"/>
  <c r="R71" i="118"/>
  <c r="Q71" i="118"/>
  <c r="P71" i="118"/>
  <c r="L71" i="118"/>
  <c r="K71" i="118"/>
  <c r="J71" i="118"/>
  <c r="I71" i="118"/>
  <c r="H71" i="118"/>
  <c r="G71" i="118"/>
  <c r="F71" i="118"/>
  <c r="E71" i="118"/>
  <c r="D71" i="118"/>
  <c r="X70" i="118"/>
  <c r="R70" i="118"/>
  <c r="Q70" i="118"/>
  <c r="P70" i="118"/>
  <c r="L70" i="118"/>
  <c r="K70" i="118"/>
  <c r="J70" i="118"/>
  <c r="I70" i="118"/>
  <c r="H70" i="118"/>
  <c r="G70" i="118"/>
  <c r="F70" i="118"/>
  <c r="D47" i="117" s="1"/>
  <c r="E70" i="118"/>
  <c r="D70" i="118"/>
  <c r="X69" i="118"/>
  <c r="R69" i="118"/>
  <c r="Q69" i="118"/>
  <c r="P69" i="118"/>
  <c r="L69" i="118"/>
  <c r="K69" i="118"/>
  <c r="J69" i="118"/>
  <c r="I69" i="118"/>
  <c r="H69" i="118"/>
  <c r="G69" i="118"/>
  <c r="F69" i="118"/>
  <c r="D46" i="117" s="1"/>
  <c r="E69" i="118"/>
  <c r="D69" i="118"/>
  <c r="X68" i="118"/>
  <c r="R68" i="118"/>
  <c r="Q68" i="118"/>
  <c r="P68" i="118"/>
  <c r="L68" i="118"/>
  <c r="K68" i="118"/>
  <c r="J68" i="118"/>
  <c r="I68" i="118"/>
  <c r="H68" i="118"/>
  <c r="G68" i="118"/>
  <c r="F68" i="118"/>
  <c r="E68" i="118"/>
  <c r="D68" i="118"/>
  <c r="X67" i="118"/>
  <c r="R67" i="118"/>
  <c r="Q67" i="118"/>
  <c r="P67" i="118"/>
  <c r="L67" i="118"/>
  <c r="K67" i="118"/>
  <c r="J67" i="118"/>
  <c r="I67" i="118"/>
  <c r="H67" i="118"/>
  <c r="G67" i="118"/>
  <c r="D67" i="118"/>
  <c r="E67" i="118"/>
  <c r="F67" i="118"/>
  <c r="D44" i="117" s="1"/>
  <c r="X66" i="118"/>
  <c r="R66" i="118"/>
  <c r="Q66" i="118"/>
  <c r="P66" i="118"/>
  <c r="L66" i="118"/>
  <c r="K66" i="118"/>
  <c r="J66" i="118"/>
  <c r="I66" i="118"/>
  <c r="H66" i="118"/>
  <c r="G66" i="118"/>
  <c r="F66" i="118"/>
  <c r="D43" i="117" s="1"/>
  <c r="E66" i="118"/>
  <c r="D66" i="118"/>
  <c r="X65" i="118"/>
  <c r="R65" i="118"/>
  <c r="Q65" i="118"/>
  <c r="P65" i="118"/>
  <c r="L65" i="118"/>
  <c r="K65" i="118"/>
  <c r="J65" i="118"/>
  <c r="I65" i="118"/>
  <c r="H65" i="118"/>
  <c r="G65" i="118"/>
  <c r="F65" i="118"/>
  <c r="D42" i="117" s="1"/>
  <c r="E65" i="118"/>
  <c r="D65" i="118"/>
  <c r="L61" i="118"/>
  <c r="K61" i="118"/>
  <c r="J61" i="118"/>
  <c r="I61" i="118"/>
  <c r="H61" i="118"/>
  <c r="G61" i="118"/>
  <c r="F61" i="118"/>
  <c r="E61" i="118"/>
  <c r="D61" i="118"/>
  <c r="L60" i="118"/>
  <c r="K60" i="118"/>
  <c r="J60" i="118"/>
  <c r="I60" i="118"/>
  <c r="H60" i="118"/>
  <c r="G60" i="118"/>
  <c r="F60" i="118"/>
  <c r="D36" i="117" s="1"/>
  <c r="E60" i="118"/>
  <c r="D60" i="118"/>
  <c r="L59" i="118"/>
  <c r="K59" i="118"/>
  <c r="J59" i="118"/>
  <c r="I59" i="118"/>
  <c r="H59" i="118"/>
  <c r="G59" i="118"/>
  <c r="F59" i="118"/>
  <c r="D35" i="117" s="1"/>
  <c r="E59" i="118"/>
  <c r="D59" i="118"/>
  <c r="L58" i="118"/>
  <c r="K58" i="118"/>
  <c r="J58" i="118"/>
  <c r="I58" i="118"/>
  <c r="H58" i="118"/>
  <c r="G58" i="118"/>
  <c r="F58" i="118"/>
  <c r="D34" i="117" s="1"/>
  <c r="E58" i="118"/>
  <c r="D58" i="118"/>
  <c r="L57" i="118"/>
  <c r="K57" i="118"/>
  <c r="J57" i="118"/>
  <c r="I57" i="118"/>
  <c r="H57" i="118"/>
  <c r="G57" i="118"/>
  <c r="F57" i="118"/>
  <c r="D33" i="117" s="1"/>
  <c r="E57" i="118"/>
  <c r="D57" i="118"/>
  <c r="L56" i="118"/>
  <c r="K56" i="118"/>
  <c r="J56" i="118"/>
  <c r="I56" i="118"/>
  <c r="H56" i="118"/>
  <c r="G56" i="118"/>
  <c r="F56" i="118"/>
  <c r="E56" i="118"/>
  <c r="D56" i="118"/>
  <c r="L53" i="118"/>
  <c r="K53" i="118"/>
  <c r="J53" i="118"/>
  <c r="I53" i="118"/>
  <c r="H53" i="118"/>
  <c r="G53" i="118"/>
  <c r="F53" i="118"/>
  <c r="D29" i="117" s="1"/>
  <c r="E53" i="118"/>
  <c r="D53" i="118"/>
  <c r="L50" i="118"/>
  <c r="K50" i="118"/>
  <c r="J50" i="118"/>
  <c r="I50" i="118"/>
  <c r="H50" i="118"/>
  <c r="G50" i="118"/>
  <c r="F50" i="118"/>
  <c r="D26" i="117" s="1"/>
  <c r="E76" i="117" s="1"/>
  <c r="E50" i="118"/>
  <c r="D50" i="118"/>
  <c r="L47" i="118"/>
  <c r="K47" i="118"/>
  <c r="J47" i="118"/>
  <c r="I47" i="118"/>
  <c r="H47" i="118"/>
  <c r="G47" i="118"/>
  <c r="F47" i="118"/>
  <c r="D23" i="117" s="1"/>
  <c r="E47" i="118"/>
  <c r="D47" i="118"/>
  <c r="L41" i="118"/>
  <c r="K41" i="118"/>
  <c r="J41" i="118"/>
  <c r="I41" i="118"/>
  <c r="H41" i="118"/>
  <c r="G41" i="118"/>
  <c r="F41" i="118"/>
  <c r="E41" i="118"/>
  <c r="D41" i="118"/>
  <c r="L40" i="118"/>
  <c r="K40" i="118"/>
  <c r="J40" i="118"/>
  <c r="I40" i="118"/>
  <c r="H40" i="118"/>
  <c r="G40" i="118"/>
  <c r="F40" i="118"/>
  <c r="E40" i="118"/>
  <c r="D40" i="118"/>
  <c r="L39" i="118"/>
  <c r="K39" i="118"/>
  <c r="J39" i="118"/>
  <c r="I39" i="118"/>
  <c r="H39" i="118"/>
  <c r="G39" i="118"/>
  <c r="F39" i="118"/>
  <c r="E39" i="118"/>
  <c r="D39" i="118"/>
  <c r="L38" i="118"/>
  <c r="K38" i="118"/>
  <c r="K42" i="118" s="1"/>
  <c r="J38" i="118"/>
  <c r="I38" i="118"/>
  <c r="H38" i="118"/>
  <c r="G38" i="118"/>
  <c r="F38" i="118"/>
  <c r="E38" i="118"/>
  <c r="D38" i="118"/>
  <c r="L37" i="118"/>
  <c r="K37" i="118"/>
  <c r="J37" i="118"/>
  <c r="I37" i="118"/>
  <c r="H37" i="118"/>
  <c r="G37" i="118"/>
  <c r="F37" i="118"/>
  <c r="E37" i="118"/>
  <c r="D37" i="118"/>
  <c r="L36" i="118"/>
  <c r="K36" i="118"/>
  <c r="J36" i="118"/>
  <c r="I36" i="118"/>
  <c r="H36" i="118"/>
  <c r="G36" i="118"/>
  <c r="F36" i="118"/>
  <c r="E36" i="118"/>
  <c r="M36" i="118" s="1"/>
  <c r="Q26" i="118" s="1"/>
  <c r="D36" i="118"/>
  <c r="L35" i="118"/>
  <c r="K35" i="118"/>
  <c r="J35" i="118"/>
  <c r="I35" i="118"/>
  <c r="H35" i="118"/>
  <c r="G35" i="118"/>
  <c r="F35" i="118"/>
  <c r="E35" i="118"/>
  <c r="D35" i="118"/>
  <c r="R34" i="118"/>
  <c r="L114" i="118" s="1"/>
  <c r="L34" i="118"/>
  <c r="K34" i="118"/>
  <c r="J34" i="118"/>
  <c r="I34" i="118"/>
  <c r="H34" i="118"/>
  <c r="G34" i="118"/>
  <c r="F34" i="118"/>
  <c r="E34" i="118"/>
  <c r="D34" i="118"/>
  <c r="L33" i="118"/>
  <c r="K33" i="118"/>
  <c r="J33" i="118"/>
  <c r="I33" i="118"/>
  <c r="H33" i="118"/>
  <c r="G33" i="118"/>
  <c r="F33" i="118"/>
  <c r="E33" i="118"/>
  <c r="D33" i="118"/>
  <c r="Q32" i="118"/>
  <c r="L113" i="118" s="1"/>
  <c r="L32" i="118"/>
  <c r="K32" i="118"/>
  <c r="J32" i="118"/>
  <c r="I32" i="118"/>
  <c r="H32" i="118"/>
  <c r="G32" i="118"/>
  <c r="F32" i="118"/>
  <c r="E32" i="118"/>
  <c r="D32" i="118"/>
  <c r="L28" i="118"/>
  <c r="K28" i="118"/>
  <c r="J28" i="118"/>
  <c r="I28" i="118"/>
  <c r="H28" i="118"/>
  <c r="G28" i="118"/>
  <c r="F28" i="118"/>
  <c r="E28" i="118"/>
  <c r="D28" i="118"/>
  <c r="L27" i="118"/>
  <c r="K27" i="118"/>
  <c r="J27" i="118"/>
  <c r="I27" i="118"/>
  <c r="H27" i="118"/>
  <c r="G27" i="118"/>
  <c r="F27" i="118"/>
  <c r="E27" i="118"/>
  <c r="D27" i="118"/>
  <c r="L26" i="118"/>
  <c r="K26" i="118"/>
  <c r="J26" i="118"/>
  <c r="I26" i="118"/>
  <c r="H26" i="118"/>
  <c r="G26" i="118"/>
  <c r="F26" i="118"/>
  <c r="E26" i="118"/>
  <c r="D26" i="118"/>
  <c r="L25" i="118"/>
  <c r="K25" i="118"/>
  <c r="J25" i="118"/>
  <c r="I25" i="118"/>
  <c r="H25" i="118"/>
  <c r="G25" i="118"/>
  <c r="F25" i="118"/>
  <c r="E25" i="118"/>
  <c r="D25" i="118"/>
  <c r="L24" i="118"/>
  <c r="K24" i="118"/>
  <c r="J24" i="118"/>
  <c r="I24" i="118"/>
  <c r="H24" i="118"/>
  <c r="G24" i="118"/>
  <c r="F24" i="118"/>
  <c r="E24" i="118"/>
  <c r="D24" i="118"/>
  <c r="L23" i="118"/>
  <c r="K23" i="118"/>
  <c r="J23" i="118"/>
  <c r="I23" i="118"/>
  <c r="H23" i="118"/>
  <c r="G23" i="118"/>
  <c r="F23" i="118"/>
  <c r="E23" i="118"/>
  <c r="D23" i="118"/>
  <c r="L22" i="118"/>
  <c r="K22" i="118"/>
  <c r="J22" i="118"/>
  <c r="I22" i="118"/>
  <c r="H22" i="118"/>
  <c r="G22" i="118"/>
  <c r="F22" i="118"/>
  <c r="E22" i="118"/>
  <c r="D22" i="118"/>
  <c r="L21" i="118"/>
  <c r="K21" i="118"/>
  <c r="J21" i="118"/>
  <c r="I21" i="118"/>
  <c r="H21" i="118"/>
  <c r="G21" i="118"/>
  <c r="F21" i="118"/>
  <c r="E21" i="118"/>
  <c r="D21" i="118"/>
  <c r="L20" i="118"/>
  <c r="I20" i="118"/>
  <c r="H20" i="118"/>
  <c r="G20" i="118"/>
  <c r="F20" i="118"/>
  <c r="E20" i="118"/>
  <c r="D20" i="118"/>
  <c r="J19" i="118"/>
  <c r="H19" i="118"/>
  <c r="G19" i="118"/>
  <c r="F19" i="118"/>
  <c r="E19" i="118"/>
  <c r="D19" i="118"/>
  <c r="L14" i="118"/>
  <c r="K14" i="118"/>
  <c r="J14" i="118"/>
  <c r="I14" i="118"/>
  <c r="H14" i="118"/>
  <c r="G14" i="118"/>
  <c r="F14" i="118"/>
  <c r="D14" i="117" s="1"/>
  <c r="E14" i="118"/>
  <c r="D14" i="118"/>
  <c r="L13" i="118"/>
  <c r="K13" i="118"/>
  <c r="J13" i="118"/>
  <c r="I13" i="118"/>
  <c r="H13" i="118"/>
  <c r="G13" i="118"/>
  <c r="F13" i="118"/>
  <c r="D13" i="117" s="1"/>
  <c r="E13" i="118"/>
  <c r="D13" i="118"/>
  <c r="L11" i="118"/>
  <c r="K11" i="118"/>
  <c r="K10" i="118"/>
  <c r="J11" i="118"/>
  <c r="I11" i="118"/>
  <c r="H11" i="118"/>
  <c r="G11" i="118"/>
  <c r="F11" i="118"/>
  <c r="D11" i="117" s="1"/>
  <c r="E11" i="118"/>
  <c r="D11" i="118"/>
  <c r="L10" i="118"/>
  <c r="J10" i="118"/>
  <c r="I10" i="118"/>
  <c r="H10" i="118"/>
  <c r="G10" i="118"/>
  <c r="F10" i="118"/>
  <c r="E10" i="118"/>
  <c r="D10" i="118"/>
  <c r="B3" i="119"/>
  <c r="B2" i="119"/>
  <c r="B1" i="119"/>
  <c r="V103" i="118"/>
  <c r="K20" i="118"/>
  <c r="J20" i="118"/>
  <c r="L19" i="118"/>
  <c r="K19" i="118"/>
  <c r="I19" i="118"/>
  <c r="M7" i="118"/>
  <c r="B6" i="118"/>
  <c r="B4" i="118"/>
  <c r="B3" i="118"/>
  <c r="B2" i="118"/>
  <c r="J2" i="118" s="1"/>
  <c r="E66" i="117"/>
  <c r="E61" i="117"/>
  <c r="C54" i="117"/>
  <c r="E38" i="117"/>
  <c r="D32" i="117"/>
  <c r="E20" i="117"/>
  <c r="C20" i="117"/>
  <c r="E15" i="117"/>
  <c r="C15" i="117"/>
  <c r="D10" i="117"/>
  <c r="A5" i="117"/>
  <c r="A3" i="117"/>
  <c r="A2" i="117"/>
  <c r="A1" i="117"/>
  <c r="G2" i="117" s="1"/>
  <c r="C56" i="116"/>
  <c r="C14" i="116"/>
  <c r="C13" i="116"/>
  <c r="C12" i="116"/>
  <c r="C11" i="116"/>
  <c r="A3" i="116"/>
  <c r="A2" i="116"/>
  <c r="M105" i="114"/>
  <c r="L112" i="114" s="1"/>
  <c r="U103" i="114"/>
  <c r="J27" i="78" s="1"/>
  <c r="R103" i="114"/>
  <c r="I27" i="78" s="1"/>
  <c r="P103" i="114"/>
  <c r="H27" i="78" s="1"/>
  <c r="L97" i="114"/>
  <c r="K97" i="114"/>
  <c r="J97" i="114"/>
  <c r="I97" i="114"/>
  <c r="H97" i="114"/>
  <c r="G97" i="114"/>
  <c r="F97" i="114"/>
  <c r="E97" i="114"/>
  <c r="D97" i="114"/>
  <c r="L96" i="114"/>
  <c r="K96" i="114"/>
  <c r="J96" i="114"/>
  <c r="I96" i="114"/>
  <c r="H96" i="114"/>
  <c r="G96" i="114"/>
  <c r="F96" i="114"/>
  <c r="E96" i="114"/>
  <c r="D96" i="114"/>
  <c r="L95" i="114"/>
  <c r="K95" i="114"/>
  <c r="J95" i="114"/>
  <c r="I95" i="114"/>
  <c r="H95" i="114"/>
  <c r="G95" i="114"/>
  <c r="F95" i="114"/>
  <c r="E95" i="114"/>
  <c r="D95" i="114"/>
  <c r="L94" i="114"/>
  <c r="K94" i="114"/>
  <c r="J94" i="114"/>
  <c r="I94" i="114"/>
  <c r="H94" i="114"/>
  <c r="G94" i="114"/>
  <c r="F94" i="114"/>
  <c r="E94" i="114"/>
  <c r="D94" i="114"/>
  <c r="L93" i="114"/>
  <c r="K93" i="114"/>
  <c r="J93" i="114"/>
  <c r="I93" i="114"/>
  <c r="H93" i="114"/>
  <c r="G93" i="114"/>
  <c r="F93" i="114"/>
  <c r="E93" i="114"/>
  <c r="D93" i="114"/>
  <c r="L88" i="114"/>
  <c r="K88" i="114"/>
  <c r="J88" i="114"/>
  <c r="I88" i="114"/>
  <c r="I87" i="114"/>
  <c r="H88" i="114"/>
  <c r="G88" i="114"/>
  <c r="F88" i="114"/>
  <c r="E88" i="114"/>
  <c r="D88" i="114"/>
  <c r="S87" i="114"/>
  <c r="B21" i="115" s="1"/>
  <c r="L87" i="114"/>
  <c r="K87" i="114"/>
  <c r="J87" i="114"/>
  <c r="H87" i="114"/>
  <c r="G87" i="114"/>
  <c r="G89" i="114" s="1"/>
  <c r="F87" i="114"/>
  <c r="E87" i="114"/>
  <c r="D87" i="114"/>
  <c r="S84" i="114"/>
  <c r="L120" i="114" s="1"/>
  <c r="B17" i="115"/>
  <c r="L83" i="114"/>
  <c r="K83" i="114"/>
  <c r="J83" i="114"/>
  <c r="I83" i="114"/>
  <c r="H83" i="114"/>
  <c r="G83" i="114"/>
  <c r="F83" i="114"/>
  <c r="D60" i="113" s="1"/>
  <c r="E83" i="114"/>
  <c r="D83" i="114"/>
  <c r="L82" i="114"/>
  <c r="K82" i="114"/>
  <c r="J82" i="114"/>
  <c r="I82" i="114"/>
  <c r="H82" i="114"/>
  <c r="G82" i="114"/>
  <c r="F82" i="114"/>
  <c r="D59" i="113" s="1"/>
  <c r="E82" i="114"/>
  <c r="D82" i="114"/>
  <c r="L81" i="114"/>
  <c r="K81" i="114"/>
  <c r="J81" i="114"/>
  <c r="I81" i="114"/>
  <c r="H81" i="114"/>
  <c r="G81" i="114"/>
  <c r="F81" i="114"/>
  <c r="D58" i="113" s="1"/>
  <c r="E81" i="114"/>
  <c r="D81" i="114"/>
  <c r="L80" i="114"/>
  <c r="K80" i="114"/>
  <c r="J80" i="114"/>
  <c r="I80" i="114"/>
  <c r="H80" i="114"/>
  <c r="G80" i="114"/>
  <c r="F80" i="114"/>
  <c r="E80" i="114"/>
  <c r="D80" i="114"/>
  <c r="S77" i="114"/>
  <c r="S76" i="114"/>
  <c r="L76" i="114"/>
  <c r="K76" i="114"/>
  <c r="J76" i="114"/>
  <c r="I76" i="114"/>
  <c r="H76" i="114"/>
  <c r="G76" i="114"/>
  <c r="F76" i="114"/>
  <c r="D53" i="113" s="1"/>
  <c r="E76" i="114"/>
  <c r="D76" i="114"/>
  <c r="L75" i="114"/>
  <c r="K75" i="114"/>
  <c r="J75" i="114"/>
  <c r="I75" i="114"/>
  <c r="H75" i="114"/>
  <c r="G75" i="114"/>
  <c r="F75" i="114"/>
  <c r="D52" i="113"/>
  <c r="E75" i="114"/>
  <c r="D75" i="114"/>
  <c r="X74" i="114"/>
  <c r="P74" i="114"/>
  <c r="L74" i="114"/>
  <c r="K74" i="114"/>
  <c r="J74" i="114"/>
  <c r="I74" i="114"/>
  <c r="H74" i="114"/>
  <c r="G74" i="114"/>
  <c r="F74" i="114"/>
  <c r="E74" i="114"/>
  <c r="D74" i="114"/>
  <c r="X73" i="114"/>
  <c r="R73" i="114"/>
  <c r="Q73" i="114"/>
  <c r="P73" i="114"/>
  <c r="L73" i="114"/>
  <c r="K73" i="114"/>
  <c r="J73" i="114"/>
  <c r="I73" i="114"/>
  <c r="H73" i="114"/>
  <c r="G73" i="114"/>
  <c r="F73" i="114"/>
  <c r="D50" i="113" s="1"/>
  <c r="E73" i="114"/>
  <c r="D73" i="114"/>
  <c r="X72" i="114"/>
  <c r="R72" i="114"/>
  <c r="Q72" i="114"/>
  <c r="P72" i="114"/>
  <c r="L72" i="114"/>
  <c r="K72" i="114"/>
  <c r="J72" i="114"/>
  <c r="I72" i="114"/>
  <c r="H72" i="114"/>
  <c r="G72" i="114"/>
  <c r="F72" i="114"/>
  <c r="D49" i="113" s="1"/>
  <c r="E72" i="114"/>
  <c r="D72" i="114"/>
  <c r="X71" i="114"/>
  <c r="R71" i="114"/>
  <c r="Q71" i="114"/>
  <c r="P71" i="114"/>
  <c r="L71" i="114"/>
  <c r="K71" i="114"/>
  <c r="J71" i="114"/>
  <c r="I71" i="114"/>
  <c r="H71" i="114"/>
  <c r="G71" i="114"/>
  <c r="F71" i="114"/>
  <c r="D48" i="113" s="1"/>
  <c r="E71" i="114"/>
  <c r="D71" i="114"/>
  <c r="X70" i="114"/>
  <c r="R70" i="114"/>
  <c r="Q70" i="114"/>
  <c r="P70" i="114"/>
  <c r="L70" i="114"/>
  <c r="K70" i="114"/>
  <c r="J70" i="114"/>
  <c r="I70" i="114"/>
  <c r="H70" i="114"/>
  <c r="G70" i="114"/>
  <c r="F70" i="114"/>
  <c r="D47" i="113" s="1"/>
  <c r="E70" i="114"/>
  <c r="D70" i="114"/>
  <c r="X69" i="114"/>
  <c r="R69" i="114"/>
  <c r="Q69" i="114"/>
  <c r="P69" i="114"/>
  <c r="L69" i="114"/>
  <c r="K69" i="114"/>
  <c r="J69" i="114"/>
  <c r="I69" i="114"/>
  <c r="H69" i="114"/>
  <c r="G69" i="114"/>
  <c r="F69" i="114"/>
  <c r="D46" i="113" s="1"/>
  <c r="E69" i="114"/>
  <c r="D69" i="114"/>
  <c r="X68" i="114"/>
  <c r="R68" i="114"/>
  <c r="Q68" i="114"/>
  <c r="P68" i="114"/>
  <c r="L68" i="114"/>
  <c r="K68" i="114"/>
  <c r="J68" i="114"/>
  <c r="I68" i="114"/>
  <c r="H68" i="114"/>
  <c r="G68" i="114"/>
  <c r="F68" i="114"/>
  <c r="D45" i="113" s="1"/>
  <c r="E68" i="114"/>
  <c r="D68" i="114"/>
  <c r="X67" i="114"/>
  <c r="R67" i="114"/>
  <c r="Q67" i="114"/>
  <c r="P67" i="114"/>
  <c r="L67" i="114"/>
  <c r="K67" i="114"/>
  <c r="J67" i="114"/>
  <c r="I67" i="114"/>
  <c r="H67" i="114"/>
  <c r="G67" i="114"/>
  <c r="F67" i="114"/>
  <c r="E67" i="114"/>
  <c r="D67" i="114"/>
  <c r="X66" i="114"/>
  <c r="R66" i="114"/>
  <c r="Q66" i="114"/>
  <c r="P66" i="114"/>
  <c r="L66" i="114"/>
  <c r="K66" i="114"/>
  <c r="J66" i="114"/>
  <c r="I66" i="114"/>
  <c r="H66" i="114"/>
  <c r="G66" i="114"/>
  <c r="F66" i="114"/>
  <c r="D43" i="113" s="1"/>
  <c r="E66" i="114"/>
  <c r="D66" i="114"/>
  <c r="X65" i="114"/>
  <c r="R65" i="114"/>
  <c r="Q65" i="114"/>
  <c r="P65" i="114"/>
  <c r="L65" i="114"/>
  <c r="K65" i="114"/>
  <c r="J65" i="114"/>
  <c r="I65" i="114"/>
  <c r="H65" i="114"/>
  <c r="G65" i="114"/>
  <c r="F65" i="114"/>
  <c r="D42" i="113" s="1"/>
  <c r="E65" i="114"/>
  <c r="D65" i="114"/>
  <c r="L61" i="114"/>
  <c r="K61" i="114"/>
  <c r="J61" i="114"/>
  <c r="I61" i="114"/>
  <c r="H61" i="114"/>
  <c r="G61" i="114"/>
  <c r="F61" i="114"/>
  <c r="D37" i="113" s="1"/>
  <c r="E61" i="114"/>
  <c r="D61" i="114"/>
  <c r="L60" i="114"/>
  <c r="K60" i="114"/>
  <c r="J60" i="114"/>
  <c r="I60" i="114"/>
  <c r="H60" i="114"/>
  <c r="G60" i="114"/>
  <c r="F60" i="114"/>
  <c r="E60" i="114"/>
  <c r="D60" i="114"/>
  <c r="L59" i="114"/>
  <c r="K59" i="114"/>
  <c r="J59" i="114"/>
  <c r="I59" i="114"/>
  <c r="H59" i="114"/>
  <c r="G59" i="114"/>
  <c r="F59" i="114"/>
  <c r="D35" i="113"/>
  <c r="E59" i="114"/>
  <c r="D59" i="114"/>
  <c r="L58" i="114"/>
  <c r="K58" i="114"/>
  <c r="J58" i="114"/>
  <c r="I58" i="114"/>
  <c r="H58" i="114"/>
  <c r="G58" i="114"/>
  <c r="F58" i="114"/>
  <c r="D34" i="113" s="1"/>
  <c r="E58" i="114"/>
  <c r="D58" i="114"/>
  <c r="L57" i="114"/>
  <c r="K57" i="114"/>
  <c r="J57" i="114"/>
  <c r="I57" i="114"/>
  <c r="H57" i="114"/>
  <c r="G57" i="114"/>
  <c r="F57" i="114"/>
  <c r="D33" i="113" s="1"/>
  <c r="E57" i="114"/>
  <c r="D57" i="114"/>
  <c r="L56" i="114"/>
  <c r="K56" i="114"/>
  <c r="J56" i="114"/>
  <c r="I56" i="114"/>
  <c r="H56" i="114"/>
  <c r="G56" i="114"/>
  <c r="F56" i="114"/>
  <c r="D32" i="113" s="1"/>
  <c r="E56" i="114"/>
  <c r="D56" i="114"/>
  <c r="L53" i="114"/>
  <c r="K53" i="114"/>
  <c r="J53" i="114"/>
  <c r="I53" i="114"/>
  <c r="H53" i="114"/>
  <c r="G53" i="114"/>
  <c r="F53" i="114"/>
  <c r="E53" i="114"/>
  <c r="D53" i="114"/>
  <c r="L50" i="114"/>
  <c r="K50" i="114"/>
  <c r="J50" i="114"/>
  <c r="I50" i="114"/>
  <c r="H50" i="114"/>
  <c r="G50" i="114"/>
  <c r="F50" i="114"/>
  <c r="D26" i="113" s="1"/>
  <c r="E76" i="113" s="1"/>
  <c r="E50" i="114"/>
  <c r="D50" i="114"/>
  <c r="L47" i="114"/>
  <c r="K47" i="114"/>
  <c r="J47" i="114"/>
  <c r="I47" i="114"/>
  <c r="H47" i="114"/>
  <c r="G47" i="114"/>
  <c r="F47" i="114"/>
  <c r="D23" i="113" s="1"/>
  <c r="E47" i="114"/>
  <c r="D47" i="114"/>
  <c r="L41" i="114"/>
  <c r="K41" i="114"/>
  <c r="J41" i="114"/>
  <c r="I41" i="114"/>
  <c r="H41" i="114"/>
  <c r="G41" i="114"/>
  <c r="F41" i="114"/>
  <c r="E41" i="114"/>
  <c r="D41" i="114"/>
  <c r="L40" i="114"/>
  <c r="K40" i="114"/>
  <c r="J40" i="114"/>
  <c r="I40" i="114"/>
  <c r="H40" i="114"/>
  <c r="G40" i="114"/>
  <c r="F40" i="114"/>
  <c r="E40" i="114"/>
  <c r="D40" i="114"/>
  <c r="L39" i="114"/>
  <c r="K39" i="114"/>
  <c r="J39" i="114"/>
  <c r="I39" i="114"/>
  <c r="H39" i="114"/>
  <c r="G39" i="114"/>
  <c r="F39" i="114"/>
  <c r="E39" i="114"/>
  <c r="D39" i="114"/>
  <c r="L38" i="114"/>
  <c r="K38" i="114"/>
  <c r="J38" i="114"/>
  <c r="I38" i="114"/>
  <c r="H38" i="114"/>
  <c r="G38" i="114"/>
  <c r="F38" i="114"/>
  <c r="E38" i="114"/>
  <c r="D38" i="114"/>
  <c r="L37" i="114"/>
  <c r="K37" i="114"/>
  <c r="J37" i="114"/>
  <c r="I37" i="114"/>
  <c r="H37" i="114"/>
  <c r="G37" i="114"/>
  <c r="G42" i="114" s="1"/>
  <c r="F37" i="114"/>
  <c r="E37" i="114"/>
  <c r="D37" i="114"/>
  <c r="L36" i="114"/>
  <c r="K36" i="114"/>
  <c r="J36" i="114"/>
  <c r="I36" i="114"/>
  <c r="H36" i="114"/>
  <c r="G36" i="114"/>
  <c r="F36" i="114"/>
  <c r="E36" i="114"/>
  <c r="D36" i="114"/>
  <c r="L35" i="114"/>
  <c r="K35" i="114"/>
  <c r="J35" i="114"/>
  <c r="I35" i="114"/>
  <c r="H35" i="114"/>
  <c r="G35" i="114"/>
  <c r="F35" i="114"/>
  <c r="E35" i="114"/>
  <c r="D35" i="114"/>
  <c r="R34" i="114"/>
  <c r="L114" i="114" s="1"/>
  <c r="L34" i="114"/>
  <c r="K34" i="114"/>
  <c r="J34" i="114"/>
  <c r="I34" i="114"/>
  <c r="H34" i="114"/>
  <c r="G34" i="114"/>
  <c r="F34" i="114"/>
  <c r="E34" i="114"/>
  <c r="D34" i="114"/>
  <c r="L33" i="114"/>
  <c r="K33" i="114"/>
  <c r="J33" i="114"/>
  <c r="I33" i="114"/>
  <c r="H33" i="114"/>
  <c r="G33" i="114"/>
  <c r="F33" i="114"/>
  <c r="E33" i="114"/>
  <c r="D33" i="114"/>
  <c r="Q32" i="114"/>
  <c r="L113" i="114" s="1"/>
  <c r="L32" i="114"/>
  <c r="K32" i="114"/>
  <c r="J32" i="114"/>
  <c r="I32" i="114"/>
  <c r="H32" i="114"/>
  <c r="G32" i="114"/>
  <c r="F32" i="114"/>
  <c r="E32" i="114"/>
  <c r="D32" i="114"/>
  <c r="L28" i="114"/>
  <c r="K28" i="114"/>
  <c r="J28" i="114"/>
  <c r="I28" i="114"/>
  <c r="H28" i="114"/>
  <c r="G28" i="114"/>
  <c r="F28" i="114"/>
  <c r="E28" i="114"/>
  <c r="D28" i="114"/>
  <c r="L27" i="114"/>
  <c r="K27" i="114"/>
  <c r="J27" i="114"/>
  <c r="I27" i="114"/>
  <c r="H27" i="114"/>
  <c r="G27" i="114"/>
  <c r="F27" i="114"/>
  <c r="E27" i="114"/>
  <c r="D27" i="114"/>
  <c r="L26" i="114"/>
  <c r="K26" i="114"/>
  <c r="J26" i="114"/>
  <c r="I26" i="114"/>
  <c r="H26" i="114"/>
  <c r="G26" i="114"/>
  <c r="F26" i="114"/>
  <c r="E26" i="114"/>
  <c r="D26" i="114"/>
  <c r="L25" i="114"/>
  <c r="K25" i="114"/>
  <c r="J25" i="114"/>
  <c r="I25" i="114"/>
  <c r="H25" i="114"/>
  <c r="G25" i="114"/>
  <c r="F25" i="114"/>
  <c r="E25" i="114"/>
  <c r="D25" i="114"/>
  <c r="L24" i="114"/>
  <c r="K24" i="114"/>
  <c r="J24" i="114"/>
  <c r="I24" i="114"/>
  <c r="H24" i="114"/>
  <c r="G24" i="114"/>
  <c r="F24" i="114"/>
  <c r="E24" i="114"/>
  <c r="D24" i="114"/>
  <c r="L23" i="114"/>
  <c r="K23" i="114"/>
  <c r="J23" i="114"/>
  <c r="I23" i="114"/>
  <c r="H23" i="114"/>
  <c r="G23" i="114"/>
  <c r="F23" i="114"/>
  <c r="E23" i="114"/>
  <c r="D23" i="114"/>
  <c r="L22" i="114"/>
  <c r="K22" i="114"/>
  <c r="J22" i="114"/>
  <c r="I22" i="114"/>
  <c r="H22" i="114"/>
  <c r="G22" i="114"/>
  <c r="F22" i="114"/>
  <c r="E22" i="114"/>
  <c r="D22" i="114"/>
  <c r="L21" i="114"/>
  <c r="K21" i="114"/>
  <c r="J21" i="114"/>
  <c r="I21" i="114"/>
  <c r="H21" i="114"/>
  <c r="G21" i="114"/>
  <c r="F21" i="114"/>
  <c r="E21" i="114"/>
  <c r="D21" i="114"/>
  <c r="L20" i="114"/>
  <c r="I20" i="114"/>
  <c r="H20" i="114"/>
  <c r="G20" i="114"/>
  <c r="F20" i="114"/>
  <c r="E20" i="114"/>
  <c r="D20" i="114"/>
  <c r="J19" i="114"/>
  <c r="H19" i="114"/>
  <c r="G19" i="114"/>
  <c r="F19" i="114"/>
  <c r="E19" i="114"/>
  <c r="D19" i="114"/>
  <c r="L14" i="114"/>
  <c r="K14" i="114"/>
  <c r="J14" i="114"/>
  <c r="I14" i="114"/>
  <c r="H14" i="114"/>
  <c r="G14" i="114"/>
  <c r="F14" i="114"/>
  <c r="D14" i="113" s="1"/>
  <c r="E14" i="114"/>
  <c r="D14" i="114"/>
  <c r="L13" i="114"/>
  <c r="K13" i="114"/>
  <c r="J13" i="114"/>
  <c r="I13" i="114"/>
  <c r="H13" i="114"/>
  <c r="G13" i="114"/>
  <c r="F13" i="114"/>
  <c r="D13" i="113" s="1"/>
  <c r="E13" i="114"/>
  <c r="D13" i="114"/>
  <c r="L11" i="114"/>
  <c r="K11" i="114"/>
  <c r="J11" i="114"/>
  <c r="I11" i="114"/>
  <c r="H11" i="114"/>
  <c r="G11" i="114"/>
  <c r="F11" i="114"/>
  <c r="E11" i="114"/>
  <c r="D11" i="114"/>
  <c r="L10" i="114"/>
  <c r="K10" i="114"/>
  <c r="J10" i="114"/>
  <c r="I10" i="114"/>
  <c r="H10" i="114"/>
  <c r="G10" i="114"/>
  <c r="F10" i="114"/>
  <c r="D10" i="113" s="1"/>
  <c r="E10" i="114"/>
  <c r="D10" i="114"/>
  <c r="B3" i="115"/>
  <c r="B2" i="115"/>
  <c r="B1" i="115"/>
  <c r="V103" i="114"/>
  <c r="K20" i="114"/>
  <c r="J20" i="114"/>
  <c r="L19" i="114"/>
  <c r="K19" i="114"/>
  <c r="I19" i="114"/>
  <c r="M7" i="114"/>
  <c r="B6" i="114"/>
  <c r="B4" i="114"/>
  <c r="B3" i="114"/>
  <c r="B2" i="114"/>
  <c r="P13" i="114" s="1"/>
  <c r="D73" i="113"/>
  <c r="E66" i="113"/>
  <c r="E61" i="113"/>
  <c r="C54" i="113"/>
  <c r="E38" i="113"/>
  <c r="E20" i="113"/>
  <c r="C20" i="113"/>
  <c r="E15" i="113"/>
  <c r="C15" i="113"/>
  <c r="A5" i="113"/>
  <c r="A3" i="113"/>
  <c r="A2" i="113"/>
  <c r="A1" i="113"/>
  <c r="G2" i="113" s="1"/>
  <c r="C56" i="112"/>
  <c r="C14" i="112"/>
  <c r="C13" i="112"/>
  <c r="C12" i="112"/>
  <c r="C11" i="112"/>
  <c r="A3" i="112"/>
  <c r="A2" i="112"/>
  <c r="L121" i="114"/>
  <c r="L122" i="118"/>
  <c r="D57" i="113"/>
  <c r="M105" i="110"/>
  <c r="L112" i="110" s="1"/>
  <c r="U103" i="110"/>
  <c r="J26" i="78" s="1"/>
  <c r="R103" i="110"/>
  <c r="I26" i="78" s="1"/>
  <c r="P103" i="110"/>
  <c r="H26" i="78" s="1"/>
  <c r="L97" i="110"/>
  <c r="K97" i="110"/>
  <c r="J97" i="110"/>
  <c r="I97" i="110"/>
  <c r="H97" i="110"/>
  <c r="G97" i="110"/>
  <c r="F97" i="110"/>
  <c r="E97" i="110"/>
  <c r="D97" i="110"/>
  <c r="L96" i="110"/>
  <c r="K96" i="110"/>
  <c r="J96" i="110"/>
  <c r="I96" i="110"/>
  <c r="H96" i="110"/>
  <c r="G96" i="110"/>
  <c r="F96" i="110"/>
  <c r="E96" i="110"/>
  <c r="D96" i="110"/>
  <c r="L95" i="110"/>
  <c r="K95" i="110"/>
  <c r="J95" i="110"/>
  <c r="I95" i="110"/>
  <c r="H95" i="110"/>
  <c r="G95" i="110"/>
  <c r="F95" i="110"/>
  <c r="E95" i="110"/>
  <c r="D95" i="110"/>
  <c r="L94" i="110"/>
  <c r="K94" i="110"/>
  <c r="J94" i="110"/>
  <c r="I94" i="110"/>
  <c r="H94" i="110"/>
  <c r="G94" i="110"/>
  <c r="F94" i="110"/>
  <c r="E94" i="110"/>
  <c r="D94" i="110"/>
  <c r="L93" i="110"/>
  <c r="K93" i="110"/>
  <c r="J93" i="110"/>
  <c r="I93" i="110"/>
  <c r="H93" i="110"/>
  <c r="G93" i="110"/>
  <c r="F93" i="110"/>
  <c r="E93" i="110"/>
  <c r="D93" i="110"/>
  <c r="L88" i="110"/>
  <c r="K88" i="110"/>
  <c r="J88" i="110"/>
  <c r="I88" i="110"/>
  <c r="H88" i="110"/>
  <c r="G88" i="110"/>
  <c r="F88" i="110"/>
  <c r="D65" i="109" s="1"/>
  <c r="E88" i="110"/>
  <c r="D88" i="110"/>
  <c r="D89" i="110" s="1"/>
  <c r="S87" i="110"/>
  <c r="L87" i="110"/>
  <c r="K87" i="110"/>
  <c r="J87" i="110"/>
  <c r="I87" i="110"/>
  <c r="H87" i="110"/>
  <c r="G87" i="110"/>
  <c r="F87" i="110"/>
  <c r="E87" i="110"/>
  <c r="D87" i="110"/>
  <c r="S84" i="110"/>
  <c r="B17" i="111" s="1"/>
  <c r="L83" i="110"/>
  <c r="K83" i="110"/>
  <c r="J83" i="110"/>
  <c r="I83" i="110"/>
  <c r="H83" i="110"/>
  <c r="G83" i="110"/>
  <c r="F83" i="110"/>
  <c r="D60" i="109" s="1"/>
  <c r="E83" i="110"/>
  <c r="D83" i="110"/>
  <c r="L82" i="110"/>
  <c r="K82" i="110"/>
  <c r="J82" i="110"/>
  <c r="I82" i="110"/>
  <c r="H82" i="110"/>
  <c r="G82" i="110"/>
  <c r="F82" i="110"/>
  <c r="D59" i="109" s="1"/>
  <c r="E82" i="110"/>
  <c r="D82" i="110"/>
  <c r="L81" i="110"/>
  <c r="K81" i="110"/>
  <c r="J81" i="110"/>
  <c r="I81" i="110"/>
  <c r="H81" i="110"/>
  <c r="G81" i="110"/>
  <c r="F81" i="110"/>
  <c r="D58" i="109" s="1"/>
  <c r="E81" i="110"/>
  <c r="D81" i="110"/>
  <c r="L80" i="110"/>
  <c r="K80" i="110"/>
  <c r="J80" i="110"/>
  <c r="I80" i="110"/>
  <c r="H80" i="110"/>
  <c r="G80" i="110"/>
  <c r="F80" i="110"/>
  <c r="E80" i="110"/>
  <c r="D80" i="110"/>
  <c r="S77" i="110"/>
  <c r="S76" i="110"/>
  <c r="L76" i="110"/>
  <c r="K76" i="110"/>
  <c r="J76" i="110"/>
  <c r="I76" i="110"/>
  <c r="H76" i="110"/>
  <c r="G76" i="110"/>
  <c r="F76" i="110"/>
  <c r="D53" i="109" s="1"/>
  <c r="E76" i="110"/>
  <c r="D76" i="110"/>
  <c r="L75" i="110"/>
  <c r="K75" i="110"/>
  <c r="J75" i="110"/>
  <c r="I75" i="110"/>
  <c r="H75" i="110"/>
  <c r="G75" i="110"/>
  <c r="F75" i="110"/>
  <c r="D52" i="109" s="1"/>
  <c r="E75" i="110"/>
  <c r="D75" i="110"/>
  <c r="X74" i="110"/>
  <c r="P74" i="110"/>
  <c r="L74" i="110"/>
  <c r="K74" i="110"/>
  <c r="J74" i="110"/>
  <c r="I74" i="110"/>
  <c r="H74" i="110"/>
  <c r="G74" i="110"/>
  <c r="F74" i="110"/>
  <c r="D73" i="109" s="1"/>
  <c r="E74" i="110"/>
  <c r="D74" i="110"/>
  <c r="X73" i="110"/>
  <c r="R73" i="110"/>
  <c r="Q73" i="110"/>
  <c r="P73" i="110"/>
  <c r="L73" i="110"/>
  <c r="K73" i="110"/>
  <c r="J73" i="110"/>
  <c r="I73" i="110"/>
  <c r="H73" i="110"/>
  <c r="G73" i="110"/>
  <c r="F73" i="110"/>
  <c r="D50" i="109" s="1"/>
  <c r="E73" i="110"/>
  <c r="D73" i="110"/>
  <c r="X72" i="110"/>
  <c r="R72" i="110"/>
  <c r="Q72" i="110"/>
  <c r="P72" i="110"/>
  <c r="L72" i="110"/>
  <c r="K72" i="110"/>
  <c r="J72" i="110"/>
  <c r="I72" i="110"/>
  <c r="H72" i="110"/>
  <c r="G72" i="110"/>
  <c r="F72" i="110"/>
  <c r="D49" i="109" s="1"/>
  <c r="E72" i="110"/>
  <c r="D72" i="110"/>
  <c r="X71" i="110"/>
  <c r="R71" i="110"/>
  <c r="Q71" i="110"/>
  <c r="P71" i="110"/>
  <c r="L71" i="110"/>
  <c r="K71" i="110"/>
  <c r="J71" i="110"/>
  <c r="I71" i="110"/>
  <c r="H71" i="110"/>
  <c r="G71" i="110"/>
  <c r="F71" i="110"/>
  <c r="E71" i="110"/>
  <c r="D71" i="110"/>
  <c r="X70" i="110"/>
  <c r="R70" i="110"/>
  <c r="Q70" i="110"/>
  <c r="P70" i="110"/>
  <c r="L70" i="110"/>
  <c r="K70" i="110"/>
  <c r="J70" i="110"/>
  <c r="I70" i="110"/>
  <c r="H70" i="110"/>
  <c r="G70" i="110"/>
  <c r="F70" i="110"/>
  <c r="D47" i="109" s="1"/>
  <c r="E70" i="110"/>
  <c r="D70" i="110"/>
  <c r="X69" i="110"/>
  <c r="R69" i="110"/>
  <c r="Q69" i="110"/>
  <c r="P69" i="110"/>
  <c r="L69" i="110"/>
  <c r="K69" i="110"/>
  <c r="J69" i="110"/>
  <c r="I69" i="110"/>
  <c r="H69" i="110"/>
  <c r="G69" i="110"/>
  <c r="F69" i="110"/>
  <c r="D46" i="109" s="1"/>
  <c r="E69" i="110"/>
  <c r="D69" i="110"/>
  <c r="X68" i="110"/>
  <c r="R68" i="110"/>
  <c r="Q68" i="110"/>
  <c r="P68" i="110"/>
  <c r="L68" i="110"/>
  <c r="K68" i="110"/>
  <c r="J68" i="110"/>
  <c r="I68" i="110"/>
  <c r="H68" i="110"/>
  <c r="G68" i="110"/>
  <c r="F68" i="110"/>
  <c r="D45" i="109" s="1"/>
  <c r="E68" i="110"/>
  <c r="D68" i="110"/>
  <c r="X67" i="110"/>
  <c r="R67" i="110"/>
  <c r="Q67" i="110"/>
  <c r="P67" i="110"/>
  <c r="L67" i="110"/>
  <c r="K67" i="110"/>
  <c r="J67" i="110"/>
  <c r="I67" i="110"/>
  <c r="H67" i="110"/>
  <c r="G67" i="110"/>
  <c r="F67" i="110"/>
  <c r="D44" i="109" s="1"/>
  <c r="E67" i="110"/>
  <c r="D67" i="110"/>
  <c r="X66" i="110"/>
  <c r="R66" i="110"/>
  <c r="Q66" i="110"/>
  <c r="P66" i="110"/>
  <c r="L66" i="110"/>
  <c r="K66" i="110"/>
  <c r="J66" i="110"/>
  <c r="I66" i="110"/>
  <c r="H66" i="110"/>
  <c r="G66" i="110"/>
  <c r="F66" i="110"/>
  <c r="D43" i="109" s="1"/>
  <c r="E66" i="110"/>
  <c r="D66" i="110"/>
  <c r="X65" i="110"/>
  <c r="R65" i="110"/>
  <c r="Q65" i="110"/>
  <c r="P65" i="110"/>
  <c r="L65" i="110"/>
  <c r="K65" i="110"/>
  <c r="J65" i="110"/>
  <c r="I65" i="110"/>
  <c r="H65" i="110"/>
  <c r="G65" i="110"/>
  <c r="F65" i="110"/>
  <c r="E65" i="110"/>
  <c r="D65" i="110"/>
  <c r="L61" i="110"/>
  <c r="K61" i="110"/>
  <c r="J61" i="110"/>
  <c r="I61" i="110"/>
  <c r="H61" i="110"/>
  <c r="G61" i="110"/>
  <c r="F61" i="110"/>
  <c r="D37" i="109" s="1"/>
  <c r="E61" i="110"/>
  <c r="D61" i="110"/>
  <c r="L60" i="110"/>
  <c r="K60" i="110"/>
  <c r="J60" i="110"/>
  <c r="I60" i="110"/>
  <c r="H60" i="110"/>
  <c r="G60" i="110"/>
  <c r="F60" i="110"/>
  <c r="D36" i="109" s="1"/>
  <c r="E60" i="110"/>
  <c r="D60" i="110"/>
  <c r="L59" i="110"/>
  <c r="K59" i="110"/>
  <c r="J59" i="110"/>
  <c r="I59" i="110"/>
  <c r="H59" i="110"/>
  <c r="G59" i="110"/>
  <c r="F59" i="110"/>
  <c r="D35" i="109" s="1"/>
  <c r="E59" i="110"/>
  <c r="D59" i="110"/>
  <c r="L58" i="110"/>
  <c r="K58" i="110"/>
  <c r="J58" i="110"/>
  <c r="I58" i="110"/>
  <c r="H58" i="110"/>
  <c r="G58" i="110"/>
  <c r="F58" i="110"/>
  <c r="D34" i="109" s="1"/>
  <c r="E58" i="110"/>
  <c r="D58" i="110"/>
  <c r="L57" i="110"/>
  <c r="K57" i="110"/>
  <c r="J57" i="110"/>
  <c r="I57" i="110"/>
  <c r="H57" i="110"/>
  <c r="G57" i="110"/>
  <c r="F57" i="110"/>
  <c r="D33" i="109" s="1"/>
  <c r="E57" i="110"/>
  <c r="D57" i="110"/>
  <c r="L56" i="110"/>
  <c r="K56" i="110"/>
  <c r="J56" i="110"/>
  <c r="I56" i="110"/>
  <c r="H56" i="110"/>
  <c r="G56" i="110"/>
  <c r="F56" i="110"/>
  <c r="D32" i="109" s="1"/>
  <c r="E56" i="110"/>
  <c r="D56" i="110"/>
  <c r="L53" i="110"/>
  <c r="K53" i="110"/>
  <c r="J53" i="110"/>
  <c r="I53" i="110"/>
  <c r="H53" i="110"/>
  <c r="G53" i="110"/>
  <c r="F53" i="110"/>
  <c r="D29" i="109" s="1"/>
  <c r="E53" i="110"/>
  <c r="D53" i="110"/>
  <c r="L50" i="110"/>
  <c r="K50" i="110"/>
  <c r="J50" i="110"/>
  <c r="I50" i="110"/>
  <c r="H50" i="110"/>
  <c r="G50" i="110"/>
  <c r="F50" i="110"/>
  <c r="D26" i="109" s="1"/>
  <c r="E76" i="109" s="1"/>
  <c r="E50" i="110"/>
  <c r="D50" i="110"/>
  <c r="L47" i="110"/>
  <c r="K47" i="110"/>
  <c r="J47" i="110"/>
  <c r="I47" i="110"/>
  <c r="H47" i="110"/>
  <c r="G47" i="110"/>
  <c r="F47" i="110"/>
  <c r="E47" i="110"/>
  <c r="D47" i="110"/>
  <c r="L41" i="110"/>
  <c r="K41" i="110"/>
  <c r="J41" i="110"/>
  <c r="I41" i="110"/>
  <c r="H41" i="110"/>
  <c r="G41" i="110"/>
  <c r="F41" i="110"/>
  <c r="E41" i="110"/>
  <c r="D41" i="110"/>
  <c r="L40" i="110"/>
  <c r="K40" i="110"/>
  <c r="J40" i="110"/>
  <c r="I40" i="110"/>
  <c r="H40" i="110"/>
  <c r="G40" i="110"/>
  <c r="F40" i="110"/>
  <c r="E40" i="110"/>
  <c r="D40" i="110"/>
  <c r="L39" i="110"/>
  <c r="K39" i="110"/>
  <c r="J39" i="110"/>
  <c r="I39" i="110"/>
  <c r="H39" i="110"/>
  <c r="G39" i="110"/>
  <c r="F39" i="110"/>
  <c r="E39" i="110"/>
  <c r="D39" i="110"/>
  <c r="L38" i="110"/>
  <c r="K38" i="110"/>
  <c r="J38" i="110"/>
  <c r="I38" i="110"/>
  <c r="H38" i="110"/>
  <c r="G38" i="110"/>
  <c r="F38" i="110"/>
  <c r="E38" i="110"/>
  <c r="D38" i="110"/>
  <c r="L37" i="110"/>
  <c r="K37" i="110"/>
  <c r="J37" i="110"/>
  <c r="I37" i="110"/>
  <c r="H37" i="110"/>
  <c r="G37" i="110"/>
  <c r="F37" i="110"/>
  <c r="E37" i="110"/>
  <c r="D37" i="110"/>
  <c r="L36" i="110"/>
  <c r="K36" i="110"/>
  <c r="J36" i="110"/>
  <c r="I36" i="110"/>
  <c r="H36" i="110"/>
  <c r="G36" i="110"/>
  <c r="F36" i="110"/>
  <c r="E36" i="110"/>
  <c r="D36" i="110"/>
  <c r="L35" i="110"/>
  <c r="K35" i="110"/>
  <c r="J35" i="110"/>
  <c r="I35" i="110"/>
  <c r="H35" i="110"/>
  <c r="G35" i="110"/>
  <c r="F35" i="110"/>
  <c r="E35" i="110"/>
  <c r="D35" i="110"/>
  <c r="R34" i="110"/>
  <c r="L114" i="110" s="1"/>
  <c r="L34" i="110"/>
  <c r="K34" i="110"/>
  <c r="J34" i="110"/>
  <c r="I34" i="110"/>
  <c r="H34" i="110"/>
  <c r="G34" i="110"/>
  <c r="F34" i="110"/>
  <c r="E34" i="110"/>
  <c r="D34" i="110"/>
  <c r="L33" i="110"/>
  <c r="K33" i="110"/>
  <c r="J33" i="110"/>
  <c r="I33" i="110"/>
  <c r="H33" i="110"/>
  <c r="G33" i="110"/>
  <c r="F33" i="110"/>
  <c r="E33" i="110"/>
  <c r="D33" i="110"/>
  <c r="Q32" i="110"/>
  <c r="L113" i="110" s="1"/>
  <c r="L32" i="110"/>
  <c r="K32" i="110"/>
  <c r="J32" i="110"/>
  <c r="I32" i="110"/>
  <c r="H32" i="110"/>
  <c r="G32" i="110"/>
  <c r="F32" i="110"/>
  <c r="E32" i="110"/>
  <c r="D32" i="110"/>
  <c r="L28" i="110"/>
  <c r="K28" i="110"/>
  <c r="J28" i="110"/>
  <c r="I28" i="110"/>
  <c r="H28" i="110"/>
  <c r="G28" i="110"/>
  <c r="F28" i="110"/>
  <c r="E28" i="110"/>
  <c r="D28" i="110"/>
  <c r="L27" i="110"/>
  <c r="K27" i="110"/>
  <c r="J27" i="110"/>
  <c r="I27" i="110"/>
  <c r="H27" i="110"/>
  <c r="G27" i="110"/>
  <c r="F27" i="110"/>
  <c r="E27" i="110"/>
  <c r="D27" i="110"/>
  <c r="L26" i="110"/>
  <c r="K26" i="110"/>
  <c r="J26" i="110"/>
  <c r="I26" i="110"/>
  <c r="H26" i="110"/>
  <c r="G26" i="110"/>
  <c r="F26" i="110"/>
  <c r="E26" i="110"/>
  <c r="D26" i="110"/>
  <c r="L25" i="110"/>
  <c r="K25" i="110"/>
  <c r="J25" i="110"/>
  <c r="I25" i="110"/>
  <c r="H25" i="110"/>
  <c r="G25" i="110"/>
  <c r="F25" i="110"/>
  <c r="E25" i="110"/>
  <c r="D25" i="110"/>
  <c r="L24" i="110"/>
  <c r="K24" i="110"/>
  <c r="J24" i="110"/>
  <c r="I24" i="110"/>
  <c r="H24" i="110"/>
  <c r="G24" i="110"/>
  <c r="F24" i="110"/>
  <c r="E24" i="110"/>
  <c r="D24" i="110"/>
  <c r="L23" i="110"/>
  <c r="K23" i="110"/>
  <c r="J23" i="110"/>
  <c r="I23" i="110"/>
  <c r="H23" i="110"/>
  <c r="G23" i="110"/>
  <c r="F23" i="110"/>
  <c r="E23" i="110"/>
  <c r="D23" i="110"/>
  <c r="L22" i="110"/>
  <c r="K22" i="110"/>
  <c r="J22" i="110"/>
  <c r="I22" i="110"/>
  <c r="H22" i="110"/>
  <c r="G22" i="110"/>
  <c r="F22" i="110"/>
  <c r="E22" i="110"/>
  <c r="D22" i="110"/>
  <c r="L21" i="110"/>
  <c r="K21" i="110"/>
  <c r="J21" i="110"/>
  <c r="I21" i="110"/>
  <c r="H21" i="110"/>
  <c r="G21" i="110"/>
  <c r="F21" i="110"/>
  <c r="E21" i="110"/>
  <c r="D21" i="110"/>
  <c r="L20" i="110"/>
  <c r="I20" i="110"/>
  <c r="H20" i="110"/>
  <c r="G20" i="110"/>
  <c r="F20" i="110"/>
  <c r="E20" i="110"/>
  <c r="D20" i="110"/>
  <c r="J19" i="110"/>
  <c r="H19" i="110"/>
  <c r="G19" i="110"/>
  <c r="F19" i="110"/>
  <c r="E19" i="110"/>
  <c r="D19" i="110"/>
  <c r="L14" i="110"/>
  <c r="K14" i="110"/>
  <c r="J14" i="110"/>
  <c r="I14" i="110"/>
  <c r="H14" i="110"/>
  <c r="G14" i="110"/>
  <c r="F14" i="110"/>
  <c r="D14" i="109" s="1"/>
  <c r="E14" i="110"/>
  <c r="D14" i="110"/>
  <c r="L13" i="110"/>
  <c r="K13" i="110"/>
  <c r="J13" i="110"/>
  <c r="I13" i="110"/>
  <c r="H13" i="110"/>
  <c r="G13" i="110"/>
  <c r="F13" i="110"/>
  <c r="D13" i="109" s="1"/>
  <c r="E13" i="110"/>
  <c r="D13" i="110"/>
  <c r="L11" i="110"/>
  <c r="K11" i="110"/>
  <c r="J11" i="110"/>
  <c r="I11" i="110"/>
  <c r="H11" i="110"/>
  <c r="G11" i="110"/>
  <c r="F11" i="110"/>
  <c r="D11" i="109" s="1"/>
  <c r="E11" i="110"/>
  <c r="D11" i="110"/>
  <c r="L10" i="110"/>
  <c r="K10" i="110"/>
  <c r="J10" i="110"/>
  <c r="I10" i="110"/>
  <c r="H10" i="110"/>
  <c r="G10" i="110"/>
  <c r="F10" i="110"/>
  <c r="E10" i="110"/>
  <c r="D10" i="110"/>
  <c r="B3" i="111"/>
  <c r="B2" i="111"/>
  <c r="B1" i="111"/>
  <c r="V103" i="110"/>
  <c r="K20" i="110"/>
  <c r="J20" i="110"/>
  <c r="L19" i="110"/>
  <c r="K19" i="110"/>
  <c r="I19" i="110"/>
  <c r="M7" i="110"/>
  <c r="B6" i="110"/>
  <c r="B4" i="110"/>
  <c r="B3" i="110"/>
  <c r="B2" i="110"/>
  <c r="I2" i="110" s="1"/>
  <c r="E66" i="109"/>
  <c r="E61" i="109"/>
  <c r="C54" i="109"/>
  <c r="E38" i="109"/>
  <c r="E20" i="109"/>
  <c r="C20" i="109"/>
  <c r="E15" i="109"/>
  <c r="C15" i="109"/>
  <c r="A5" i="109"/>
  <c r="A3" i="109"/>
  <c r="A2" i="109"/>
  <c r="A1" i="109"/>
  <c r="G2" i="109" s="1"/>
  <c r="C56" i="108"/>
  <c r="C14" i="108"/>
  <c r="C13" i="108"/>
  <c r="C12" i="108"/>
  <c r="C11" i="108"/>
  <c r="A3" i="108"/>
  <c r="A2" i="108"/>
  <c r="M49" i="94"/>
  <c r="L49" i="94"/>
  <c r="K49" i="94"/>
  <c r="J49" i="94"/>
  <c r="I49" i="94"/>
  <c r="H49" i="94"/>
  <c r="G49" i="94"/>
  <c r="F49" i="94"/>
  <c r="E49" i="94"/>
  <c r="D49" i="94"/>
  <c r="E23" i="98"/>
  <c r="E23" i="97"/>
  <c r="E23" i="80"/>
  <c r="P23" i="73"/>
  <c r="O23" i="73"/>
  <c r="N23" i="73"/>
  <c r="M23" i="73"/>
  <c r="L23" i="73"/>
  <c r="D23" i="73"/>
  <c r="D22" i="73"/>
  <c r="C23" i="100"/>
  <c r="D10" i="106"/>
  <c r="D21" i="94" s="1"/>
  <c r="D11" i="106"/>
  <c r="D35" i="94" s="1"/>
  <c r="D13" i="106"/>
  <c r="D63" i="94" s="1"/>
  <c r="D14" i="106"/>
  <c r="D77" i="94" s="1"/>
  <c r="D19" i="106"/>
  <c r="D20" i="106"/>
  <c r="D135" i="94" s="1"/>
  <c r="D21" i="106"/>
  <c r="D149" i="94" s="1"/>
  <c r="D22" i="106"/>
  <c r="D163" i="94" s="1"/>
  <c r="D23" i="106"/>
  <c r="D177" i="94" s="1"/>
  <c r="D24" i="106"/>
  <c r="D191" i="94" s="1"/>
  <c r="D25" i="106"/>
  <c r="D26" i="106"/>
  <c r="D219" i="94" s="1"/>
  <c r="D27" i="106"/>
  <c r="D233" i="94" s="1"/>
  <c r="D28" i="106"/>
  <c r="D247" i="94" s="1"/>
  <c r="D50" i="106"/>
  <c r="D477" i="94" s="1"/>
  <c r="D53" i="106"/>
  <c r="D493" i="94" s="1"/>
  <c r="D56" i="106"/>
  <c r="D509" i="94"/>
  <c r="D57" i="106"/>
  <c r="D523" i="94" s="1"/>
  <c r="D58" i="106"/>
  <c r="D537" i="94" s="1"/>
  <c r="D59" i="106"/>
  <c r="D551" i="94" s="1"/>
  <c r="D60" i="106"/>
  <c r="D565" i="94" s="1"/>
  <c r="D61" i="106"/>
  <c r="D579" i="94" s="1"/>
  <c r="D65" i="106"/>
  <c r="D66" i="106"/>
  <c r="D636" i="94" s="1"/>
  <c r="D67" i="106"/>
  <c r="D650" i="94" s="1"/>
  <c r="D68" i="106"/>
  <c r="D664" i="94" s="1"/>
  <c r="D69" i="106"/>
  <c r="D70" i="106"/>
  <c r="D692" i="94" s="1"/>
  <c r="D71" i="106"/>
  <c r="D706" i="94" s="1"/>
  <c r="D72" i="106"/>
  <c r="D720" i="94" s="1"/>
  <c r="D73" i="106"/>
  <c r="D734" i="94"/>
  <c r="D74" i="106"/>
  <c r="D748" i="94" s="1"/>
  <c r="D75" i="106"/>
  <c r="D762" i="94" s="1"/>
  <c r="D76" i="106"/>
  <c r="D776" i="94" s="1"/>
  <c r="D80" i="106"/>
  <c r="D81" i="106"/>
  <c r="D820" i="94" s="1"/>
  <c r="D82" i="106"/>
  <c r="D834" i="94" s="1"/>
  <c r="D83" i="106"/>
  <c r="D848" i="94" s="1"/>
  <c r="D87" i="106"/>
  <c r="D878" i="94" s="1"/>
  <c r="D88" i="106"/>
  <c r="D892" i="94" s="1"/>
  <c r="D93" i="106"/>
  <c r="D936" i="94" s="1"/>
  <c r="D94" i="106"/>
  <c r="D950" i="94"/>
  <c r="D95" i="106"/>
  <c r="D96" i="106"/>
  <c r="D978" i="94" s="1"/>
  <c r="D97" i="106"/>
  <c r="D992" i="94" s="1"/>
  <c r="D32" i="106"/>
  <c r="D290" i="94" s="1"/>
  <c r="D33" i="106"/>
  <c r="D304" i="94" s="1"/>
  <c r="D34" i="106"/>
  <c r="D318" i="94" s="1"/>
  <c r="D35" i="106"/>
  <c r="D332" i="94" s="1"/>
  <c r="D36" i="106"/>
  <c r="D346" i="94" s="1"/>
  <c r="D37" i="106"/>
  <c r="D360" i="94" s="1"/>
  <c r="D38" i="106"/>
  <c r="D374" i="94" s="1"/>
  <c r="D39" i="106"/>
  <c r="D388" i="94" s="1"/>
  <c r="D40" i="106"/>
  <c r="D402" i="94" s="1"/>
  <c r="D41" i="106"/>
  <c r="D47" i="106"/>
  <c r="D461" i="94" s="1"/>
  <c r="E10" i="106"/>
  <c r="E21" i="94" s="1"/>
  <c r="E11" i="106"/>
  <c r="E13" i="106"/>
  <c r="E63" i="94" s="1"/>
  <c r="E14" i="106"/>
  <c r="E77" i="94" s="1"/>
  <c r="E19" i="106"/>
  <c r="E121" i="94" s="1"/>
  <c r="E20" i="106"/>
  <c r="E135" i="94" s="1"/>
  <c r="E21" i="106"/>
  <c r="E149" i="94" s="1"/>
  <c r="E22" i="106"/>
  <c r="E163" i="94" s="1"/>
  <c r="E23" i="106"/>
  <c r="E177" i="94" s="1"/>
  <c r="E24" i="106"/>
  <c r="E25" i="106"/>
  <c r="E205" i="94" s="1"/>
  <c r="E26" i="106"/>
  <c r="E219" i="94" s="1"/>
  <c r="E27" i="106"/>
  <c r="E233" i="94" s="1"/>
  <c r="E28" i="106"/>
  <c r="E247" i="94" s="1"/>
  <c r="E50" i="106"/>
  <c r="E477" i="94" s="1"/>
  <c r="E53" i="106"/>
  <c r="E493" i="94" s="1"/>
  <c r="E56" i="106"/>
  <c r="E509" i="94" s="1"/>
  <c r="E57" i="106"/>
  <c r="E58" i="106"/>
  <c r="E537" i="94" s="1"/>
  <c r="E59" i="106"/>
  <c r="E551" i="94" s="1"/>
  <c r="E60" i="106"/>
  <c r="E565" i="94" s="1"/>
  <c r="E61" i="106"/>
  <c r="E65" i="106"/>
  <c r="E66" i="106"/>
  <c r="E636" i="94" s="1"/>
  <c r="E67" i="106"/>
  <c r="E650" i="94" s="1"/>
  <c r="E68" i="106"/>
  <c r="E69" i="106"/>
  <c r="E678" i="94" s="1"/>
  <c r="E70" i="106"/>
  <c r="E692" i="94" s="1"/>
  <c r="E71" i="106"/>
  <c r="E706" i="94" s="1"/>
  <c r="E72" i="106"/>
  <c r="E720" i="94" s="1"/>
  <c r="E73" i="106"/>
  <c r="E734" i="94" s="1"/>
  <c r="E74" i="106"/>
  <c r="E748" i="94" s="1"/>
  <c r="E75" i="106"/>
  <c r="E762" i="94" s="1"/>
  <c r="E76" i="106"/>
  <c r="E776" i="94" s="1"/>
  <c r="E80" i="106"/>
  <c r="E806" i="94" s="1"/>
  <c r="E81" i="106"/>
  <c r="E820" i="94" s="1"/>
  <c r="E82" i="106"/>
  <c r="E834" i="94"/>
  <c r="E83" i="106"/>
  <c r="E848" i="94" s="1"/>
  <c r="E87" i="106"/>
  <c r="E878" i="94" s="1"/>
  <c r="E88" i="106"/>
  <c r="E892" i="94" s="1"/>
  <c r="E93" i="106"/>
  <c r="E936" i="94" s="1"/>
  <c r="E94" i="106"/>
  <c r="E95" i="106"/>
  <c r="E964" i="94" s="1"/>
  <c r="E96" i="106"/>
  <c r="E978" i="94" s="1"/>
  <c r="E97" i="106"/>
  <c r="E32" i="106"/>
  <c r="E290" i="94" s="1"/>
  <c r="E33" i="106"/>
  <c r="E304" i="94" s="1"/>
  <c r="E34" i="106"/>
  <c r="E318" i="94" s="1"/>
  <c r="E35" i="106"/>
  <c r="E332" i="94" s="1"/>
  <c r="E36" i="106"/>
  <c r="E346" i="94" s="1"/>
  <c r="E37" i="106"/>
  <c r="E360" i="94" s="1"/>
  <c r="E38" i="106"/>
  <c r="E374" i="94" s="1"/>
  <c r="E39" i="106"/>
  <c r="E388" i="94" s="1"/>
  <c r="E40" i="106"/>
  <c r="E402" i="94" s="1"/>
  <c r="E41" i="106"/>
  <c r="E416" i="94" s="1"/>
  <c r="E47" i="106"/>
  <c r="E461" i="94"/>
  <c r="F10" i="106"/>
  <c r="D10" i="105" s="1"/>
  <c r="F11" i="106"/>
  <c r="F13" i="106"/>
  <c r="F14" i="106"/>
  <c r="D14" i="105" s="1"/>
  <c r="F19" i="106"/>
  <c r="F121" i="94" s="1"/>
  <c r="F20" i="106"/>
  <c r="F135" i="94" s="1"/>
  <c r="F21" i="106"/>
  <c r="F149" i="94" s="1"/>
  <c r="F22" i="106"/>
  <c r="F163" i="94" s="1"/>
  <c r="F23" i="106"/>
  <c r="F177" i="94" s="1"/>
  <c r="F24" i="106"/>
  <c r="F191" i="94" s="1"/>
  <c r="F25" i="106"/>
  <c r="F205" i="94" s="1"/>
  <c r="F26" i="106"/>
  <c r="F27" i="106"/>
  <c r="F233" i="94" s="1"/>
  <c r="F28" i="106"/>
  <c r="F247" i="94" s="1"/>
  <c r="F50" i="106"/>
  <c r="F477" i="94" s="1"/>
  <c r="F53" i="106"/>
  <c r="F56" i="106"/>
  <c r="D32" i="105" s="1"/>
  <c r="F57" i="106"/>
  <c r="F523" i="94" s="1"/>
  <c r="F58" i="106"/>
  <c r="F59" i="106"/>
  <c r="F551" i="94" s="1"/>
  <c r="F60" i="106"/>
  <c r="F565" i="94" s="1"/>
  <c r="F61" i="106"/>
  <c r="D37" i="105" s="1"/>
  <c r="F579" i="94"/>
  <c r="F65" i="106"/>
  <c r="F66" i="106"/>
  <c r="F636" i="94" s="1"/>
  <c r="F67" i="106"/>
  <c r="D44" i="105" s="1"/>
  <c r="F68" i="106"/>
  <c r="F69" i="106"/>
  <c r="F678" i="94" s="1"/>
  <c r="F70" i="106"/>
  <c r="F692" i="94" s="1"/>
  <c r="F71" i="106"/>
  <c r="F706" i="94" s="1"/>
  <c r="F72" i="106"/>
  <c r="F720" i="94"/>
  <c r="F73" i="106"/>
  <c r="D50" i="105" s="1"/>
  <c r="F74" i="106"/>
  <c r="F748" i="94" s="1"/>
  <c r="F75" i="106"/>
  <c r="F76" i="106"/>
  <c r="F80" i="106"/>
  <c r="F81" i="106"/>
  <c r="F82" i="106"/>
  <c r="F834" i="94" s="1"/>
  <c r="F83" i="106"/>
  <c r="D60" i="105" s="1"/>
  <c r="F87" i="106"/>
  <c r="D64" i="105" s="1"/>
  <c r="F88" i="106"/>
  <c r="F93" i="106"/>
  <c r="F936" i="94" s="1"/>
  <c r="F94" i="106"/>
  <c r="F950" i="94" s="1"/>
  <c r="F95" i="106"/>
  <c r="F964" i="94" s="1"/>
  <c r="F96" i="106"/>
  <c r="F978" i="94" s="1"/>
  <c r="F97" i="106"/>
  <c r="F992" i="94" s="1"/>
  <c r="F32" i="106"/>
  <c r="F290" i="94" s="1"/>
  <c r="F33" i="106"/>
  <c r="F304" i="94" s="1"/>
  <c r="F34" i="106"/>
  <c r="F318" i="94" s="1"/>
  <c r="F35" i="106"/>
  <c r="F36" i="106"/>
  <c r="F346" i="94" s="1"/>
  <c r="F37" i="106"/>
  <c r="F360" i="94" s="1"/>
  <c r="F38" i="106"/>
  <c r="F374" i="94" s="1"/>
  <c r="F39" i="106"/>
  <c r="F388" i="94" s="1"/>
  <c r="F40" i="106"/>
  <c r="F402" i="94" s="1"/>
  <c r="F41" i="106"/>
  <c r="F416" i="94" s="1"/>
  <c r="F47" i="106"/>
  <c r="G10" i="106"/>
  <c r="G21" i="94" s="1"/>
  <c r="G11" i="106"/>
  <c r="G35" i="94" s="1"/>
  <c r="G13" i="106"/>
  <c r="G63" i="94" s="1"/>
  <c r="G14" i="106"/>
  <c r="G77" i="94" s="1"/>
  <c r="G19" i="106"/>
  <c r="G121" i="94" s="1"/>
  <c r="G20" i="106"/>
  <c r="G135" i="94" s="1"/>
  <c r="G21" i="106"/>
  <c r="G149" i="94" s="1"/>
  <c r="G22" i="106"/>
  <c r="G23" i="106"/>
  <c r="G177" i="94" s="1"/>
  <c r="G24" i="106"/>
  <c r="G191" i="94" s="1"/>
  <c r="G25" i="106"/>
  <c r="G205" i="94" s="1"/>
  <c r="G26" i="106"/>
  <c r="G27" i="106"/>
  <c r="G233" i="94" s="1"/>
  <c r="G28" i="106"/>
  <c r="G247" i="94" s="1"/>
  <c r="G50" i="106"/>
  <c r="G477" i="94" s="1"/>
  <c r="G53" i="106"/>
  <c r="G56" i="106"/>
  <c r="G509" i="94" s="1"/>
  <c r="G57" i="106"/>
  <c r="G523" i="94" s="1"/>
  <c r="G58" i="106"/>
  <c r="G537" i="94" s="1"/>
  <c r="G59" i="106"/>
  <c r="G551" i="94" s="1"/>
  <c r="G60" i="106"/>
  <c r="G565" i="94" s="1"/>
  <c r="G61" i="106"/>
  <c r="G579" i="94" s="1"/>
  <c r="G65" i="106"/>
  <c r="G622" i="94" s="1"/>
  <c r="G66" i="106"/>
  <c r="G636" i="94" s="1"/>
  <c r="G67" i="106"/>
  <c r="G650" i="94" s="1"/>
  <c r="G68" i="106"/>
  <c r="G664" i="94" s="1"/>
  <c r="G69" i="106"/>
  <c r="G678" i="94" s="1"/>
  <c r="G70" i="106"/>
  <c r="G692" i="94" s="1"/>
  <c r="G71" i="106"/>
  <c r="G706" i="94" s="1"/>
  <c r="G72" i="106"/>
  <c r="G720" i="94" s="1"/>
  <c r="G73" i="106"/>
  <c r="G734" i="94" s="1"/>
  <c r="G74" i="106"/>
  <c r="G748" i="94" s="1"/>
  <c r="G75" i="106"/>
  <c r="G762" i="94" s="1"/>
  <c r="G76" i="106"/>
  <c r="G80" i="106"/>
  <c r="G81" i="106"/>
  <c r="G820" i="94" s="1"/>
  <c r="G82" i="106"/>
  <c r="G834" i="94" s="1"/>
  <c r="G83" i="106"/>
  <c r="G848" i="94" s="1"/>
  <c r="G87" i="106"/>
  <c r="G878" i="94" s="1"/>
  <c r="G88" i="106"/>
  <c r="G93" i="106"/>
  <c r="G936" i="94" s="1"/>
  <c r="G94" i="106"/>
  <c r="G950" i="94" s="1"/>
  <c r="G95" i="106"/>
  <c r="G964" i="94" s="1"/>
  <c r="G96" i="106"/>
  <c r="G978" i="94" s="1"/>
  <c r="G97" i="106"/>
  <c r="G992" i="94" s="1"/>
  <c r="G32" i="106"/>
  <c r="G290" i="94" s="1"/>
  <c r="G33" i="106"/>
  <c r="G34" i="106"/>
  <c r="G35" i="106"/>
  <c r="G332" i="94" s="1"/>
  <c r="G36" i="106"/>
  <c r="G346" i="94" s="1"/>
  <c r="G37" i="106"/>
  <c r="G360" i="94" s="1"/>
  <c r="G38" i="106"/>
  <c r="G374" i="94" s="1"/>
  <c r="G39" i="106"/>
  <c r="G388" i="94" s="1"/>
  <c r="G40" i="106"/>
  <c r="G402" i="94" s="1"/>
  <c r="G41" i="106"/>
  <c r="G416" i="94"/>
  <c r="G47" i="106"/>
  <c r="G461" i="94" s="1"/>
  <c r="H10" i="106"/>
  <c r="H21" i="94" s="1"/>
  <c r="H11" i="106"/>
  <c r="H13" i="106"/>
  <c r="H63" i="94" s="1"/>
  <c r="H14" i="106"/>
  <c r="H77" i="94" s="1"/>
  <c r="H19" i="106"/>
  <c r="H121" i="94" s="1"/>
  <c r="H20" i="106"/>
  <c r="H135" i="94" s="1"/>
  <c r="H21" i="106"/>
  <c r="H22" i="106"/>
  <c r="H163" i="94" s="1"/>
  <c r="H23" i="106"/>
  <c r="H177" i="94" s="1"/>
  <c r="H24" i="106"/>
  <c r="H191" i="94" s="1"/>
  <c r="H25" i="106"/>
  <c r="H205" i="94"/>
  <c r="H26" i="106"/>
  <c r="H219" i="94" s="1"/>
  <c r="H27" i="106"/>
  <c r="H233" i="94" s="1"/>
  <c r="H28" i="106"/>
  <c r="H50" i="106"/>
  <c r="H477" i="94" s="1"/>
  <c r="H53" i="106"/>
  <c r="H493" i="94" s="1"/>
  <c r="H56" i="106"/>
  <c r="H509" i="94" s="1"/>
  <c r="H57" i="106"/>
  <c r="H523" i="94" s="1"/>
  <c r="H58" i="106"/>
  <c r="H537" i="94" s="1"/>
  <c r="H59" i="106"/>
  <c r="H551" i="94" s="1"/>
  <c r="H60" i="106"/>
  <c r="H61" i="106"/>
  <c r="H579" i="94" s="1"/>
  <c r="H65" i="106"/>
  <c r="H66" i="106"/>
  <c r="H636" i="94" s="1"/>
  <c r="H67" i="106"/>
  <c r="H650" i="94" s="1"/>
  <c r="H68" i="106"/>
  <c r="H664" i="94" s="1"/>
  <c r="H69" i="106"/>
  <c r="H678" i="94" s="1"/>
  <c r="H70" i="106"/>
  <c r="H692" i="94" s="1"/>
  <c r="H71" i="106"/>
  <c r="H72" i="106"/>
  <c r="H720" i="94" s="1"/>
  <c r="H73" i="106"/>
  <c r="H74" i="106"/>
  <c r="H748" i="94" s="1"/>
  <c r="H75" i="106"/>
  <c r="H762" i="94" s="1"/>
  <c r="H76" i="106"/>
  <c r="H776" i="94" s="1"/>
  <c r="H80" i="106"/>
  <c r="H806" i="94" s="1"/>
  <c r="H81" i="106"/>
  <c r="H820" i="94" s="1"/>
  <c r="H82" i="106"/>
  <c r="H834" i="94" s="1"/>
  <c r="H83" i="106"/>
  <c r="H848" i="94" s="1"/>
  <c r="H87" i="106"/>
  <c r="H88" i="106"/>
  <c r="H892" i="94" s="1"/>
  <c r="H93" i="106"/>
  <c r="H936" i="94" s="1"/>
  <c r="H94" i="106"/>
  <c r="H950" i="94" s="1"/>
  <c r="H95" i="106"/>
  <c r="H964" i="94" s="1"/>
  <c r="H96" i="106"/>
  <c r="H978" i="94" s="1"/>
  <c r="H97" i="106"/>
  <c r="H992" i="94" s="1"/>
  <c r="H32" i="106"/>
  <c r="H290" i="94" s="1"/>
  <c r="H33" i="106"/>
  <c r="H304" i="94" s="1"/>
  <c r="H34" i="106"/>
  <c r="H318" i="94" s="1"/>
  <c r="H35" i="106"/>
  <c r="H332" i="94" s="1"/>
  <c r="H36" i="106"/>
  <c r="H346" i="94" s="1"/>
  <c r="H37" i="106"/>
  <c r="H360" i="94" s="1"/>
  <c r="H38" i="106"/>
  <c r="H374" i="94"/>
  <c r="H39" i="106"/>
  <c r="H388" i="94" s="1"/>
  <c r="H40" i="106"/>
  <c r="H402" i="94" s="1"/>
  <c r="H41" i="106"/>
  <c r="H416" i="94" s="1"/>
  <c r="H47" i="106"/>
  <c r="H461" i="94" s="1"/>
  <c r="I10" i="106"/>
  <c r="I21" i="94" s="1"/>
  <c r="I11" i="106"/>
  <c r="I13" i="106"/>
  <c r="I63" i="94" s="1"/>
  <c r="I14" i="106"/>
  <c r="I77" i="94" s="1"/>
  <c r="I20" i="106"/>
  <c r="I135" i="94" s="1"/>
  <c r="I21" i="106"/>
  <c r="I22" i="106"/>
  <c r="I163" i="94" s="1"/>
  <c r="I23" i="106"/>
  <c r="I177" i="94" s="1"/>
  <c r="I24" i="106"/>
  <c r="I191" i="94" s="1"/>
  <c r="I25" i="106"/>
  <c r="I205" i="94" s="1"/>
  <c r="I26" i="106"/>
  <c r="I219" i="94" s="1"/>
  <c r="I27" i="106"/>
  <c r="I233" i="94" s="1"/>
  <c r="I28" i="106"/>
  <c r="I50" i="106"/>
  <c r="I477" i="94" s="1"/>
  <c r="I53" i="106"/>
  <c r="I493" i="94" s="1"/>
  <c r="I56" i="106"/>
  <c r="I509" i="94" s="1"/>
  <c r="I57" i="106"/>
  <c r="I523" i="94" s="1"/>
  <c r="I58" i="106"/>
  <c r="I537" i="94" s="1"/>
  <c r="I59" i="106"/>
  <c r="I551" i="94" s="1"/>
  <c r="I60" i="106"/>
  <c r="I565" i="94" s="1"/>
  <c r="I61" i="106"/>
  <c r="I579" i="94" s="1"/>
  <c r="I65" i="106"/>
  <c r="I66" i="106"/>
  <c r="I636" i="94" s="1"/>
  <c r="I67" i="106"/>
  <c r="I650" i="94" s="1"/>
  <c r="I68" i="106"/>
  <c r="I664" i="94" s="1"/>
  <c r="I69" i="106"/>
  <c r="I678" i="94" s="1"/>
  <c r="I70" i="106"/>
  <c r="I692" i="94" s="1"/>
  <c r="I71" i="106"/>
  <c r="I72" i="106"/>
  <c r="I720" i="94" s="1"/>
  <c r="I73" i="106"/>
  <c r="I734" i="94" s="1"/>
  <c r="I74" i="106"/>
  <c r="I748" i="94" s="1"/>
  <c r="I75" i="106"/>
  <c r="I762" i="94" s="1"/>
  <c r="I76" i="106"/>
  <c r="I776" i="94" s="1"/>
  <c r="I80" i="106"/>
  <c r="I806" i="94" s="1"/>
  <c r="I81" i="106"/>
  <c r="I820" i="94" s="1"/>
  <c r="I82" i="106"/>
  <c r="I834" i="94" s="1"/>
  <c r="I83" i="106"/>
  <c r="I848" i="94" s="1"/>
  <c r="I87" i="106"/>
  <c r="I88" i="106"/>
  <c r="I892" i="94" s="1"/>
  <c r="I93" i="106"/>
  <c r="I936" i="94" s="1"/>
  <c r="I94" i="106"/>
  <c r="I950" i="94" s="1"/>
  <c r="I95" i="106"/>
  <c r="I964" i="94" s="1"/>
  <c r="I96" i="106"/>
  <c r="I97" i="106"/>
  <c r="I992" i="94" s="1"/>
  <c r="I32" i="106"/>
  <c r="I33" i="106"/>
  <c r="I34" i="106"/>
  <c r="I318" i="94" s="1"/>
  <c r="I35" i="106"/>
  <c r="I332" i="94" s="1"/>
  <c r="I36" i="106"/>
  <c r="I346" i="94" s="1"/>
  <c r="I37" i="106"/>
  <c r="I360" i="94" s="1"/>
  <c r="I38" i="106"/>
  <c r="I374" i="94" s="1"/>
  <c r="I39" i="106"/>
  <c r="I388" i="94" s="1"/>
  <c r="I40" i="106"/>
  <c r="I402" i="94" s="1"/>
  <c r="I41" i="106"/>
  <c r="I416" i="94" s="1"/>
  <c r="I47" i="106"/>
  <c r="I461" i="94" s="1"/>
  <c r="J10" i="106"/>
  <c r="J11" i="106"/>
  <c r="J13" i="106"/>
  <c r="J63" i="94" s="1"/>
  <c r="J14" i="106"/>
  <c r="J77" i="94" s="1"/>
  <c r="J19" i="106"/>
  <c r="J121" i="94" s="1"/>
  <c r="J21" i="106"/>
  <c r="J149" i="94" s="1"/>
  <c r="J22" i="106"/>
  <c r="J163" i="94" s="1"/>
  <c r="J23" i="106"/>
  <c r="J177" i="94" s="1"/>
  <c r="J24" i="106"/>
  <c r="J191" i="94" s="1"/>
  <c r="J25" i="106"/>
  <c r="J205" i="94"/>
  <c r="J26" i="106"/>
  <c r="J219" i="94" s="1"/>
  <c r="J27" i="106"/>
  <c r="J28" i="106"/>
  <c r="J247" i="94" s="1"/>
  <c r="J50" i="106"/>
  <c r="J53" i="106"/>
  <c r="J493" i="94" s="1"/>
  <c r="J56" i="106"/>
  <c r="J509" i="94" s="1"/>
  <c r="J57" i="106"/>
  <c r="J523" i="94" s="1"/>
  <c r="J58" i="106"/>
  <c r="J537" i="94" s="1"/>
  <c r="J59" i="106"/>
  <c r="J60" i="106"/>
  <c r="J565" i="94" s="1"/>
  <c r="J61" i="106"/>
  <c r="J65" i="106"/>
  <c r="J66" i="106"/>
  <c r="M66" i="106" s="1"/>
  <c r="B43" i="105" s="1"/>
  <c r="F43" i="105" s="1"/>
  <c r="J67" i="106"/>
  <c r="J650" i="94" s="1"/>
  <c r="J68" i="106"/>
  <c r="J664" i="94" s="1"/>
  <c r="J69" i="106"/>
  <c r="J678" i="94" s="1"/>
  <c r="J70" i="106"/>
  <c r="J692" i="94" s="1"/>
  <c r="J71" i="106"/>
  <c r="J706" i="94"/>
  <c r="J72" i="106"/>
  <c r="J73" i="106"/>
  <c r="J734" i="94" s="1"/>
  <c r="J74" i="106"/>
  <c r="J748" i="94" s="1"/>
  <c r="J75" i="106"/>
  <c r="J762" i="94" s="1"/>
  <c r="J76" i="106"/>
  <c r="J776" i="94" s="1"/>
  <c r="J80" i="106"/>
  <c r="J806" i="94" s="1"/>
  <c r="J81" i="106"/>
  <c r="J82" i="106"/>
  <c r="J834" i="94" s="1"/>
  <c r="J83" i="106"/>
  <c r="J848" i="94" s="1"/>
  <c r="J87" i="106"/>
  <c r="J88" i="106"/>
  <c r="J892" i="94" s="1"/>
  <c r="J93" i="106"/>
  <c r="J936" i="94" s="1"/>
  <c r="J94" i="106"/>
  <c r="J950" i="94" s="1"/>
  <c r="J95" i="106"/>
  <c r="J964" i="94"/>
  <c r="J96" i="106"/>
  <c r="J978" i="94" s="1"/>
  <c r="J97" i="106"/>
  <c r="J992" i="94" s="1"/>
  <c r="J32" i="106"/>
  <c r="J290" i="94" s="1"/>
  <c r="J33" i="106"/>
  <c r="J304" i="94" s="1"/>
  <c r="J34" i="106"/>
  <c r="J318" i="94" s="1"/>
  <c r="J35" i="106"/>
  <c r="J332" i="94" s="1"/>
  <c r="J36" i="106"/>
  <c r="J37" i="106"/>
  <c r="J38" i="106"/>
  <c r="J374" i="94" s="1"/>
  <c r="J39" i="106"/>
  <c r="J388" i="94" s="1"/>
  <c r="J40" i="106"/>
  <c r="J402" i="94" s="1"/>
  <c r="J41" i="106"/>
  <c r="J416" i="94" s="1"/>
  <c r="J47" i="106"/>
  <c r="J461" i="94" s="1"/>
  <c r="K10" i="106"/>
  <c r="K21" i="94" s="1"/>
  <c r="K11" i="106"/>
  <c r="K35" i="94" s="1"/>
  <c r="K13" i="106"/>
  <c r="K14" i="106"/>
  <c r="K77" i="94" s="1"/>
  <c r="K21" i="106"/>
  <c r="K149" i="94" s="1"/>
  <c r="K22" i="106"/>
  <c r="K163" i="94" s="1"/>
  <c r="K23" i="106"/>
  <c r="K177" i="94" s="1"/>
  <c r="K24" i="106"/>
  <c r="K25" i="106"/>
  <c r="K26" i="106"/>
  <c r="K219" i="94" s="1"/>
  <c r="K27" i="106"/>
  <c r="K233" i="94" s="1"/>
  <c r="K28" i="106"/>
  <c r="K247" i="94" s="1"/>
  <c r="K50" i="106"/>
  <c r="K477" i="94" s="1"/>
  <c r="K53" i="106"/>
  <c r="K493" i="94" s="1"/>
  <c r="K56" i="106"/>
  <c r="K509" i="94" s="1"/>
  <c r="K57" i="106"/>
  <c r="K523" i="94" s="1"/>
  <c r="K58" i="106"/>
  <c r="K59" i="106"/>
  <c r="K551" i="94" s="1"/>
  <c r="K60" i="106"/>
  <c r="K565" i="94" s="1"/>
  <c r="K61" i="106"/>
  <c r="K579" i="94" s="1"/>
  <c r="K65" i="106"/>
  <c r="K66" i="106"/>
  <c r="K636" i="94" s="1"/>
  <c r="K67" i="106"/>
  <c r="K650" i="94" s="1"/>
  <c r="K68" i="106"/>
  <c r="K664" i="94" s="1"/>
  <c r="K69" i="106"/>
  <c r="K678" i="94" s="1"/>
  <c r="K70" i="106"/>
  <c r="K71" i="106"/>
  <c r="K72" i="106"/>
  <c r="K73" i="106"/>
  <c r="K734" i="94" s="1"/>
  <c r="K74" i="106"/>
  <c r="K748" i="94" s="1"/>
  <c r="K75" i="106"/>
  <c r="K762" i="94" s="1"/>
  <c r="K76" i="106"/>
  <c r="K776" i="94" s="1"/>
  <c r="K80" i="106"/>
  <c r="K806" i="94" s="1"/>
  <c r="K81" i="106"/>
  <c r="K820" i="94" s="1"/>
  <c r="K82" i="106"/>
  <c r="K83" i="106"/>
  <c r="K87" i="106"/>
  <c r="K88" i="106"/>
  <c r="K892" i="94" s="1"/>
  <c r="K93" i="106"/>
  <c r="K936" i="94" s="1"/>
  <c r="K94" i="106"/>
  <c r="K950" i="94" s="1"/>
  <c r="K95" i="106"/>
  <c r="K964" i="94" s="1"/>
  <c r="K96" i="106"/>
  <c r="K978" i="94" s="1"/>
  <c r="K97" i="106"/>
  <c r="K32" i="106"/>
  <c r="K290" i="94" s="1"/>
  <c r="K33" i="106"/>
  <c r="K304" i="94" s="1"/>
  <c r="K34" i="106"/>
  <c r="K35" i="106"/>
  <c r="K332" i="94" s="1"/>
  <c r="K36" i="106"/>
  <c r="K346" i="94" s="1"/>
  <c r="K37" i="106"/>
  <c r="K360" i="94" s="1"/>
  <c r="K38" i="106"/>
  <c r="K374" i="94" s="1"/>
  <c r="K39" i="106"/>
  <c r="K40" i="106"/>
  <c r="K402" i="94" s="1"/>
  <c r="K41" i="106"/>
  <c r="K47" i="106"/>
  <c r="L10" i="106"/>
  <c r="L21" i="94" s="1"/>
  <c r="L11" i="106"/>
  <c r="L13" i="106"/>
  <c r="L63" i="94" s="1"/>
  <c r="L14" i="106"/>
  <c r="L20" i="106"/>
  <c r="L135" i="94" s="1"/>
  <c r="L21" i="106"/>
  <c r="L149" i="94" s="1"/>
  <c r="L22" i="106"/>
  <c r="L163" i="94" s="1"/>
  <c r="L23" i="106"/>
  <c r="L177" i="94" s="1"/>
  <c r="L24" i="106"/>
  <c r="L25" i="106"/>
  <c r="L205" i="94" s="1"/>
  <c r="L26" i="106"/>
  <c r="L219" i="94" s="1"/>
  <c r="L27" i="106"/>
  <c r="L28" i="106"/>
  <c r="L247" i="94" s="1"/>
  <c r="L50" i="106"/>
  <c r="L477" i="94" s="1"/>
  <c r="L53" i="106"/>
  <c r="L56" i="106"/>
  <c r="L509" i="94" s="1"/>
  <c r="L57" i="106"/>
  <c r="L523" i="94" s="1"/>
  <c r="L58" i="106"/>
  <c r="L59" i="106"/>
  <c r="L551" i="94" s="1"/>
  <c r="L60" i="106"/>
  <c r="L565" i="94" s="1"/>
  <c r="L61" i="106"/>
  <c r="L579" i="94" s="1"/>
  <c r="L65" i="106"/>
  <c r="L622" i="94" s="1"/>
  <c r="L66" i="106"/>
  <c r="L636" i="94" s="1"/>
  <c r="L67" i="106"/>
  <c r="L650" i="94" s="1"/>
  <c r="L68" i="106"/>
  <c r="L69" i="106"/>
  <c r="L678" i="94" s="1"/>
  <c r="L70" i="106"/>
  <c r="L692" i="94" s="1"/>
  <c r="L71" i="106"/>
  <c r="L706" i="94" s="1"/>
  <c r="L72" i="106"/>
  <c r="L720" i="94" s="1"/>
  <c r="L73" i="106"/>
  <c r="L74" i="106"/>
  <c r="L75" i="106"/>
  <c r="L762" i="94" s="1"/>
  <c r="L76" i="106"/>
  <c r="L776" i="94" s="1"/>
  <c r="L80" i="106"/>
  <c r="L81" i="106"/>
  <c r="L820" i="94" s="1"/>
  <c r="L82" i="106"/>
  <c r="L834" i="94" s="1"/>
  <c r="L83" i="106"/>
  <c r="L848" i="94" s="1"/>
  <c r="L87" i="106"/>
  <c r="L878" i="94" s="1"/>
  <c r="L88" i="106"/>
  <c r="L93" i="106"/>
  <c r="L94" i="106"/>
  <c r="L950" i="94" s="1"/>
  <c r="L95" i="106"/>
  <c r="L964" i="94" s="1"/>
  <c r="L96" i="106"/>
  <c r="L978" i="94" s="1"/>
  <c r="L97" i="106"/>
  <c r="L992" i="94" s="1"/>
  <c r="L32" i="106"/>
  <c r="L290" i="94" s="1"/>
  <c r="L33" i="106"/>
  <c r="L304" i="94" s="1"/>
  <c r="L34" i="106"/>
  <c r="L318" i="94" s="1"/>
  <c r="L35" i="106"/>
  <c r="L36" i="106"/>
  <c r="L346" i="94" s="1"/>
  <c r="L37" i="106"/>
  <c r="L360" i="94" s="1"/>
  <c r="L38" i="106"/>
  <c r="L374" i="94" s="1"/>
  <c r="L39" i="106"/>
  <c r="L40" i="106"/>
  <c r="L402" i="94" s="1"/>
  <c r="L41" i="106"/>
  <c r="L416" i="94" s="1"/>
  <c r="L47" i="106"/>
  <c r="L461" i="94" s="1"/>
  <c r="M105" i="106"/>
  <c r="M1026" i="94" s="1"/>
  <c r="Q32" i="106"/>
  <c r="L113" i="106" s="1"/>
  <c r="R34" i="106"/>
  <c r="L114" i="106" s="1"/>
  <c r="P65" i="106"/>
  <c r="P66" i="106"/>
  <c r="P67" i="106"/>
  <c r="P68" i="106"/>
  <c r="E21" i="95" s="1"/>
  <c r="P69" i="106"/>
  <c r="P70" i="106"/>
  <c r="P71" i="106"/>
  <c r="P72" i="106"/>
  <c r="P73" i="106"/>
  <c r="P74" i="106"/>
  <c r="S76" i="106"/>
  <c r="S77" i="106"/>
  <c r="Q65" i="106"/>
  <c r="Q66" i="106"/>
  <c r="Q67" i="106"/>
  <c r="Q68" i="106"/>
  <c r="Q69" i="106"/>
  <c r="Q70" i="106"/>
  <c r="Q71" i="106"/>
  <c r="Q72" i="106"/>
  <c r="Q73" i="106"/>
  <c r="R65" i="106"/>
  <c r="R66" i="106"/>
  <c r="R67" i="106"/>
  <c r="R68" i="106"/>
  <c r="R69" i="106"/>
  <c r="R70" i="106"/>
  <c r="R71" i="106"/>
  <c r="R72" i="106"/>
  <c r="R73" i="106"/>
  <c r="X65" i="106"/>
  <c r="X66" i="106"/>
  <c r="X67" i="106"/>
  <c r="X68" i="106"/>
  <c r="L119" i="106" s="1"/>
  <c r="X69" i="106"/>
  <c r="X70" i="106"/>
  <c r="X71" i="106"/>
  <c r="X72" i="106"/>
  <c r="X73" i="106"/>
  <c r="X74" i="106"/>
  <c r="S84" i="106"/>
  <c r="L120" i="106" s="1"/>
  <c r="S87" i="106"/>
  <c r="U103" i="106"/>
  <c r="R103" i="106"/>
  <c r="Z23" i="97" s="1"/>
  <c r="P103" i="106"/>
  <c r="B3" i="107"/>
  <c r="B2" i="107"/>
  <c r="B1" i="107"/>
  <c r="I19" i="106"/>
  <c r="I121" i="94"/>
  <c r="J20" i="106"/>
  <c r="K19" i="106"/>
  <c r="K18" i="106" s="1"/>
  <c r="K107" i="94" s="1"/>
  <c r="K20" i="106"/>
  <c r="K135" i="94" s="1"/>
  <c r="L19" i="106"/>
  <c r="B2" i="106"/>
  <c r="B607" i="94" s="1"/>
  <c r="V103" i="106"/>
  <c r="M7" i="106"/>
  <c r="B6" i="106"/>
  <c r="B4" i="106"/>
  <c r="B3" i="106"/>
  <c r="D43" i="105"/>
  <c r="D49" i="105"/>
  <c r="E15" i="105"/>
  <c r="E20" i="105"/>
  <c r="E38" i="105"/>
  <c r="E61" i="105"/>
  <c r="E66" i="105"/>
  <c r="A1" i="105"/>
  <c r="G2" i="105" s="1"/>
  <c r="C54" i="105"/>
  <c r="C20" i="105"/>
  <c r="C15" i="105"/>
  <c r="A5" i="105"/>
  <c r="A3" i="105"/>
  <c r="A2" i="105"/>
  <c r="C56" i="104"/>
  <c r="C14" i="104"/>
  <c r="C13" i="104"/>
  <c r="C12" i="104"/>
  <c r="C11" i="104"/>
  <c r="A3" i="104"/>
  <c r="A2" i="104"/>
  <c r="D56" i="14"/>
  <c r="E56" i="14"/>
  <c r="F56" i="14"/>
  <c r="F504" i="94" s="1"/>
  <c r="G56" i="14"/>
  <c r="G504" i="94" s="1"/>
  <c r="H56" i="14"/>
  <c r="H504" i="94" s="1"/>
  <c r="I56" i="14"/>
  <c r="J56" i="14"/>
  <c r="K56" i="14"/>
  <c r="K504" i="94" s="1"/>
  <c r="L56" i="14"/>
  <c r="L504" i="94" s="1"/>
  <c r="D57" i="14"/>
  <c r="E57" i="14"/>
  <c r="F57" i="14"/>
  <c r="D33" i="2" s="1"/>
  <c r="G57" i="14"/>
  <c r="H57" i="14"/>
  <c r="I57" i="14"/>
  <c r="I518" i="94" s="1"/>
  <c r="J57" i="14"/>
  <c r="J518" i="94" s="1"/>
  <c r="K57" i="14"/>
  <c r="L57" i="14"/>
  <c r="D58" i="14"/>
  <c r="D62" i="14" s="1"/>
  <c r="D588" i="94" s="1"/>
  <c r="E58" i="14"/>
  <c r="E532" i="94" s="1"/>
  <c r="F58" i="14"/>
  <c r="F532" i="94" s="1"/>
  <c r="G58" i="14"/>
  <c r="H58" i="14"/>
  <c r="I58" i="14"/>
  <c r="I532" i="94" s="1"/>
  <c r="J58" i="14"/>
  <c r="K58" i="14"/>
  <c r="L58" i="14"/>
  <c r="D59" i="14"/>
  <c r="E59" i="14"/>
  <c r="F59" i="14"/>
  <c r="G59" i="14"/>
  <c r="H59" i="14"/>
  <c r="H546" i="94" s="1"/>
  <c r="I59" i="14"/>
  <c r="I546" i="94" s="1"/>
  <c r="J59" i="14"/>
  <c r="K59" i="14"/>
  <c r="L59" i="14"/>
  <c r="L546" i="94" s="1"/>
  <c r="D60" i="14"/>
  <c r="E60" i="14"/>
  <c r="F60" i="14"/>
  <c r="D36" i="2" s="1"/>
  <c r="G60" i="14"/>
  <c r="H60" i="14"/>
  <c r="I60" i="14"/>
  <c r="J60" i="14"/>
  <c r="J560" i="94" s="1"/>
  <c r="K60" i="14"/>
  <c r="K560" i="94" s="1"/>
  <c r="L60" i="14"/>
  <c r="L560" i="94" s="1"/>
  <c r="D61" i="14"/>
  <c r="E61" i="14"/>
  <c r="F61" i="14"/>
  <c r="D37" i="2" s="1"/>
  <c r="G61" i="14"/>
  <c r="G574" i="94" s="1"/>
  <c r="H61" i="14"/>
  <c r="I61" i="14"/>
  <c r="J61" i="14"/>
  <c r="K61" i="14"/>
  <c r="K574" i="94" s="1"/>
  <c r="L61" i="14"/>
  <c r="L574" i="94" s="1"/>
  <c r="D56" i="17"/>
  <c r="E56" i="17"/>
  <c r="F56" i="17"/>
  <c r="G56" i="17"/>
  <c r="H56" i="17"/>
  <c r="H501" i="94" s="1"/>
  <c r="I56" i="17"/>
  <c r="M56" i="17" s="1"/>
  <c r="B32" i="16" s="1"/>
  <c r="F32" i="16" s="1"/>
  <c r="J56" i="17"/>
  <c r="K56" i="17"/>
  <c r="L56" i="17"/>
  <c r="D57" i="17"/>
  <c r="D515" i="94" s="1"/>
  <c r="E57" i="17"/>
  <c r="E515" i="94" s="1"/>
  <c r="F57" i="17"/>
  <c r="G57" i="17"/>
  <c r="H57" i="17"/>
  <c r="I57" i="17"/>
  <c r="J57" i="17"/>
  <c r="K57" i="17"/>
  <c r="L57" i="17"/>
  <c r="L515" i="94" s="1"/>
  <c r="D58" i="17"/>
  <c r="E58" i="17"/>
  <c r="E529" i="94" s="1"/>
  <c r="F58" i="17"/>
  <c r="D34" i="16" s="1"/>
  <c r="G58" i="17"/>
  <c r="H58" i="17"/>
  <c r="I58" i="17"/>
  <c r="J58" i="17"/>
  <c r="K58" i="17"/>
  <c r="L58" i="17"/>
  <c r="D59" i="17"/>
  <c r="E59" i="17"/>
  <c r="F59" i="17"/>
  <c r="D35" i="16" s="1"/>
  <c r="G59" i="17"/>
  <c r="H59" i="17"/>
  <c r="I59" i="17"/>
  <c r="J59" i="17"/>
  <c r="K59" i="17"/>
  <c r="K543" i="94" s="1"/>
  <c r="L59" i="17"/>
  <c r="L543" i="94" s="1"/>
  <c r="D60" i="17"/>
  <c r="E60" i="17"/>
  <c r="F60" i="17"/>
  <c r="G60" i="17"/>
  <c r="H60" i="17"/>
  <c r="I60" i="17"/>
  <c r="M60" i="17" s="1"/>
  <c r="J60" i="17"/>
  <c r="K60" i="17"/>
  <c r="L60" i="17"/>
  <c r="L557" i="94" s="1"/>
  <c r="D61" i="17"/>
  <c r="E61" i="17"/>
  <c r="E571" i="94" s="1"/>
  <c r="F61" i="17"/>
  <c r="G61" i="17"/>
  <c r="H61" i="17"/>
  <c r="I61" i="17"/>
  <c r="I571" i="94" s="1"/>
  <c r="J61" i="17"/>
  <c r="K61" i="17"/>
  <c r="K571" i="94" s="1"/>
  <c r="L61" i="17"/>
  <c r="L571" i="94" s="1"/>
  <c r="D56" i="22"/>
  <c r="D499" i="94" s="1"/>
  <c r="E56" i="22"/>
  <c r="F56" i="22"/>
  <c r="G56" i="22"/>
  <c r="G499" i="94" s="1"/>
  <c r="H56" i="22"/>
  <c r="I56" i="22"/>
  <c r="J56" i="22"/>
  <c r="K56" i="22"/>
  <c r="L56" i="22"/>
  <c r="L499" i="94" s="1"/>
  <c r="D57" i="22"/>
  <c r="D513" i="94" s="1"/>
  <c r="E57" i="22"/>
  <c r="F57" i="22"/>
  <c r="F513" i="94" s="1"/>
  <c r="D57" i="57" s="1"/>
  <c r="G57" i="22"/>
  <c r="H57" i="22"/>
  <c r="I57" i="22"/>
  <c r="I513" i="94" s="1"/>
  <c r="J57" i="22"/>
  <c r="K57" i="22"/>
  <c r="K513" i="94" s="1"/>
  <c r="L57" i="22"/>
  <c r="D58" i="22"/>
  <c r="D527" i="94" s="1"/>
  <c r="E58" i="22"/>
  <c r="F58" i="22"/>
  <c r="F527" i="94" s="1"/>
  <c r="G58" i="22"/>
  <c r="H58" i="22"/>
  <c r="I58" i="22"/>
  <c r="I527" i="94" s="1"/>
  <c r="J58" i="22"/>
  <c r="J527" i="94" s="1"/>
  <c r="K58" i="22"/>
  <c r="L58" i="22"/>
  <c r="D59" i="22"/>
  <c r="E59" i="22"/>
  <c r="F59" i="22"/>
  <c r="G59" i="22"/>
  <c r="H59" i="22"/>
  <c r="I59" i="22"/>
  <c r="J59" i="22"/>
  <c r="K59" i="22"/>
  <c r="L59" i="22"/>
  <c r="L541" i="94" s="1"/>
  <c r="D60" i="22"/>
  <c r="E60" i="22"/>
  <c r="F60" i="22"/>
  <c r="G60" i="22"/>
  <c r="H60" i="22"/>
  <c r="H555" i="94" s="1"/>
  <c r="I60" i="22"/>
  <c r="I555" i="94" s="1"/>
  <c r="J60" i="22"/>
  <c r="J555" i="94" s="1"/>
  <c r="K60" i="22"/>
  <c r="L60" i="22"/>
  <c r="D61" i="22"/>
  <c r="E61" i="22"/>
  <c r="F61" i="22"/>
  <c r="F569" i="94" s="1"/>
  <c r="G61" i="22"/>
  <c r="G569" i="94" s="1"/>
  <c r="H61" i="22"/>
  <c r="I61" i="22"/>
  <c r="J61" i="22"/>
  <c r="J569" i="94" s="1"/>
  <c r="K61" i="22"/>
  <c r="L61" i="22"/>
  <c r="D56" i="27"/>
  <c r="D500" i="94" s="1"/>
  <c r="E56" i="27"/>
  <c r="F56" i="27"/>
  <c r="F500" i="94" s="1"/>
  <c r="G56" i="27"/>
  <c r="H56" i="27"/>
  <c r="I56" i="27"/>
  <c r="I500" i="94" s="1"/>
  <c r="J56" i="27"/>
  <c r="K56" i="27"/>
  <c r="L56" i="27"/>
  <c r="L500" i="94" s="1"/>
  <c r="D57" i="27"/>
  <c r="D514" i="94" s="1"/>
  <c r="E57" i="27"/>
  <c r="E514" i="94" s="1"/>
  <c r="F57" i="27"/>
  <c r="G57" i="27"/>
  <c r="G514" i="94" s="1"/>
  <c r="H57" i="27"/>
  <c r="H514" i="94" s="1"/>
  <c r="I57" i="27"/>
  <c r="I514" i="94" s="1"/>
  <c r="J57" i="27"/>
  <c r="K57" i="27"/>
  <c r="L57" i="27"/>
  <c r="D58" i="27"/>
  <c r="D528" i="94" s="1"/>
  <c r="E58" i="27"/>
  <c r="F58" i="27"/>
  <c r="G58" i="27"/>
  <c r="G528" i="94" s="1"/>
  <c r="H58" i="27"/>
  <c r="I58" i="27"/>
  <c r="J58" i="27"/>
  <c r="K58" i="27"/>
  <c r="L58" i="27"/>
  <c r="D59" i="27"/>
  <c r="E59" i="27"/>
  <c r="F59" i="27"/>
  <c r="F542" i="94" s="1"/>
  <c r="G59" i="27"/>
  <c r="G542" i="94" s="1"/>
  <c r="H59" i="27"/>
  <c r="I59" i="27"/>
  <c r="I542" i="94" s="1"/>
  <c r="J59" i="27"/>
  <c r="K59" i="27"/>
  <c r="K542" i="94" s="1"/>
  <c r="L59" i="27"/>
  <c r="L542" i="94" s="1"/>
  <c r="D60" i="27"/>
  <c r="E60" i="27"/>
  <c r="E556" i="94" s="1"/>
  <c r="F60" i="27"/>
  <c r="G60" i="27"/>
  <c r="G556" i="94" s="1"/>
  <c r="H60" i="27"/>
  <c r="I60" i="27"/>
  <c r="I556" i="94" s="1"/>
  <c r="J60" i="27"/>
  <c r="K60" i="27"/>
  <c r="K556" i="94" s="1"/>
  <c r="L60" i="27"/>
  <c r="D61" i="27"/>
  <c r="E61" i="27"/>
  <c r="F61" i="27"/>
  <c r="G61" i="27"/>
  <c r="G570" i="94" s="1"/>
  <c r="H61" i="27"/>
  <c r="H570" i="94" s="1"/>
  <c r="I61" i="27"/>
  <c r="J61" i="27"/>
  <c r="J570" i="94" s="1"/>
  <c r="K61" i="27"/>
  <c r="L61" i="27"/>
  <c r="L570" i="94" s="1"/>
  <c r="D10" i="14"/>
  <c r="E10" i="14"/>
  <c r="F10" i="14"/>
  <c r="F16" i="94" s="1"/>
  <c r="G10" i="14"/>
  <c r="H10" i="14"/>
  <c r="I10" i="14"/>
  <c r="J10" i="14"/>
  <c r="K10" i="14"/>
  <c r="K15" i="14" s="1"/>
  <c r="K86" i="94" s="1"/>
  <c r="L10" i="14"/>
  <c r="L16" i="94" s="1"/>
  <c r="D11" i="14"/>
  <c r="E11" i="14"/>
  <c r="F11" i="14"/>
  <c r="F30" i="94" s="1"/>
  <c r="G11" i="14"/>
  <c r="G30" i="94" s="1"/>
  <c r="H11" i="14"/>
  <c r="I11" i="14"/>
  <c r="I30" i="94" s="1"/>
  <c r="J11" i="14"/>
  <c r="J30" i="94" s="1"/>
  <c r="K11" i="14"/>
  <c r="L11" i="14"/>
  <c r="L30" i="94" s="1"/>
  <c r="D13" i="14"/>
  <c r="D15" i="14" s="1"/>
  <c r="D86" i="94" s="1"/>
  <c r="E13" i="14"/>
  <c r="E58" i="94" s="1"/>
  <c r="F13" i="14"/>
  <c r="F58" i="94" s="1"/>
  <c r="G13" i="14"/>
  <c r="H13" i="14"/>
  <c r="H58" i="94"/>
  <c r="I13" i="14"/>
  <c r="I58" i="94" s="1"/>
  <c r="J13" i="14"/>
  <c r="K13" i="14"/>
  <c r="L13" i="14"/>
  <c r="D14" i="14"/>
  <c r="D72" i="94"/>
  <c r="E14" i="14"/>
  <c r="E72" i="94" s="1"/>
  <c r="F14" i="14"/>
  <c r="F72" i="94" s="1"/>
  <c r="G14" i="14"/>
  <c r="G72" i="94" s="1"/>
  <c r="H14" i="14"/>
  <c r="H72" i="94" s="1"/>
  <c r="I14" i="14"/>
  <c r="J14" i="14"/>
  <c r="J72" i="94" s="1"/>
  <c r="K14" i="14"/>
  <c r="K72" i="94" s="1"/>
  <c r="L14" i="14"/>
  <c r="L72" i="94" s="1"/>
  <c r="D37" i="14"/>
  <c r="E37" i="14"/>
  <c r="F37" i="14"/>
  <c r="F355" i="94"/>
  <c r="G37" i="14"/>
  <c r="G355" i="94" s="1"/>
  <c r="H37" i="14"/>
  <c r="H355" i="94" s="1"/>
  <c r="I37" i="14"/>
  <c r="I355" i="94" s="1"/>
  <c r="J37" i="14"/>
  <c r="K37" i="14"/>
  <c r="L37" i="14"/>
  <c r="L355" i="94" s="1"/>
  <c r="D38" i="14"/>
  <c r="E38" i="14"/>
  <c r="F38" i="14"/>
  <c r="F369" i="94" s="1"/>
  <c r="G38" i="14"/>
  <c r="G369" i="94" s="1"/>
  <c r="H38" i="14"/>
  <c r="I38" i="14"/>
  <c r="J38" i="14"/>
  <c r="J369" i="94" s="1"/>
  <c r="K38" i="14"/>
  <c r="K369" i="94" s="1"/>
  <c r="L38" i="14"/>
  <c r="L369" i="94" s="1"/>
  <c r="D39" i="14"/>
  <c r="D383" i="94" s="1"/>
  <c r="E39" i="14"/>
  <c r="E383" i="94"/>
  <c r="F39" i="14"/>
  <c r="G39" i="14"/>
  <c r="H39" i="14"/>
  <c r="I39" i="14"/>
  <c r="I383" i="94" s="1"/>
  <c r="J39" i="14"/>
  <c r="K39" i="14"/>
  <c r="K383" i="94" s="1"/>
  <c r="L39" i="14"/>
  <c r="D40" i="14"/>
  <c r="D42" i="14" s="1"/>
  <c r="D425" i="94" s="1"/>
  <c r="E40" i="14"/>
  <c r="E397" i="94" s="1"/>
  <c r="F40" i="14"/>
  <c r="G40" i="14"/>
  <c r="H40" i="14"/>
  <c r="I40" i="14"/>
  <c r="J40" i="14"/>
  <c r="K40" i="14"/>
  <c r="K397" i="94" s="1"/>
  <c r="L40" i="14"/>
  <c r="L397" i="94" s="1"/>
  <c r="D41" i="14"/>
  <c r="E41" i="14"/>
  <c r="F41" i="14"/>
  <c r="F411" i="94" s="1"/>
  <c r="G41" i="14"/>
  <c r="G411" i="94" s="1"/>
  <c r="H41" i="14"/>
  <c r="H411" i="94" s="1"/>
  <c r="I41" i="14"/>
  <c r="J41" i="14"/>
  <c r="J411" i="94" s="1"/>
  <c r="K41" i="14"/>
  <c r="K411" i="94" s="1"/>
  <c r="L41" i="14"/>
  <c r="D36" i="14"/>
  <c r="E36" i="14"/>
  <c r="F36" i="14"/>
  <c r="G36" i="14"/>
  <c r="H36" i="14"/>
  <c r="H341" i="94" s="1"/>
  <c r="I36" i="14"/>
  <c r="I341" i="94" s="1"/>
  <c r="J36" i="14"/>
  <c r="J341" i="94" s="1"/>
  <c r="K36" i="14"/>
  <c r="K341" i="94" s="1"/>
  <c r="L36" i="14"/>
  <c r="L341" i="94" s="1"/>
  <c r="D24" i="14"/>
  <c r="E24" i="14"/>
  <c r="E186" i="94" s="1"/>
  <c r="F24" i="14"/>
  <c r="G24" i="14"/>
  <c r="H24" i="14"/>
  <c r="I24" i="14"/>
  <c r="J24" i="14"/>
  <c r="K24" i="14"/>
  <c r="L24" i="14"/>
  <c r="L186" i="94" s="1"/>
  <c r="D25" i="14"/>
  <c r="D200" i="94" s="1"/>
  <c r="E25" i="14"/>
  <c r="F25" i="14"/>
  <c r="G25" i="14"/>
  <c r="G200" i="94" s="1"/>
  <c r="H25" i="14"/>
  <c r="H200" i="94" s="1"/>
  <c r="I25" i="14"/>
  <c r="J25" i="14"/>
  <c r="K25" i="14"/>
  <c r="K200" i="94" s="1"/>
  <c r="L25" i="14"/>
  <c r="L200" i="94" s="1"/>
  <c r="D26" i="14"/>
  <c r="D214" i="94" s="1"/>
  <c r="E26" i="14"/>
  <c r="E214" i="94" s="1"/>
  <c r="F26" i="14"/>
  <c r="G26" i="14"/>
  <c r="G214" i="94" s="1"/>
  <c r="H26" i="14"/>
  <c r="H214" i="94" s="1"/>
  <c r="I26" i="14"/>
  <c r="J26" i="14"/>
  <c r="K26" i="14"/>
  <c r="K214" i="94" s="1"/>
  <c r="L26" i="14"/>
  <c r="D27" i="14"/>
  <c r="E27" i="14"/>
  <c r="E228" i="94" s="1"/>
  <c r="F27" i="14"/>
  <c r="F228" i="94" s="1"/>
  <c r="G27" i="14"/>
  <c r="H27" i="14"/>
  <c r="I27" i="14"/>
  <c r="I228" i="94" s="1"/>
  <c r="J27" i="14"/>
  <c r="J228" i="94" s="1"/>
  <c r="K27" i="14"/>
  <c r="K228" i="94" s="1"/>
  <c r="L27" i="14"/>
  <c r="D28" i="14"/>
  <c r="D242" i="94" s="1"/>
  <c r="E28" i="14"/>
  <c r="F28" i="14"/>
  <c r="G28" i="14"/>
  <c r="H28" i="14"/>
  <c r="H242" i="94" s="1"/>
  <c r="I28" i="14"/>
  <c r="I242" i="94" s="1"/>
  <c r="J28" i="14"/>
  <c r="K28" i="14"/>
  <c r="K242" i="94" s="1"/>
  <c r="L28" i="14"/>
  <c r="L242" i="94" s="1"/>
  <c r="D23" i="14"/>
  <c r="D18" i="14" s="1"/>
  <c r="D102" i="94" s="1"/>
  <c r="D172" i="94"/>
  <c r="E23" i="14"/>
  <c r="F23" i="14"/>
  <c r="G23" i="14"/>
  <c r="G172" i="94" s="1"/>
  <c r="H23" i="14"/>
  <c r="I23" i="14"/>
  <c r="I172" i="94" s="1"/>
  <c r="J23" i="14"/>
  <c r="J172" i="94" s="1"/>
  <c r="K23" i="14"/>
  <c r="K172" i="94" s="1"/>
  <c r="L23" i="14"/>
  <c r="L172" i="94" s="1"/>
  <c r="D47" i="14"/>
  <c r="E47" i="14"/>
  <c r="E456" i="94" s="1"/>
  <c r="F47" i="14"/>
  <c r="D23" i="2" s="1"/>
  <c r="G47" i="14"/>
  <c r="G456" i="94" s="1"/>
  <c r="H47" i="14"/>
  <c r="I47" i="14"/>
  <c r="J47" i="14"/>
  <c r="J456" i="94" s="1"/>
  <c r="K47" i="14"/>
  <c r="K456" i="94" s="1"/>
  <c r="L47" i="14"/>
  <c r="D50" i="14"/>
  <c r="E50" i="14"/>
  <c r="E472" i="94" s="1"/>
  <c r="F50" i="14"/>
  <c r="G50" i="14"/>
  <c r="G472" i="94" s="1"/>
  <c r="H50" i="14"/>
  <c r="I50" i="14"/>
  <c r="I472" i="94" s="1"/>
  <c r="J50" i="14"/>
  <c r="K50" i="14"/>
  <c r="L50" i="14"/>
  <c r="L472" i="94" s="1"/>
  <c r="D53" i="14"/>
  <c r="D488" i="94" s="1"/>
  <c r="E53" i="14"/>
  <c r="E488" i="94" s="1"/>
  <c r="F53" i="14"/>
  <c r="G53" i="14"/>
  <c r="H53" i="14"/>
  <c r="H488" i="94" s="1"/>
  <c r="I53" i="14"/>
  <c r="J53" i="14"/>
  <c r="K53" i="14"/>
  <c r="K488" i="94" s="1"/>
  <c r="L53" i="14"/>
  <c r="L488" i="94"/>
  <c r="D10" i="17"/>
  <c r="D13" i="94" s="1"/>
  <c r="E10" i="17"/>
  <c r="E13" i="94" s="1"/>
  <c r="F10" i="17"/>
  <c r="F13" i="94" s="1"/>
  <c r="G10" i="17"/>
  <c r="H10" i="17"/>
  <c r="I10" i="17"/>
  <c r="J10" i="17"/>
  <c r="K10" i="17"/>
  <c r="L10" i="17"/>
  <c r="D11" i="17"/>
  <c r="D27" i="94" s="1"/>
  <c r="E11" i="17"/>
  <c r="F11" i="17"/>
  <c r="G11" i="17"/>
  <c r="H11" i="17"/>
  <c r="I11" i="17"/>
  <c r="I27" i="94" s="1"/>
  <c r="J11" i="17"/>
  <c r="K11" i="17"/>
  <c r="L11" i="17"/>
  <c r="D13" i="17"/>
  <c r="E13" i="17"/>
  <c r="F13" i="17"/>
  <c r="G13" i="17"/>
  <c r="H13" i="17"/>
  <c r="I13" i="17"/>
  <c r="I55" i="94" s="1"/>
  <c r="J13" i="17"/>
  <c r="J55" i="94" s="1"/>
  <c r="K13" i="17"/>
  <c r="K55" i="94" s="1"/>
  <c r="L13" i="17"/>
  <c r="D14" i="17"/>
  <c r="E14" i="17"/>
  <c r="F14" i="17"/>
  <c r="G14" i="17"/>
  <c r="H14" i="17"/>
  <c r="I14" i="17"/>
  <c r="J14" i="17"/>
  <c r="K14" i="17"/>
  <c r="L14" i="17"/>
  <c r="D37" i="17"/>
  <c r="E37" i="17"/>
  <c r="E352" i="94" s="1"/>
  <c r="F37" i="17"/>
  <c r="F42" i="17" s="1"/>
  <c r="G37" i="17"/>
  <c r="H37" i="17"/>
  <c r="I37" i="17"/>
  <c r="J37" i="17"/>
  <c r="K37" i="17"/>
  <c r="L37" i="17"/>
  <c r="L352" i="94" s="1"/>
  <c r="D38" i="17"/>
  <c r="E38" i="17"/>
  <c r="F38" i="17"/>
  <c r="F366" i="94" s="1"/>
  <c r="G38" i="17"/>
  <c r="H38" i="17"/>
  <c r="I38" i="17"/>
  <c r="I366" i="94" s="1"/>
  <c r="J38" i="17"/>
  <c r="K38" i="17"/>
  <c r="L38" i="17"/>
  <c r="D39" i="17"/>
  <c r="D380" i="94" s="1"/>
  <c r="E39" i="17"/>
  <c r="F39" i="17"/>
  <c r="G39" i="17"/>
  <c r="H39" i="17"/>
  <c r="I39" i="17"/>
  <c r="I380" i="94" s="1"/>
  <c r="J39" i="17"/>
  <c r="J380" i="94" s="1"/>
  <c r="K39" i="17"/>
  <c r="L39" i="17"/>
  <c r="L380" i="94" s="1"/>
  <c r="D40" i="17"/>
  <c r="E40" i="17"/>
  <c r="F40" i="17"/>
  <c r="G40" i="17"/>
  <c r="H40" i="17"/>
  <c r="I40" i="17"/>
  <c r="J40" i="17"/>
  <c r="J394" i="94" s="1"/>
  <c r="K40" i="17"/>
  <c r="K394" i="94" s="1"/>
  <c r="L40" i="17"/>
  <c r="D41" i="17"/>
  <c r="E41" i="17"/>
  <c r="F41" i="17"/>
  <c r="F408" i="94" s="1"/>
  <c r="G41" i="17"/>
  <c r="H41" i="17"/>
  <c r="H408" i="94" s="1"/>
  <c r="I41" i="17"/>
  <c r="J41" i="17"/>
  <c r="K41" i="17"/>
  <c r="L41" i="17"/>
  <c r="L408" i="94" s="1"/>
  <c r="D36" i="17"/>
  <c r="E36" i="17"/>
  <c r="F36" i="17"/>
  <c r="G36" i="17"/>
  <c r="G338" i="94" s="1"/>
  <c r="H36" i="17"/>
  <c r="H338" i="94" s="1"/>
  <c r="I36" i="17"/>
  <c r="I338" i="94" s="1"/>
  <c r="J36" i="17"/>
  <c r="K36" i="17"/>
  <c r="L36" i="17"/>
  <c r="D24" i="17"/>
  <c r="E24" i="17"/>
  <c r="F24" i="17"/>
  <c r="G24" i="17"/>
  <c r="H24" i="17"/>
  <c r="I24" i="17"/>
  <c r="J24" i="17"/>
  <c r="J183" i="94" s="1"/>
  <c r="K24" i="17"/>
  <c r="L24" i="17"/>
  <c r="D25" i="17"/>
  <c r="E25" i="17"/>
  <c r="E197" i="94" s="1"/>
  <c r="F25" i="17"/>
  <c r="G25" i="17"/>
  <c r="H25" i="17"/>
  <c r="I25" i="17"/>
  <c r="I197" i="94" s="1"/>
  <c r="J25" i="17"/>
  <c r="K25" i="17"/>
  <c r="L25" i="17"/>
  <c r="L197" i="94" s="1"/>
  <c r="D26" i="17"/>
  <c r="E26" i="17"/>
  <c r="F26" i="17"/>
  <c r="G26" i="17"/>
  <c r="H26" i="17"/>
  <c r="I26" i="17"/>
  <c r="J26" i="17"/>
  <c r="K26" i="17"/>
  <c r="L26" i="17"/>
  <c r="L211" i="94" s="1"/>
  <c r="D27" i="17"/>
  <c r="E27" i="17"/>
  <c r="F27" i="17"/>
  <c r="G27" i="17"/>
  <c r="G225" i="94" s="1"/>
  <c r="H27" i="17"/>
  <c r="H225" i="94" s="1"/>
  <c r="I27" i="17"/>
  <c r="J27" i="17"/>
  <c r="K27" i="17"/>
  <c r="L27" i="17"/>
  <c r="D28" i="17"/>
  <c r="E28" i="17"/>
  <c r="E239" i="94" s="1"/>
  <c r="F28" i="17"/>
  <c r="F239" i="94" s="1"/>
  <c r="G28" i="17"/>
  <c r="H28" i="17"/>
  <c r="I28" i="17"/>
  <c r="I239" i="94" s="1"/>
  <c r="J28" i="17"/>
  <c r="K28" i="17"/>
  <c r="L28" i="17"/>
  <c r="D23" i="17"/>
  <c r="E23" i="17"/>
  <c r="F23" i="17"/>
  <c r="G23" i="17"/>
  <c r="H23" i="17"/>
  <c r="I23" i="17"/>
  <c r="I169" i="94" s="1"/>
  <c r="J23" i="17"/>
  <c r="K23" i="17"/>
  <c r="L23" i="17"/>
  <c r="D47" i="17"/>
  <c r="E47" i="17"/>
  <c r="F47" i="17"/>
  <c r="G47" i="17"/>
  <c r="H47" i="17"/>
  <c r="I47" i="17"/>
  <c r="J47" i="17"/>
  <c r="K47" i="17"/>
  <c r="K453" i="94" s="1"/>
  <c r="L47" i="17"/>
  <c r="L453" i="94" s="1"/>
  <c r="D50" i="17"/>
  <c r="E50" i="17"/>
  <c r="F50" i="17"/>
  <c r="F469" i="94" s="1"/>
  <c r="G50" i="17"/>
  <c r="G469" i="94" s="1"/>
  <c r="H50" i="17"/>
  <c r="I50" i="17"/>
  <c r="I469" i="94" s="1"/>
  <c r="J50" i="17"/>
  <c r="J469" i="94" s="1"/>
  <c r="K50" i="17"/>
  <c r="L50" i="17"/>
  <c r="D53" i="17"/>
  <c r="E53" i="17"/>
  <c r="F53" i="17"/>
  <c r="G53" i="17"/>
  <c r="H53" i="17"/>
  <c r="H485" i="94" s="1"/>
  <c r="I53" i="17"/>
  <c r="J53" i="17"/>
  <c r="K53" i="17"/>
  <c r="L53" i="17"/>
  <c r="D10" i="22"/>
  <c r="D11" i="94" s="1"/>
  <c r="E10" i="22"/>
  <c r="E11" i="94" s="1"/>
  <c r="F10" i="22"/>
  <c r="G10" i="22"/>
  <c r="H10" i="22"/>
  <c r="I10" i="22"/>
  <c r="J10" i="22"/>
  <c r="J11" i="94" s="1"/>
  <c r="K10" i="22"/>
  <c r="L10" i="22"/>
  <c r="D11" i="22"/>
  <c r="D25" i="94" s="1"/>
  <c r="E11" i="22"/>
  <c r="F11" i="22"/>
  <c r="F25" i="94" s="1"/>
  <c r="G11" i="22"/>
  <c r="H11" i="22"/>
  <c r="I11" i="22"/>
  <c r="J11" i="22"/>
  <c r="K11" i="22"/>
  <c r="L11" i="22"/>
  <c r="D13" i="22"/>
  <c r="E13" i="22"/>
  <c r="F13" i="22"/>
  <c r="G13" i="22"/>
  <c r="H13" i="22"/>
  <c r="I13" i="22"/>
  <c r="I53" i="94" s="1"/>
  <c r="J13" i="22"/>
  <c r="K13" i="22"/>
  <c r="K53" i="94" s="1"/>
  <c r="L13" i="22"/>
  <c r="L53" i="94" s="1"/>
  <c r="D14" i="22"/>
  <c r="E14" i="22"/>
  <c r="F14" i="22"/>
  <c r="G14" i="22"/>
  <c r="H14" i="22"/>
  <c r="I14" i="22"/>
  <c r="J14" i="22"/>
  <c r="J67" i="94" s="1"/>
  <c r="K14" i="22"/>
  <c r="L14" i="22"/>
  <c r="L67" i="94" s="1"/>
  <c r="D37" i="22"/>
  <c r="E37" i="22"/>
  <c r="F37" i="22"/>
  <c r="G37" i="22"/>
  <c r="H37" i="22"/>
  <c r="I37" i="22"/>
  <c r="J37" i="22"/>
  <c r="K37" i="22"/>
  <c r="L37" i="22"/>
  <c r="L350" i="94" s="1"/>
  <c r="D38" i="22"/>
  <c r="E38" i="22"/>
  <c r="F38" i="22"/>
  <c r="F364" i="94" s="1"/>
  <c r="G38" i="22"/>
  <c r="H38" i="22"/>
  <c r="H364" i="94" s="1"/>
  <c r="I38" i="22"/>
  <c r="J38" i="22"/>
  <c r="K38" i="22"/>
  <c r="L38" i="22"/>
  <c r="L364" i="94" s="1"/>
  <c r="D39" i="22"/>
  <c r="E39" i="22"/>
  <c r="F39" i="22"/>
  <c r="G39" i="22"/>
  <c r="H39" i="22"/>
  <c r="I39" i="22"/>
  <c r="I378" i="94" s="1"/>
  <c r="J39" i="22"/>
  <c r="K39" i="22"/>
  <c r="K378" i="94" s="1"/>
  <c r="L39" i="22"/>
  <c r="D40" i="22"/>
  <c r="E40" i="22"/>
  <c r="F40" i="22"/>
  <c r="G40" i="22"/>
  <c r="H40" i="22"/>
  <c r="I40" i="22"/>
  <c r="J40" i="22"/>
  <c r="K40" i="22"/>
  <c r="L40" i="22"/>
  <c r="L392" i="94" s="1"/>
  <c r="D41" i="22"/>
  <c r="E41" i="22"/>
  <c r="E406" i="94" s="1"/>
  <c r="F41" i="22"/>
  <c r="G41" i="22"/>
  <c r="H41" i="22"/>
  <c r="H406" i="94"/>
  <c r="I41" i="22"/>
  <c r="J41" i="22"/>
  <c r="K41" i="22"/>
  <c r="L41" i="22"/>
  <c r="D36" i="22"/>
  <c r="D336" i="94" s="1"/>
  <c r="E36" i="22"/>
  <c r="E42" i="22" s="1"/>
  <c r="E420" i="94" s="1"/>
  <c r="F36" i="22"/>
  <c r="G36" i="22"/>
  <c r="H36" i="22"/>
  <c r="H336" i="94" s="1"/>
  <c r="I36" i="22"/>
  <c r="J36" i="22"/>
  <c r="K36" i="22"/>
  <c r="K336" i="94" s="1"/>
  <c r="L36" i="22"/>
  <c r="L336" i="94" s="1"/>
  <c r="D24" i="22"/>
  <c r="E24" i="22"/>
  <c r="F24" i="22"/>
  <c r="G24" i="22"/>
  <c r="H24" i="22"/>
  <c r="H181" i="94" s="1"/>
  <c r="I24" i="22"/>
  <c r="I181" i="94" s="1"/>
  <c r="J24" i="22"/>
  <c r="K24" i="22"/>
  <c r="K181" i="94" s="1"/>
  <c r="L24" i="22"/>
  <c r="D25" i="22"/>
  <c r="D195" i="94" s="1"/>
  <c r="E25" i="22"/>
  <c r="E195" i="94" s="1"/>
  <c r="F25" i="22"/>
  <c r="G25" i="22"/>
  <c r="H25" i="22"/>
  <c r="I25" i="22"/>
  <c r="J25" i="22"/>
  <c r="J195" i="94" s="1"/>
  <c r="K25" i="22"/>
  <c r="K195" i="94" s="1"/>
  <c r="L25" i="22"/>
  <c r="L195" i="94" s="1"/>
  <c r="D26" i="22"/>
  <c r="E26" i="22"/>
  <c r="E209" i="94" s="1"/>
  <c r="F26" i="22"/>
  <c r="F209" i="94" s="1"/>
  <c r="G26" i="22"/>
  <c r="G209" i="94" s="1"/>
  <c r="H26" i="22"/>
  <c r="H209" i="94" s="1"/>
  <c r="I26" i="22"/>
  <c r="J26" i="22"/>
  <c r="K26" i="22"/>
  <c r="L26" i="22"/>
  <c r="D27" i="22"/>
  <c r="E27" i="22"/>
  <c r="E223" i="94" s="1"/>
  <c r="F27" i="22"/>
  <c r="F223" i="94" s="1"/>
  <c r="G27" i="22"/>
  <c r="G223" i="94" s="1"/>
  <c r="H27" i="22"/>
  <c r="I27" i="22"/>
  <c r="I223" i="94" s="1"/>
  <c r="J27" i="22"/>
  <c r="J223" i="94" s="1"/>
  <c r="K27" i="22"/>
  <c r="L27" i="22"/>
  <c r="L223" i="94" s="1"/>
  <c r="D28" i="22"/>
  <c r="E28" i="22"/>
  <c r="F28" i="22"/>
  <c r="G28" i="22"/>
  <c r="G237" i="94" s="1"/>
  <c r="H28" i="22"/>
  <c r="H237" i="94" s="1"/>
  <c r="I28" i="22"/>
  <c r="J28" i="22"/>
  <c r="K28" i="22"/>
  <c r="K237" i="94" s="1"/>
  <c r="L28" i="22"/>
  <c r="L237" i="94" s="1"/>
  <c r="D23" i="22"/>
  <c r="E23" i="22"/>
  <c r="F23" i="22"/>
  <c r="F167" i="94" s="1"/>
  <c r="G23" i="22"/>
  <c r="H23" i="22"/>
  <c r="I23" i="22"/>
  <c r="J23" i="22"/>
  <c r="K23" i="22"/>
  <c r="K29" i="22" s="1"/>
  <c r="K251" i="94" s="1"/>
  <c r="L23" i="22"/>
  <c r="L167" i="94" s="1"/>
  <c r="D47" i="22"/>
  <c r="E47" i="22"/>
  <c r="E451" i="94" s="1"/>
  <c r="F47" i="22"/>
  <c r="G47" i="22"/>
  <c r="H47" i="22"/>
  <c r="H451" i="94" s="1"/>
  <c r="I47" i="22"/>
  <c r="I451" i="94" s="1"/>
  <c r="J47" i="22"/>
  <c r="K47" i="22"/>
  <c r="L47" i="22"/>
  <c r="L451" i="94" s="1"/>
  <c r="D50" i="22"/>
  <c r="E50" i="22"/>
  <c r="E467" i="94" s="1"/>
  <c r="F50" i="22"/>
  <c r="G50" i="22"/>
  <c r="G467" i="94"/>
  <c r="H50" i="22"/>
  <c r="H467" i="94" s="1"/>
  <c r="I50" i="22"/>
  <c r="J50" i="22"/>
  <c r="J467" i="94" s="1"/>
  <c r="K50" i="22"/>
  <c r="L50" i="22"/>
  <c r="L467" i="94" s="1"/>
  <c r="D53" i="22"/>
  <c r="D483" i="94" s="1"/>
  <c r="E53" i="22"/>
  <c r="E483" i="94" s="1"/>
  <c r="F53" i="22"/>
  <c r="G53" i="22"/>
  <c r="G483" i="94" s="1"/>
  <c r="H53" i="22"/>
  <c r="I53" i="22"/>
  <c r="I483" i="94" s="1"/>
  <c r="J53" i="22"/>
  <c r="J483" i="94" s="1"/>
  <c r="K53" i="22"/>
  <c r="K483" i="94" s="1"/>
  <c r="L53" i="22"/>
  <c r="D10" i="27"/>
  <c r="E10" i="27"/>
  <c r="F10" i="27"/>
  <c r="F12" i="94" s="1"/>
  <c r="G10" i="27"/>
  <c r="H10" i="27"/>
  <c r="I10" i="27"/>
  <c r="J10" i="27"/>
  <c r="J12" i="94" s="1"/>
  <c r="K10" i="27"/>
  <c r="L10" i="27"/>
  <c r="L12" i="94" s="1"/>
  <c r="D11" i="27"/>
  <c r="D26" i="94" s="1"/>
  <c r="E11" i="27"/>
  <c r="E26" i="94" s="1"/>
  <c r="F11" i="27"/>
  <c r="G11" i="27"/>
  <c r="H11" i="27"/>
  <c r="I11" i="27"/>
  <c r="I26" i="94" s="1"/>
  <c r="J11" i="27"/>
  <c r="K11" i="27"/>
  <c r="L11" i="27"/>
  <c r="D13" i="27"/>
  <c r="D54" i="94" s="1"/>
  <c r="E13" i="27"/>
  <c r="F13" i="27"/>
  <c r="D13" i="26" s="1"/>
  <c r="G13" i="27"/>
  <c r="H13" i="27"/>
  <c r="I13" i="27"/>
  <c r="I54" i="94" s="1"/>
  <c r="J13" i="27"/>
  <c r="K13" i="27"/>
  <c r="L13" i="27"/>
  <c r="L54" i="94"/>
  <c r="D14" i="27"/>
  <c r="E14" i="27"/>
  <c r="E68" i="94" s="1"/>
  <c r="F14" i="27"/>
  <c r="F68" i="94" s="1"/>
  <c r="G14" i="27"/>
  <c r="G68" i="94" s="1"/>
  <c r="H14" i="27"/>
  <c r="I14" i="27"/>
  <c r="J14" i="27"/>
  <c r="K14" i="27"/>
  <c r="L14" i="27"/>
  <c r="D37" i="27"/>
  <c r="D351" i="94" s="1"/>
  <c r="E37" i="27"/>
  <c r="E351" i="94" s="1"/>
  <c r="F37" i="27"/>
  <c r="F351" i="94" s="1"/>
  <c r="G37" i="27"/>
  <c r="G351" i="94" s="1"/>
  <c r="H37" i="27"/>
  <c r="H351" i="94" s="1"/>
  <c r="I37" i="27"/>
  <c r="I351" i="94" s="1"/>
  <c r="J37" i="27"/>
  <c r="J351" i="94" s="1"/>
  <c r="K37" i="27"/>
  <c r="L37" i="27"/>
  <c r="D38" i="27"/>
  <c r="E38" i="27"/>
  <c r="E365" i="94" s="1"/>
  <c r="E36" i="27"/>
  <c r="E337" i="94" s="1"/>
  <c r="E39" i="27"/>
  <c r="E379" i="94" s="1"/>
  <c r="E40" i="27"/>
  <c r="E393" i="94" s="1"/>
  <c r="E41" i="27"/>
  <c r="E407" i="94" s="1"/>
  <c r="F38" i="27"/>
  <c r="G38" i="27"/>
  <c r="G365" i="94" s="1"/>
  <c r="H38" i="27"/>
  <c r="H365" i="94" s="1"/>
  <c r="I38" i="27"/>
  <c r="I365" i="94" s="1"/>
  <c r="J38" i="27"/>
  <c r="K38" i="27"/>
  <c r="K365" i="94" s="1"/>
  <c r="L38" i="27"/>
  <c r="D39" i="27"/>
  <c r="F39" i="27"/>
  <c r="G39" i="27"/>
  <c r="H39" i="27"/>
  <c r="H379" i="94" s="1"/>
  <c r="I39" i="27"/>
  <c r="J39" i="27"/>
  <c r="J379" i="94"/>
  <c r="K39" i="27"/>
  <c r="L39" i="27"/>
  <c r="L379" i="94" s="1"/>
  <c r="D40" i="27"/>
  <c r="F40" i="27"/>
  <c r="F393" i="94" s="1"/>
  <c r="G40" i="27"/>
  <c r="G393" i="94"/>
  <c r="H40" i="27"/>
  <c r="I40" i="27"/>
  <c r="I393" i="94" s="1"/>
  <c r="J40" i="27"/>
  <c r="K40" i="27"/>
  <c r="K393" i="94" s="1"/>
  <c r="L40" i="27"/>
  <c r="L393" i="94" s="1"/>
  <c r="D41" i="27"/>
  <c r="D407" i="94" s="1"/>
  <c r="F41" i="27"/>
  <c r="F407" i="94" s="1"/>
  <c r="G41" i="27"/>
  <c r="G407" i="94" s="1"/>
  <c r="H41" i="27"/>
  <c r="H407" i="94" s="1"/>
  <c r="I41" i="27"/>
  <c r="J41" i="27"/>
  <c r="J407" i="94" s="1"/>
  <c r="K41" i="27"/>
  <c r="L41" i="27"/>
  <c r="D36" i="27"/>
  <c r="F36" i="27"/>
  <c r="G36" i="27"/>
  <c r="H36" i="27"/>
  <c r="H337" i="94" s="1"/>
  <c r="I36" i="27"/>
  <c r="I337" i="94" s="1"/>
  <c r="J36" i="27"/>
  <c r="K36" i="27"/>
  <c r="L36" i="27"/>
  <c r="D24" i="27"/>
  <c r="D182" i="94" s="1"/>
  <c r="E24" i="27"/>
  <c r="F24" i="27"/>
  <c r="F182" i="94" s="1"/>
  <c r="G24" i="27"/>
  <c r="H24" i="27"/>
  <c r="H182" i="94" s="1"/>
  <c r="I24" i="27"/>
  <c r="J24" i="27"/>
  <c r="K24" i="27"/>
  <c r="L24" i="27"/>
  <c r="L182" i="94" s="1"/>
  <c r="D25" i="27"/>
  <c r="E25" i="27"/>
  <c r="E196" i="94" s="1"/>
  <c r="F25" i="27"/>
  <c r="G25" i="27"/>
  <c r="G23" i="27"/>
  <c r="G26" i="27"/>
  <c r="G210" i="94" s="1"/>
  <c r="G27" i="27"/>
  <c r="G224" i="94" s="1"/>
  <c r="G28" i="27"/>
  <c r="H25" i="27"/>
  <c r="H196" i="94" s="1"/>
  <c r="I25" i="27"/>
  <c r="J25" i="27"/>
  <c r="K25" i="27"/>
  <c r="K196" i="94" s="1"/>
  <c r="L25" i="27"/>
  <c r="D26" i="27"/>
  <c r="D210" i="94" s="1"/>
  <c r="E26" i="27"/>
  <c r="F26" i="27"/>
  <c r="F23" i="27"/>
  <c r="F27" i="27"/>
  <c r="F224" i="94" s="1"/>
  <c r="F28" i="27"/>
  <c r="H26" i="27"/>
  <c r="I26" i="27"/>
  <c r="J26" i="27"/>
  <c r="J210" i="94" s="1"/>
  <c r="K26" i="27"/>
  <c r="L26" i="27"/>
  <c r="L210" i="94" s="1"/>
  <c r="D27" i="27"/>
  <c r="E27" i="27"/>
  <c r="E224" i="94" s="1"/>
  <c r="H27" i="27"/>
  <c r="I27" i="27"/>
  <c r="I224" i="94" s="1"/>
  <c r="J27" i="27"/>
  <c r="J224" i="94" s="1"/>
  <c r="K27" i="27"/>
  <c r="K224" i="94" s="1"/>
  <c r="L27" i="27"/>
  <c r="D28" i="27"/>
  <c r="D238" i="94" s="1"/>
  <c r="E28" i="27"/>
  <c r="E238" i="94" s="1"/>
  <c r="H28" i="27"/>
  <c r="H238" i="94" s="1"/>
  <c r="I28" i="27"/>
  <c r="I238" i="94" s="1"/>
  <c r="J28" i="27"/>
  <c r="J238" i="94" s="1"/>
  <c r="K28" i="27"/>
  <c r="L28" i="27"/>
  <c r="L238" i="94" s="1"/>
  <c r="D23" i="27"/>
  <c r="E23" i="27"/>
  <c r="H23" i="27"/>
  <c r="H168" i="94" s="1"/>
  <c r="I23" i="27"/>
  <c r="J23" i="27"/>
  <c r="J168" i="94" s="1"/>
  <c r="K23" i="27"/>
  <c r="K168" i="94" s="1"/>
  <c r="L23" i="27"/>
  <c r="D47" i="27"/>
  <c r="E47" i="27"/>
  <c r="F47" i="27"/>
  <c r="F452" i="94" s="1"/>
  <c r="G47" i="27"/>
  <c r="G452" i="94" s="1"/>
  <c r="H47" i="27"/>
  <c r="I47" i="27"/>
  <c r="J47" i="27"/>
  <c r="K47" i="27"/>
  <c r="K452" i="94" s="1"/>
  <c r="L47" i="27"/>
  <c r="L452" i="94" s="1"/>
  <c r="D50" i="27"/>
  <c r="D468" i="94" s="1"/>
  <c r="E50" i="27"/>
  <c r="E468" i="94" s="1"/>
  <c r="F50" i="27"/>
  <c r="G50" i="27"/>
  <c r="H50" i="27"/>
  <c r="M50" i="27" s="1"/>
  <c r="I50" i="27"/>
  <c r="I468" i="94"/>
  <c r="J50" i="27"/>
  <c r="K50" i="27"/>
  <c r="K468" i="94" s="1"/>
  <c r="L50" i="27"/>
  <c r="L468" i="94" s="1"/>
  <c r="D53" i="27"/>
  <c r="D484" i="94" s="1"/>
  <c r="E53" i="27"/>
  <c r="F53" i="27"/>
  <c r="F484" i="94" s="1"/>
  <c r="G53" i="27"/>
  <c r="H53" i="27"/>
  <c r="H484" i="94" s="1"/>
  <c r="I53" i="27"/>
  <c r="J53" i="27"/>
  <c r="J484" i="94" s="1"/>
  <c r="K53" i="27"/>
  <c r="K484" i="94"/>
  <c r="L53" i="27"/>
  <c r="L484" i="94" s="1"/>
  <c r="D10" i="32"/>
  <c r="E10" i="32"/>
  <c r="F10" i="32"/>
  <c r="G10" i="32"/>
  <c r="G14" i="94" s="1"/>
  <c r="G11" i="32"/>
  <c r="G28" i="94" s="1"/>
  <c r="G13" i="32"/>
  <c r="G14" i="32"/>
  <c r="H10" i="32"/>
  <c r="I10" i="32"/>
  <c r="J10" i="32"/>
  <c r="J14" i="94" s="1"/>
  <c r="K10" i="32"/>
  <c r="K14" i="94" s="1"/>
  <c r="L10" i="32"/>
  <c r="D11" i="32"/>
  <c r="E11" i="32"/>
  <c r="E28" i="94"/>
  <c r="F11" i="32"/>
  <c r="D11" i="31" s="1"/>
  <c r="H11" i="32"/>
  <c r="I11" i="32"/>
  <c r="J11" i="32"/>
  <c r="J28" i="94" s="1"/>
  <c r="K11" i="32"/>
  <c r="L11" i="32"/>
  <c r="L28" i="94" s="1"/>
  <c r="D13" i="32"/>
  <c r="E13" i="32"/>
  <c r="E56" i="94" s="1"/>
  <c r="F13" i="32"/>
  <c r="H13" i="32"/>
  <c r="I13" i="32"/>
  <c r="J13" i="32"/>
  <c r="J15" i="32" s="1"/>
  <c r="J84" i="94" s="1"/>
  <c r="K13" i="32"/>
  <c r="L13" i="32"/>
  <c r="L56" i="94" s="1"/>
  <c r="D14" i="32"/>
  <c r="E14" i="32"/>
  <c r="F14" i="32"/>
  <c r="H14" i="32"/>
  <c r="H15" i="32" s="1"/>
  <c r="H84" i="94" s="1"/>
  <c r="I14" i="32"/>
  <c r="J14" i="32"/>
  <c r="K14" i="32"/>
  <c r="K70" i="94" s="1"/>
  <c r="L14" i="32"/>
  <c r="L70" i="94" s="1"/>
  <c r="D37" i="32"/>
  <c r="D353" i="94" s="1"/>
  <c r="E37" i="32"/>
  <c r="E353" i="94" s="1"/>
  <c r="F37" i="32"/>
  <c r="G37" i="32"/>
  <c r="G353" i="94" s="1"/>
  <c r="H37" i="32"/>
  <c r="I37" i="32"/>
  <c r="J37" i="32"/>
  <c r="J353" i="94" s="1"/>
  <c r="K37" i="32"/>
  <c r="K353" i="94" s="1"/>
  <c r="L37" i="32"/>
  <c r="D38" i="32"/>
  <c r="E38" i="32"/>
  <c r="E367" i="94" s="1"/>
  <c r="F38" i="32"/>
  <c r="F367" i="94" s="1"/>
  <c r="G38" i="32"/>
  <c r="G367" i="94" s="1"/>
  <c r="H38" i="32"/>
  <c r="I38" i="32"/>
  <c r="J38" i="32"/>
  <c r="J36" i="32"/>
  <c r="J39" i="32"/>
  <c r="J40" i="32"/>
  <c r="J41" i="32"/>
  <c r="J409" i="94" s="1"/>
  <c r="K38" i="32"/>
  <c r="L38" i="32"/>
  <c r="L367" i="94" s="1"/>
  <c r="D39" i="32"/>
  <c r="D381" i="94" s="1"/>
  <c r="E39" i="32"/>
  <c r="F39" i="32"/>
  <c r="F381" i="94" s="1"/>
  <c r="G39" i="32"/>
  <c r="H39" i="32"/>
  <c r="H381" i="94" s="1"/>
  <c r="I39" i="32"/>
  <c r="K39" i="32"/>
  <c r="L39" i="32"/>
  <c r="L381" i="94" s="1"/>
  <c r="D40" i="32"/>
  <c r="E40" i="32"/>
  <c r="E395" i="94" s="1"/>
  <c r="F40" i="32"/>
  <c r="F395" i="94" s="1"/>
  <c r="G40" i="32"/>
  <c r="G395" i="94" s="1"/>
  <c r="H40" i="32"/>
  <c r="H395" i="94" s="1"/>
  <c r="I40" i="32"/>
  <c r="I395" i="94" s="1"/>
  <c r="K40" i="32"/>
  <c r="K395" i="94" s="1"/>
  <c r="L40" i="32"/>
  <c r="D41" i="32"/>
  <c r="E41" i="32"/>
  <c r="F41" i="32"/>
  <c r="F409" i="94" s="1"/>
  <c r="G41" i="32"/>
  <c r="G409" i="94" s="1"/>
  <c r="H41" i="32"/>
  <c r="I41" i="32"/>
  <c r="I409" i="94" s="1"/>
  <c r="K41" i="32"/>
  <c r="L41" i="32"/>
  <c r="L409" i="94" s="1"/>
  <c r="D36" i="32"/>
  <c r="D339" i="94" s="1"/>
  <c r="E36" i="32"/>
  <c r="E339" i="94" s="1"/>
  <c r="F36" i="32"/>
  <c r="G36" i="32"/>
  <c r="H36" i="32"/>
  <c r="I36" i="32"/>
  <c r="I339" i="94" s="1"/>
  <c r="K36" i="32"/>
  <c r="L36" i="32"/>
  <c r="D24" i="32"/>
  <c r="D184" i="94" s="1"/>
  <c r="E24" i="32"/>
  <c r="E184" i="94" s="1"/>
  <c r="F24" i="32"/>
  <c r="G24" i="32"/>
  <c r="H24" i="32"/>
  <c r="H184" i="94" s="1"/>
  <c r="I24" i="32"/>
  <c r="J24" i="32"/>
  <c r="J184" i="94" s="1"/>
  <c r="K24" i="32"/>
  <c r="L24" i="32"/>
  <c r="L184" i="94" s="1"/>
  <c r="D25" i="32"/>
  <c r="D198" i="94" s="1"/>
  <c r="E25" i="32"/>
  <c r="F25" i="32"/>
  <c r="G25" i="32"/>
  <c r="H25" i="32"/>
  <c r="H198" i="94" s="1"/>
  <c r="I25" i="32"/>
  <c r="J25" i="32"/>
  <c r="J198" i="94" s="1"/>
  <c r="K25" i="32"/>
  <c r="K198" i="94" s="1"/>
  <c r="L25" i="32"/>
  <c r="L198" i="94" s="1"/>
  <c r="D26" i="32"/>
  <c r="E26" i="32"/>
  <c r="E212" i="94" s="1"/>
  <c r="F26" i="32"/>
  <c r="G26" i="32"/>
  <c r="G212" i="94" s="1"/>
  <c r="H26" i="32"/>
  <c r="I26" i="32"/>
  <c r="J26" i="32"/>
  <c r="J212" i="94" s="1"/>
  <c r="K26" i="32"/>
  <c r="K212" i="94" s="1"/>
  <c r="L26" i="32"/>
  <c r="D27" i="32"/>
  <c r="E27" i="32"/>
  <c r="E226" i="94" s="1"/>
  <c r="F27" i="32"/>
  <c r="F226" i="94" s="1"/>
  <c r="G27" i="32"/>
  <c r="H27" i="32"/>
  <c r="I27" i="32"/>
  <c r="I226" i="94" s="1"/>
  <c r="J27" i="32"/>
  <c r="J226" i="94" s="1"/>
  <c r="K27" i="32"/>
  <c r="K226" i="94" s="1"/>
  <c r="L27" i="32"/>
  <c r="D28" i="32"/>
  <c r="E28" i="32"/>
  <c r="F28" i="32"/>
  <c r="F240" i="94" s="1"/>
  <c r="G28" i="32"/>
  <c r="H28" i="32"/>
  <c r="I28" i="32"/>
  <c r="I240" i="94" s="1"/>
  <c r="J28" i="32"/>
  <c r="K28" i="32"/>
  <c r="L28" i="32"/>
  <c r="D23" i="32"/>
  <c r="E23" i="32"/>
  <c r="F23" i="32"/>
  <c r="G23" i="32"/>
  <c r="G170" i="94" s="1"/>
  <c r="H23" i="32"/>
  <c r="I23" i="32"/>
  <c r="J23" i="32"/>
  <c r="K23" i="32"/>
  <c r="L23" i="32"/>
  <c r="D47" i="32"/>
  <c r="E47" i="32"/>
  <c r="F47" i="32"/>
  <c r="F454" i="94" s="1"/>
  <c r="G47" i="32"/>
  <c r="G454" i="94" s="1"/>
  <c r="H47" i="32"/>
  <c r="I47" i="32"/>
  <c r="J47" i="32"/>
  <c r="J454" i="94" s="1"/>
  <c r="K47" i="32"/>
  <c r="K454" i="94" s="1"/>
  <c r="L47" i="32"/>
  <c r="D50" i="32"/>
  <c r="D470" i="94" s="1"/>
  <c r="E50" i="32"/>
  <c r="E470" i="94" s="1"/>
  <c r="F50" i="32"/>
  <c r="F470" i="94"/>
  <c r="G50" i="32"/>
  <c r="H50" i="32"/>
  <c r="I50" i="32"/>
  <c r="J50" i="32"/>
  <c r="K50" i="32"/>
  <c r="L50" i="32"/>
  <c r="L470" i="94" s="1"/>
  <c r="D53" i="32"/>
  <c r="D486" i="94" s="1"/>
  <c r="E53" i="32"/>
  <c r="E486" i="94" s="1"/>
  <c r="F53" i="32"/>
  <c r="G53" i="32"/>
  <c r="G486" i="94" s="1"/>
  <c r="H53" i="32"/>
  <c r="H486" i="94" s="1"/>
  <c r="I53" i="32"/>
  <c r="I486" i="94" s="1"/>
  <c r="J53" i="32"/>
  <c r="K53" i="32"/>
  <c r="L53" i="32"/>
  <c r="L486" i="94" s="1"/>
  <c r="D56" i="32"/>
  <c r="D57" i="32"/>
  <c r="D516" i="94" s="1"/>
  <c r="D58" i="32"/>
  <c r="D530" i="94" s="1"/>
  <c r="D59" i="32"/>
  <c r="D60" i="32"/>
  <c r="D61" i="32"/>
  <c r="D572" i="94" s="1"/>
  <c r="E56" i="32"/>
  <c r="F56" i="32"/>
  <c r="G56" i="32"/>
  <c r="G502" i="94" s="1"/>
  <c r="H56" i="32"/>
  <c r="I56" i="32"/>
  <c r="I502" i="94" s="1"/>
  <c r="J56" i="32"/>
  <c r="J502" i="94" s="1"/>
  <c r="K56" i="32"/>
  <c r="K502" i="94" s="1"/>
  <c r="L56" i="32"/>
  <c r="L57" i="32"/>
  <c r="L516" i="94" s="1"/>
  <c r="L58" i="32"/>
  <c r="L530" i="94" s="1"/>
  <c r="L59" i="32"/>
  <c r="L544" i="94" s="1"/>
  <c r="L60" i="32"/>
  <c r="L558" i="94" s="1"/>
  <c r="L61" i="32"/>
  <c r="E57" i="32"/>
  <c r="F57" i="32"/>
  <c r="G57" i="32"/>
  <c r="H57" i="32"/>
  <c r="I57" i="32"/>
  <c r="I516" i="94" s="1"/>
  <c r="J57" i="32"/>
  <c r="K57" i="32"/>
  <c r="K516" i="94" s="1"/>
  <c r="E58" i="32"/>
  <c r="E530" i="94" s="1"/>
  <c r="F58" i="32"/>
  <c r="G58" i="32"/>
  <c r="H58" i="32"/>
  <c r="H530" i="94" s="1"/>
  <c r="I58" i="32"/>
  <c r="J58" i="32"/>
  <c r="K58" i="32"/>
  <c r="E59" i="32"/>
  <c r="F59" i="32"/>
  <c r="G59" i="32"/>
  <c r="G544" i="94" s="1"/>
  <c r="H59" i="32"/>
  <c r="H544" i="94" s="1"/>
  <c r="I59" i="32"/>
  <c r="I544" i="94" s="1"/>
  <c r="J59" i="32"/>
  <c r="J544" i="94" s="1"/>
  <c r="K59" i="32"/>
  <c r="E60" i="32"/>
  <c r="F60" i="32"/>
  <c r="D36" i="31" s="1"/>
  <c r="G60" i="32"/>
  <c r="G558" i="94" s="1"/>
  <c r="H60" i="32"/>
  <c r="H558" i="94" s="1"/>
  <c r="I60" i="32"/>
  <c r="J60" i="32"/>
  <c r="J558" i="94" s="1"/>
  <c r="K60" i="32"/>
  <c r="E61" i="32"/>
  <c r="F61" i="32"/>
  <c r="F572" i="94" s="1"/>
  <c r="G61" i="32"/>
  <c r="G572" i="94" s="1"/>
  <c r="H61" i="32"/>
  <c r="I61" i="32"/>
  <c r="J61" i="32"/>
  <c r="J572" i="94" s="1"/>
  <c r="K61" i="32"/>
  <c r="K572" i="94" s="1"/>
  <c r="D10" i="37"/>
  <c r="E10" i="37"/>
  <c r="F10" i="37"/>
  <c r="G10" i="37"/>
  <c r="H10" i="37"/>
  <c r="I10" i="37"/>
  <c r="I18" i="94" s="1"/>
  <c r="J10" i="37"/>
  <c r="K10" i="37"/>
  <c r="L10" i="37"/>
  <c r="D11" i="37"/>
  <c r="E11" i="37"/>
  <c r="E32" i="94" s="1"/>
  <c r="F11" i="37"/>
  <c r="G11" i="37"/>
  <c r="H11" i="37"/>
  <c r="I11" i="37"/>
  <c r="J11" i="37"/>
  <c r="J32" i="94" s="1"/>
  <c r="K11" i="37"/>
  <c r="L11" i="37"/>
  <c r="D13" i="37"/>
  <c r="D60" i="94" s="1"/>
  <c r="E13" i="37"/>
  <c r="F13" i="37"/>
  <c r="F60" i="94" s="1"/>
  <c r="G13" i="37"/>
  <c r="G60" i="94" s="1"/>
  <c r="H13" i="37"/>
  <c r="I13" i="37"/>
  <c r="J13" i="37"/>
  <c r="K13" i="37"/>
  <c r="L13" i="37"/>
  <c r="L60" i="94"/>
  <c r="D14" i="37"/>
  <c r="E14" i="37"/>
  <c r="F14" i="37"/>
  <c r="G14" i="37"/>
  <c r="G74" i="94" s="1"/>
  <c r="H14" i="37"/>
  <c r="H74" i="94" s="1"/>
  <c r="I14" i="37"/>
  <c r="J14" i="37"/>
  <c r="K14" i="37"/>
  <c r="L14" i="37"/>
  <c r="D37" i="37"/>
  <c r="E37" i="37"/>
  <c r="E357" i="94"/>
  <c r="F37" i="37"/>
  <c r="G37" i="37"/>
  <c r="H37" i="37"/>
  <c r="I37" i="37"/>
  <c r="J37" i="37"/>
  <c r="J357" i="94" s="1"/>
  <c r="K37" i="37"/>
  <c r="L37" i="37"/>
  <c r="D38" i="37"/>
  <c r="E38" i="37"/>
  <c r="F38" i="37"/>
  <c r="G38" i="37"/>
  <c r="G371" i="94"/>
  <c r="H38" i="37"/>
  <c r="I38" i="37"/>
  <c r="J38" i="37"/>
  <c r="J371" i="94" s="1"/>
  <c r="K38" i="37"/>
  <c r="L38" i="37"/>
  <c r="L371" i="94" s="1"/>
  <c r="D39" i="37"/>
  <c r="E39" i="37"/>
  <c r="F39" i="37"/>
  <c r="F385" i="94" s="1"/>
  <c r="G39" i="37"/>
  <c r="H39" i="37"/>
  <c r="I39" i="37"/>
  <c r="I385" i="94" s="1"/>
  <c r="J39" i="37"/>
  <c r="K39" i="37"/>
  <c r="K385" i="94" s="1"/>
  <c r="L39" i="37"/>
  <c r="D40" i="37"/>
  <c r="E40" i="37"/>
  <c r="F40" i="37"/>
  <c r="F399" i="94" s="1"/>
  <c r="G40" i="37"/>
  <c r="H40" i="37"/>
  <c r="H399" i="94" s="1"/>
  <c r="I40" i="37"/>
  <c r="J40" i="37"/>
  <c r="J399" i="94" s="1"/>
  <c r="K40" i="37"/>
  <c r="L40" i="37"/>
  <c r="D41" i="37"/>
  <c r="D413" i="94" s="1"/>
  <c r="E41" i="37"/>
  <c r="F41" i="37"/>
  <c r="G41" i="37"/>
  <c r="H41" i="37"/>
  <c r="H413" i="94" s="1"/>
  <c r="I41" i="37"/>
  <c r="I413" i="94" s="1"/>
  <c r="J41" i="37"/>
  <c r="J413" i="94" s="1"/>
  <c r="K41" i="37"/>
  <c r="L41" i="37"/>
  <c r="L413" i="94" s="1"/>
  <c r="D36" i="37"/>
  <c r="E36" i="37"/>
  <c r="F36" i="37"/>
  <c r="G36" i="37"/>
  <c r="H36" i="37"/>
  <c r="I36" i="37"/>
  <c r="J36" i="37"/>
  <c r="K36" i="37"/>
  <c r="K343" i="94" s="1"/>
  <c r="L36" i="37"/>
  <c r="D24" i="37"/>
  <c r="E24" i="37"/>
  <c r="F24" i="37"/>
  <c r="F188" i="94" s="1"/>
  <c r="G24" i="37"/>
  <c r="H24" i="37"/>
  <c r="I24" i="37"/>
  <c r="J24" i="37"/>
  <c r="K24" i="37"/>
  <c r="L24" i="37"/>
  <c r="D25" i="37"/>
  <c r="E25" i="37"/>
  <c r="E202" i="94" s="1"/>
  <c r="F25" i="37"/>
  <c r="G25" i="37"/>
  <c r="G202" i="94" s="1"/>
  <c r="H25" i="37"/>
  <c r="I25" i="37"/>
  <c r="I202" i="94" s="1"/>
  <c r="J25" i="37"/>
  <c r="K25" i="37"/>
  <c r="L25" i="37"/>
  <c r="D26" i="37"/>
  <c r="E26" i="37"/>
  <c r="E216" i="94" s="1"/>
  <c r="F26" i="37"/>
  <c r="F216" i="94" s="1"/>
  <c r="G26" i="37"/>
  <c r="G216" i="94" s="1"/>
  <c r="H26" i="37"/>
  <c r="H216" i="94" s="1"/>
  <c r="I26" i="37"/>
  <c r="J26" i="37"/>
  <c r="J216" i="94" s="1"/>
  <c r="K26" i="37"/>
  <c r="L26" i="37"/>
  <c r="L216" i="94" s="1"/>
  <c r="D27" i="37"/>
  <c r="D230" i="94" s="1"/>
  <c r="E27" i="37"/>
  <c r="F27" i="37"/>
  <c r="F230" i="94" s="1"/>
  <c r="G27" i="37"/>
  <c r="H27" i="37"/>
  <c r="I27" i="37"/>
  <c r="J27" i="37"/>
  <c r="K27" i="37"/>
  <c r="K230" i="94" s="1"/>
  <c r="L27" i="37"/>
  <c r="L230" i="94" s="1"/>
  <c r="D28" i="37"/>
  <c r="D244" i="94" s="1"/>
  <c r="E28" i="37"/>
  <c r="F28" i="37"/>
  <c r="F244" i="94" s="1"/>
  <c r="G28" i="37"/>
  <c r="H28" i="37"/>
  <c r="I28" i="37"/>
  <c r="I244" i="94" s="1"/>
  <c r="J28" i="37"/>
  <c r="K28" i="37"/>
  <c r="K244" i="94" s="1"/>
  <c r="L28" i="37"/>
  <c r="D23" i="37"/>
  <c r="E23" i="37"/>
  <c r="E174" i="94" s="1"/>
  <c r="F23" i="37"/>
  <c r="G23" i="37"/>
  <c r="H23" i="37"/>
  <c r="I23" i="37"/>
  <c r="I174" i="94" s="1"/>
  <c r="J23" i="37"/>
  <c r="K23" i="37"/>
  <c r="L23" i="37"/>
  <c r="D47" i="37"/>
  <c r="E47" i="37"/>
  <c r="F47" i="37"/>
  <c r="G47" i="37"/>
  <c r="G458" i="94"/>
  <c r="H47" i="37"/>
  <c r="I47" i="37"/>
  <c r="J47" i="37"/>
  <c r="J458" i="94" s="1"/>
  <c r="K47" i="37"/>
  <c r="L47" i="37"/>
  <c r="D50" i="37"/>
  <c r="E50" i="37"/>
  <c r="F50" i="37"/>
  <c r="D26" i="36" s="1"/>
  <c r="E76" i="36" s="1"/>
  <c r="G50" i="37"/>
  <c r="H50" i="37"/>
  <c r="I50" i="37"/>
  <c r="J50" i="37"/>
  <c r="J474" i="94" s="1"/>
  <c r="K50" i="37"/>
  <c r="K474" i="94" s="1"/>
  <c r="L50" i="37"/>
  <c r="L474" i="94" s="1"/>
  <c r="D53" i="37"/>
  <c r="E53" i="37"/>
  <c r="E490" i="94" s="1"/>
  <c r="F53" i="37"/>
  <c r="G53" i="37"/>
  <c r="H53" i="37"/>
  <c r="H490" i="94" s="1"/>
  <c r="I53" i="37"/>
  <c r="I490" i="94" s="1"/>
  <c r="J53" i="37"/>
  <c r="J490" i="94" s="1"/>
  <c r="K53" i="37"/>
  <c r="K490" i="94" s="1"/>
  <c r="L53" i="37"/>
  <c r="L490" i="94" s="1"/>
  <c r="D56" i="37"/>
  <c r="E56" i="37"/>
  <c r="F56" i="37"/>
  <c r="F506" i="94" s="1"/>
  <c r="G56" i="37"/>
  <c r="H56" i="37"/>
  <c r="I56" i="37"/>
  <c r="J56" i="37"/>
  <c r="K56" i="37"/>
  <c r="L56" i="37"/>
  <c r="D57" i="37"/>
  <c r="E57" i="37"/>
  <c r="F57" i="37"/>
  <c r="F520" i="94" s="1"/>
  <c r="G57" i="37"/>
  <c r="H57" i="37"/>
  <c r="H520" i="94" s="1"/>
  <c r="I57" i="37"/>
  <c r="J57" i="37"/>
  <c r="K57" i="37"/>
  <c r="L57" i="37"/>
  <c r="D58" i="37"/>
  <c r="E58" i="37"/>
  <c r="E534" i="94" s="1"/>
  <c r="F58" i="37"/>
  <c r="F534" i="94" s="1"/>
  <c r="G58" i="37"/>
  <c r="H58" i="37"/>
  <c r="I58" i="37"/>
  <c r="I534" i="94" s="1"/>
  <c r="J58" i="37"/>
  <c r="K58" i="37"/>
  <c r="L58" i="37"/>
  <c r="L534" i="94" s="1"/>
  <c r="D59" i="37"/>
  <c r="E59" i="37"/>
  <c r="F59" i="37"/>
  <c r="G59" i="37"/>
  <c r="H59" i="37"/>
  <c r="H548" i="94" s="1"/>
  <c r="I59" i="37"/>
  <c r="J59" i="37"/>
  <c r="K59" i="37"/>
  <c r="L59" i="37"/>
  <c r="L548" i="94" s="1"/>
  <c r="D60" i="37"/>
  <c r="E60" i="37"/>
  <c r="E562" i="94" s="1"/>
  <c r="F60" i="37"/>
  <c r="G60" i="37"/>
  <c r="G562" i="94" s="1"/>
  <c r="H60" i="37"/>
  <c r="H562" i="94" s="1"/>
  <c r="I60" i="37"/>
  <c r="I562" i="94" s="1"/>
  <c r="J60" i="37"/>
  <c r="J562" i="94" s="1"/>
  <c r="K60" i="37"/>
  <c r="K562" i="94" s="1"/>
  <c r="L60" i="37"/>
  <c r="L562" i="94" s="1"/>
  <c r="D61" i="37"/>
  <c r="E61" i="37"/>
  <c r="E576" i="94" s="1"/>
  <c r="F61" i="37"/>
  <c r="D37" i="36" s="1"/>
  <c r="G61" i="37"/>
  <c r="H61" i="37"/>
  <c r="I61" i="37"/>
  <c r="I576" i="94" s="1"/>
  <c r="J61" i="37"/>
  <c r="K61" i="37"/>
  <c r="L61" i="37"/>
  <c r="D10" i="42"/>
  <c r="E10" i="42"/>
  <c r="F10" i="42"/>
  <c r="G10" i="42"/>
  <c r="H10" i="42"/>
  <c r="I10" i="42"/>
  <c r="I15" i="42" s="1"/>
  <c r="I87" i="94" s="1"/>
  <c r="J10" i="42"/>
  <c r="K10" i="42"/>
  <c r="L10" i="42"/>
  <c r="L17" i="94" s="1"/>
  <c r="D11" i="42"/>
  <c r="E11" i="42"/>
  <c r="F11" i="42"/>
  <c r="D11" i="41" s="1"/>
  <c r="G11" i="42"/>
  <c r="G31" i="94" s="1"/>
  <c r="H11" i="42"/>
  <c r="I11" i="42"/>
  <c r="J11" i="42"/>
  <c r="K11" i="42"/>
  <c r="M11" i="42" s="1"/>
  <c r="P11" i="65" s="1"/>
  <c r="L11" i="42"/>
  <c r="D13" i="42"/>
  <c r="E13" i="42"/>
  <c r="F13" i="42"/>
  <c r="F59" i="94" s="1"/>
  <c r="G13" i="42"/>
  <c r="H13" i="42"/>
  <c r="I13" i="42"/>
  <c r="J13" i="42"/>
  <c r="K13" i="42"/>
  <c r="L13" i="42"/>
  <c r="D14" i="42"/>
  <c r="E14" i="42"/>
  <c r="E73" i="94" s="1"/>
  <c r="F14" i="42"/>
  <c r="G14" i="42"/>
  <c r="H14" i="42"/>
  <c r="I14" i="42"/>
  <c r="J14" i="42"/>
  <c r="J73" i="94" s="1"/>
  <c r="K14" i="42"/>
  <c r="L14" i="42"/>
  <c r="D37" i="42"/>
  <c r="D356" i="94" s="1"/>
  <c r="E37" i="42"/>
  <c r="F37" i="42"/>
  <c r="G37" i="42"/>
  <c r="H37" i="42"/>
  <c r="H356" i="94" s="1"/>
  <c r="I37" i="42"/>
  <c r="J37" i="42"/>
  <c r="K37" i="42"/>
  <c r="L37" i="42"/>
  <c r="L356" i="94" s="1"/>
  <c r="D38" i="42"/>
  <c r="E38" i="42"/>
  <c r="F38" i="42"/>
  <c r="G38" i="42"/>
  <c r="H38" i="42"/>
  <c r="I38" i="42"/>
  <c r="J38" i="42"/>
  <c r="K38" i="42"/>
  <c r="K370" i="94" s="1"/>
  <c r="L38" i="42"/>
  <c r="D39" i="42"/>
  <c r="D384" i="94" s="1"/>
  <c r="E39" i="42"/>
  <c r="F39" i="42"/>
  <c r="F384" i="94" s="1"/>
  <c r="G39" i="42"/>
  <c r="H39" i="42"/>
  <c r="I39" i="42"/>
  <c r="J39" i="42"/>
  <c r="J384" i="94" s="1"/>
  <c r="K39" i="42"/>
  <c r="L39" i="42"/>
  <c r="D40" i="42"/>
  <c r="D398" i="94" s="1"/>
  <c r="E40" i="42"/>
  <c r="E398" i="94" s="1"/>
  <c r="F40" i="42"/>
  <c r="G40" i="42"/>
  <c r="G398" i="94" s="1"/>
  <c r="H40" i="42"/>
  <c r="H398" i="94" s="1"/>
  <c r="I40" i="42"/>
  <c r="I398" i="94" s="1"/>
  <c r="J40" i="42"/>
  <c r="K40" i="42"/>
  <c r="L40" i="42"/>
  <c r="D41" i="42"/>
  <c r="E41" i="42"/>
  <c r="E412" i="94"/>
  <c r="F41" i="42"/>
  <c r="F412" i="94" s="1"/>
  <c r="G41" i="42"/>
  <c r="H41" i="42"/>
  <c r="I41" i="42"/>
  <c r="I412" i="94" s="1"/>
  <c r="J41" i="42"/>
  <c r="K41" i="42"/>
  <c r="L41" i="42"/>
  <c r="D36" i="42"/>
  <c r="E36" i="42"/>
  <c r="F36" i="42"/>
  <c r="G36" i="42"/>
  <c r="G342" i="94"/>
  <c r="H36" i="42"/>
  <c r="H342" i="94" s="1"/>
  <c r="I36" i="42"/>
  <c r="J36" i="42"/>
  <c r="J342" i="94" s="1"/>
  <c r="K36" i="42"/>
  <c r="K342" i="94" s="1"/>
  <c r="L36" i="42"/>
  <c r="D24" i="42"/>
  <c r="E24" i="42"/>
  <c r="F24" i="42"/>
  <c r="F187" i="94" s="1"/>
  <c r="G24" i="42"/>
  <c r="H24" i="42"/>
  <c r="I24" i="42"/>
  <c r="J24" i="42"/>
  <c r="J187" i="94" s="1"/>
  <c r="K24" i="42"/>
  <c r="L24" i="42"/>
  <c r="D25" i="42"/>
  <c r="D201" i="94" s="1"/>
  <c r="E25" i="42"/>
  <c r="F25" i="42"/>
  <c r="G25" i="42"/>
  <c r="H25" i="42"/>
  <c r="I25" i="42"/>
  <c r="J25" i="42"/>
  <c r="K25" i="42"/>
  <c r="L25" i="42"/>
  <c r="L201" i="94" s="1"/>
  <c r="D26" i="42"/>
  <c r="D215" i="94" s="1"/>
  <c r="E26" i="42"/>
  <c r="F26" i="42"/>
  <c r="F215" i="94" s="1"/>
  <c r="G26" i="42"/>
  <c r="G215" i="94" s="1"/>
  <c r="H26" i="42"/>
  <c r="I26" i="42"/>
  <c r="J26" i="42"/>
  <c r="K26" i="42"/>
  <c r="L26" i="42"/>
  <c r="L215" i="94" s="1"/>
  <c r="D27" i="42"/>
  <c r="E27" i="42"/>
  <c r="E229" i="94" s="1"/>
  <c r="F27" i="42"/>
  <c r="G27" i="42"/>
  <c r="G29" i="42" s="1"/>
  <c r="H27" i="42"/>
  <c r="I27" i="42"/>
  <c r="J27" i="42"/>
  <c r="J229" i="94" s="1"/>
  <c r="K27" i="42"/>
  <c r="K229" i="94" s="1"/>
  <c r="L27" i="42"/>
  <c r="D28" i="42"/>
  <c r="E28" i="42"/>
  <c r="F28" i="42"/>
  <c r="G28" i="42"/>
  <c r="H28" i="42"/>
  <c r="I28" i="42"/>
  <c r="I243" i="94" s="1"/>
  <c r="J28" i="42"/>
  <c r="J243" i="94" s="1"/>
  <c r="K28" i="42"/>
  <c r="L28" i="42"/>
  <c r="L243" i="94" s="1"/>
  <c r="D23" i="42"/>
  <c r="E23" i="42"/>
  <c r="F23" i="42"/>
  <c r="G23" i="42"/>
  <c r="H23" i="42"/>
  <c r="I23" i="42"/>
  <c r="I173" i="94" s="1"/>
  <c r="J23" i="42"/>
  <c r="K23" i="42"/>
  <c r="L23" i="42"/>
  <c r="D47" i="42"/>
  <c r="D457" i="94" s="1"/>
  <c r="E47" i="42"/>
  <c r="F47" i="42"/>
  <c r="F457" i="94" s="1"/>
  <c r="G47" i="42"/>
  <c r="H47" i="42"/>
  <c r="H457" i="94" s="1"/>
  <c r="I47" i="42"/>
  <c r="J47" i="42"/>
  <c r="K47" i="42"/>
  <c r="K457" i="94" s="1"/>
  <c r="L47" i="42"/>
  <c r="L457" i="94" s="1"/>
  <c r="D50" i="42"/>
  <c r="D473" i="94" s="1"/>
  <c r="E50" i="42"/>
  <c r="F50" i="42"/>
  <c r="G50" i="42"/>
  <c r="G473" i="94" s="1"/>
  <c r="H50" i="42"/>
  <c r="I50" i="42"/>
  <c r="I473" i="94" s="1"/>
  <c r="J50" i="42"/>
  <c r="J473" i="94" s="1"/>
  <c r="K50" i="42"/>
  <c r="L50" i="42"/>
  <c r="D53" i="42"/>
  <c r="E53" i="42"/>
  <c r="F53" i="42"/>
  <c r="G53" i="42"/>
  <c r="H53" i="42"/>
  <c r="I53" i="42"/>
  <c r="J53" i="42"/>
  <c r="J489" i="94" s="1"/>
  <c r="K53" i="42"/>
  <c r="K489" i="94" s="1"/>
  <c r="L53" i="42"/>
  <c r="L489" i="94" s="1"/>
  <c r="D56" i="42"/>
  <c r="E56" i="42"/>
  <c r="F56" i="42"/>
  <c r="F505" i="94" s="1"/>
  <c r="G56" i="42"/>
  <c r="G505" i="94" s="1"/>
  <c r="H56" i="42"/>
  <c r="I56" i="42"/>
  <c r="J56" i="42"/>
  <c r="K56" i="42"/>
  <c r="L56" i="42"/>
  <c r="D57" i="42"/>
  <c r="D519" i="94" s="1"/>
  <c r="E57" i="42"/>
  <c r="F57" i="42"/>
  <c r="G57" i="42"/>
  <c r="G519" i="94" s="1"/>
  <c r="H57" i="42"/>
  <c r="I57" i="42"/>
  <c r="J57" i="42"/>
  <c r="K57" i="42"/>
  <c r="K519" i="94" s="1"/>
  <c r="L57" i="42"/>
  <c r="L519" i="94" s="1"/>
  <c r="D58" i="42"/>
  <c r="E58" i="42"/>
  <c r="F58" i="42"/>
  <c r="G58" i="42"/>
  <c r="M58" i="42" s="1"/>
  <c r="M533" i="94" s="1"/>
  <c r="H58" i="42"/>
  <c r="I58" i="42"/>
  <c r="I533" i="94" s="1"/>
  <c r="J58" i="42"/>
  <c r="J533" i="94" s="1"/>
  <c r="K58" i="42"/>
  <c r="K533" i="94" s="1"/>
  <c r="L58" i="42"/>
  <c r="D59" i="42"/>
  <c r="E59" i="42"/>
  <c r="F59" i="42"/>
  <c r="G59" i="42"/>
  <c r="H59" i="42"/>
  <c r="I59" i="42"/>
  <c r="J59" i="42"/>
  <c r="K59" i="42"/>
  <c r="L59" i="42"/>
  <c r="D60" i="42"/>
  <c r="E60" i="42"/>
  <c r="F60" i="42"/>
  <c r="G60" i="42"/>
  <c r="H60" i="42"/>
  <c r="I60" i="42"/>
  <c r="I561" i="94" s="1"/>
  <c r="J60" i="42"/>
  <c r="K60" i="42"/>
  <c r="L60" i="42"/>
  <c r="D61" i="42"/>
  <c r="D575" i="94" s="1"/>
  <c r="E61" i="42"/>
  <c r="E575" i="94" s="1"/>
  <c r="F61" i="42"/>
  <c r="F575" i="94" s="1"/>
  <c r="G61" i="42"/>
  <c r="H61" i="42"/>
  <c r="H575" i="94" s="1"/>
  <c r="I61" i="42"/>
  <c r="J61" i="42"/>
  <c r="K61" i="42"/>
  <c r="L61" i="42"/>
  <c r="D10" i="47"/>
  <c r="E10" i="47"/>
  <c r="F10" i="47"/>
  <c r="G10" i="47"/>
  <c r="G22" i="94" s="1"/>
  <c r="H10" i="47"/>
  <c r="I10" i="47"/>
  <c r="I22" i="94" s="1"/>
  <c r="J10" i="47"/>
  <c r="J22" i="94" s="1"/>
  <c r="K10" i="47"/>
  <c r="K22" i="94" s="1"/>
  <c r="L10" i="47"/>
  <c r="L22" i="94" s="1"/>
  <c r="D11" i="47"/>
  <c r="D36" i="94" s="1"/>
  <c r="E11" i="47"/>
  <c r="F11" i="47"/>
  <c r="G11" i="47"/>
  <c r="G36" i="94" s="1"/>
  <c r="H11" i="47"/>
  <c r="H36" i="94" s="1"/>
  <c r="I11" i="47"/>
  <c r="J11" i="47"/>
  <c r="J36" i="94" s="1"/>
  <c r="K11" i="47"/>
  <c r="L11" i="47"/>
  <c r="D13" i="47"/>
  <c r="E13" i="47"/>
  <c r="E64" i="94" s="1"/>
  <c r="F13" i="47"/>
  <c r="G13" i="47"/>
  <c r="G64" i="94" s="1"/>
  <c r="H13" i="47"/>
  <c r="I13" i="47"/>
  <c r="I64" i="94" s="1"/>
  <c r="J13" i="47"/>
  <c r="K13" i="47"/>
  <c r="K64" i="94" s="1"/>
  <c r="L13" i="47"/>
  <c r="D14" i="47"/>
  <c r="D78" i="94" s="1"/>
  <c r="E14" i="47"/>
  <c r="F14" i="47"/>
  <c r="F78" i="94" s="1"/>
  <c r="G14" i="47"/>
  <c r="G78" i="94" s="1"/>
  <c r="H14" i="47"/>
  <c r="I14" i="47"/>
  <c r="J14" i="47"/>
  <c r="K14" i="47"/>
  <c r="L14" i="47"/>
  <c r="D37" i="47"/>
  <c r="E37" i="47"/>
  <c r="E361" i="94" s="1"/>
  <c r="F37" i="47"/>
  <c r="G37" i="47"/>
  <c r="G361" i="94" s="1"/>
  <c r="H37" i="47"/>
  <c r="I37" i="47"/>
  <c r="I361" i="94" s="1"/>
  <c r="J37" i="47"/>
  <c r="J361" i="94" s="1"/>
  <c r="K37" i="47"/>
  <c r="L37" i="47"/>
  <c r="D38" i="47"/>
  <c r="D375" i="94" s="1"/>
  <c r="E38" i="47"/>
  <c r="F38" i="47"/>
  <c r="G38" i="47"/>
  <c r="H38" i="47"/>
  <c r="H375" i="94" s="1"/>
  <c r="I38" i="47"/>
  <c r="I375" i="94" s="1"/>
  <c r="J38" i="47"/>
  <c r="J375" i="94" s="1"/>
  <c r="K38" i="47"/>
  <c r="L38" i="47"/>
  <c r="D39" i="47"/>
  <c r="E39" i="47"/>
  <c r="F39" i="47"/>
  <c r="F389" i="94" s="1"/>
  <c r="G39" i="47"/>
  <c r="H39" i="47"/>
  <c r="H389" i="94" s="1"/>
  <c r="I39" i="47"/>
  <c r="I389" i="94" s="1"/>
  <c r="J39" i="47"/>
  <c r="K39" i="47"/>
  <c r="K389" i="94" s="1"/>
  <c r="L39" i="47"/>
  <c r="D40" i="47"/>
  <c r="D403" i="94" s="1"/>
  <c r="E40" i="47"/>
  <c r="E403" i="94" s="1"/>
  <c r="F40" i="47"/>
  <c r="G40" i="47"/>
  <c r="H40" i="47"/>
  <c r="H403" i="94" s="1"/>
  <c r="I40" i="47"/>
  <c r="I403" i="94" s="1"/>
  <c r="J40" i="47"/>
  <c r="J403" i="94" s="1"/>
  <c r="K40" i="47"/>
  <c r="L40" i="47"/>
  <c r="D41" i="47"/>
  <c r="E41" i="47"/>
  <c r="E417" i="94" s="1"/>
  <c r="F41" i="47"/>
  <c r="F417" i="94" s="1"/>
  <c r="G41" i="47"/>
  <c r="G417" i="94" s="1"/>
  <c r="H41" i="47"/>
  <c r="I41" i="47"/>
  <c r="I417" i="94" s="1"/>
  <c r="J41" i="47"/>
  <c r="K41" i="47"/>
  <c r="K417" i="94" s="1"/>
  <c r="L41" i="47"/>
  <c r="D36" i="47"/>
  <c r="E36" i="47"/>
  <c r="F36" i="47"/>
  <c r="F347" i="94" s="1"/>
  <c r="G36" i="47"/>
  <c r="H36" i="47"/>
  <c r="I36" i="47"/>
  <c r="I42" i="47" s="1"/>
  <c r="I431" i="94" s="1"/>
  <c r="J36" i="47"/>
  <c r="J347" i="94" s="1"/>
  <c r="K36" i="47"/>
  <c r="L36" i="47"/>
  <c r="L347" i="94" s="1"/>
  <c r="D24" i="47"/>
  <c r="E24" i="47"/>
  <c r="F24" i="47"/>
  <c r="G24" i="47"/>
  <c r="G192" i="94" s="1"/>
  <c r="H24" i="47"/>
  <c r="I24" i="47"/>
  <c r="I192" i="94" s="1"/>
  <c r="J24" i="47"/>
  <c r="J192" i="94" s="1"/>
  <c r="K24" i="47"/>
  <c r="L24" i="47"/>
  <c r="L192" i="94" s="1"/>
  <c r="D25" i="47"/>
  <c r="E25" i="47"/>
  <c r="E206" i="94" s="1"/>
  <c r="F25" i="47"/>
  <c r="G25" i="47"/>
  <c r="G206" i="94" s="1"/>
  <c r="H25" i="47"/>
  <c r="H206" i="94" s="1"/>
  <c r="I25" i="47"/>
  <c r="J25" i="47"/>
  <c r="K25" i="47"/>
  <c r="K206" i="94" s="1"/>
  <c r="L25" i="47"/>
  <c r="D26" i="47"/>
  <c r="E26" i="47"/>
  <c r="F26" i="47"/>
  <c r="F220" i="94" s="1"/>
  <c r="G26" i="47"/>
  <c r="G220" i="94" s="1"/>
  <c r="H26" i="47"/>
  <c r="H220" i="94" s="1"/>
  <c r="I26" i="47"/>
  <c r="I220" i="94" s="1"/>
  <c r="J26" i="47"/>
  <c r="K26" i="47"/>
  <c r="K220" i="94" s="1"/>
  <c r="L26" i="47"/>
  <c r="D27" i="47"/>
  <c r="D234" i="94" s="1"/>
  <c r="E27" i="47"/>
  <c r="F27" i="47"/>
  <c r="F234" i="94" s="1"/>
  <c r="G27" i="47"/>
  <c r="H27" i="47"/>
  <c r="H234" i="94" s="1"/>
  <c r="I27" i="47"/>
  <c r="I234" i="94" s="1"/>
  <c r="J27" i="47"/>
  <c r="J234" i="94" s="1"/>
  <c r="K27" i="47"/>
  <c r="L27" i="47"/>
  <c r="L234" i="94" s="1"/>
  <c r="D28" i="47"/>
  <c r="D248" i="94" s="1"/>
  <c r="E28" i="47"/>
  <c r="F28" i="47"/>
  <c r="G28" i="47"/>
  <c r="G248" i="94" s="1"/>
  <c r="H28" i="47"/>
  <c r="I28" i="47"/>
  <c r="I248" i="94" s="1"/>
  <c r="J28" i="47"/>
  <c r="J248" i="94" s="1"/>
  <c r="K28" i="47"/>
  <c r="K248" i="94" s="1"/>
  <c r="L28" i="47"/>
  <c r="L248" i="94" s="1"/>
  <c r="D23" i="47"/>
  <c r="E23" i="47"/>
  <c r="F23" i="47"/>
  <c r="G23" i="47"/>
  <c r="H23" i="47"/>
  <c r="H178" i="94" s="1"/>
  <c r="I23" i="47"/>
  <c r="I178" i="94" s="1"/>
  <c r="J23" i="47"/>
  <c r="K23" i="47"/>
  <c r="L23" i="47"/>
  <c r="D47" i="47"/>
  <c r="E47" i="47"/>
  <c r="F47" i="47"/>
  <c r="D23" i="46" s="1"/>
  <c r="G47" i="47"/>
  <c r="H47" i="47"/>
  <c r="I47" i="47"/>
  <c r="J47" i="47"/>
  <c r="J462" i="94" s="1"/>
  <c r="K47" i="47"/>
  <c r="K462" i="94" s="1"/>
  <c r="L47" i="47"/>
  <c r="L462" i="94" s="1"/>
  <c r="D50" i="47"/>
  <c r="D478" i="94" s="1"/>
  <c r="E50" i="47"/>
  <c r="E478" i="94" s="1"/>
  <c r="F50" i="47"/>
  <c r="G50" i="47"/>
  <c r="G478" i="94" s="1"/>
  <c r="H50" i="47"/>
  <c r="I50" i="47"/>
  <c r="I478" i="94" s="1"/>
  <c r="J50" i="47"/>
  <c r="K50" i="47"/>
  <c r="K478" i="94" s="1"/>
  <c r="L50" i="47"/>
  <c r="D53" i="47"/>
  <c r="E53" i="47"/>
  <c r="F53" i="47"/>
  <c r="G53" i="47"/>
  <c r="G494" i="94" s="1"/>
  <c r="H53" i="47"/>
  <c r="I53" i="47"/>
  <c r="I494" i="94" s="1"/>
  <c r="J53" i="47"/>
  <c r="K53" i="47"/>
  <c r="L53" i="47"/>
  <c r="D56" i="47"/>
  <c r="E56" i="47"/>
  <c r="E510" i="94" s="1"/>
  <c r="F56" i="47"/>
  <c r="F510" i="94" s="1"/>
  <c r="G56" i="47"/>
  <c r="H56" i="47"/>
  <c r="H510" i="94" s="1"/>
  <c r="I56" i="47"/>
  <c r="I510" i="94" s="1"/>
  <c r="J56" i="47"/>
  <c r="J510" i="94" s="1"/>
  <c r="K56" i="47"/>
  <c r="L56" i="47"/>
  <c r="D57" i="47"/>
  <c r="D524" i="94" s="1"/>
  <c r="E57" i="47"/>
  <c r="F57" i="47"/>
  <c r="F62" i="47" s="1"/>
  <c r="F594" i="94" s="1"/>
  <c r="G57" i="47"/>
  <c r="H57" i="47"/>
  <c r="I57" i="47"/>
  <c r="J57" i="47"/>
  <c r="K57" i="47"/>
  <c r="K524" i="94" s="1"/>
  <c r="L57" i="47"/>
  <c r="D58" i="47"/>
  <c r="E58" i="47"/>
  <c r="E538" i="94"/>
  <c r="F58" i="47"/>
  <c r="F538" i="94" s="1"/>
  <c r="G58" i="47"/>
  <c r="G538" i="94" s="1"/>
  <c r="H58" i="47"/>
  <c r="H538" i="94" s="1"/>
  <c r="I58" i="47"/>
  <c r="J58" i="47"/>
  <c r="J538" i="94" s="1"/>
  <c r="K58" i="47"/>
  <c r="K538" i="94" s="1"/>
  <c r="L58" i="47"/>
  <c r="L538" i="94" s="1"/>
  <c r="D59" i="47"/>
  <c r="E59" i="47"/>
  <c r="F59" i="47"/>
  <c r="F552" i="94" s="1"/>
  <c r="G59" i="47"/>
  <c r="H59" i="47"/>
  <c r="I59" i="47"/>
  <c r="I552" i="94" s="1"/>
  <c r="J59" i="47"/>
  <c r="K59" i="47"/>
  <c r="K552" i="94" s="1"/>
  <c r="L59" i="47"/>
  <c r="D60" i="47"/>
  <c r="E60" i="47"/>
  <c r="E566" i="94" s="1"/>
  <c r="F60" i="47"/>
  <c r="G60" i="47"/>
  <c r="G566" i="94" s="1"/>
  <c r="H60" i="47"/>
  <c r="H566" i="94" s="1"/>
  <c r="I60" i="47"/>
  <c r="J60" i="47"/>
  <c r="K60" i="47"/>
  <c r="L60" i="47"/>
  <c r="D61" i="47"/>
  <c r="E61" i="47"/>
  <c r="E580" i="94" s="1"/>
  <c r="F61" i="47"/>
  <c r="G61" i="47"/>
  <c r="G580" i="94" s="1"/>
  <c r="H61" i="47"/>
  <c r="I61" i="47"/>
  <c r="I580" i="94" s="1"/>
  <c r="J61" i="47"/>
  <c r="J580" i="94" s="1"/>
  <c r="K61" i="47"/>
  <c r="L61" i="47"/>
  <c r="L580" i="94" s="1"/>
  <c r="D61" i="94"/>
  <c r="E386" i="94"/>
  <c r="H386" i="94"/>
  <c r="H507" i="94"/>
  <c r="D10" i="84"/>
  <c r="D20" i="94" s="1"/>
  <c r="E10" i="84"/>
  <c r="E20" i="94" s="1"/>
  <c r="F10" i="84"/>
  <c r="G10" i="84"/>
  <c r="H10" i="84"/>
  <c r="H20" i="94" s="1"/>
  <c r="I10" i="84"/>
  <c r="J10" i="84"/>
  <c r="K10" i="84"/>
  <c r="L10" i="84"/>
  <c r="D11" i="84"/>
  <c r="D34" i="94" s="1"/>
  <c r="E11" i="84"/>
  <c r="F11" i="84"/>
  <c r="F34" i="94" s="1"/>
  <c r="G11" i="84"/>
  <c r="G15" i="84" s="1"/>
  <c r="G90" i="94" s="1"/>
  <c r="H11" i="84"/>
  <c r="I11" i="84"/>
  <c r="J11" i="84"/>
  <c r="K11" i="84"/>
  <c r="L11" i="84"/>
  <c r="D13" i="84"/>
  <c r="E13" i="84"/>
  <c r="F13" i="84"/>
  <c r="G13" i="84"/>
  <c r="H13" i="84"/>
  <c r="I13" i="84"/>
  <c r="I62" i="94" s="1"/>
  <c r="J13" i="84"/>
  <c r="J15" i="84" s="1"/>
  <c r="K13" i="84"/>
  <c r="K62" i="94" s="1"/>
  <c r="L13" i="84"/>
  <c r="L62" i="94" s="1"/>
  <c r="D14" i="84"/>
  <c r="D76" i="94" s="1"/>
  <c r="E14" i="84"/>
  <c r="F14" i="84"/>
  <c r="D14" i="83" s="1"/>
  <c r="G14" i="84"/>
  <c r="H14" i="84"/>
  <c r="H76" i="94" s="1"/>
  <c r="I14" i="84"/>
  <c r="I76" i="94" s="1"/>
  <c r="J14" i="84"/>
  <c r="J76" i="94" s="1"/>
  <c r="K14" i="84"/>
  <c r="K76" i="94" s="1"/>
  <c r="L14" i="84"/>
  <c r="D37" i="84"/>
  <c r="D359" i="94" s="1"/>
  <c r="E37" i="84"/>
  <c r="E359" i="94" s="1"/>
  <c r="F37" i="84"/>
  <c r="G37" i="84"/>
  <c r="H37" i="84"/>
  <c r="I37" i="84"/>
  <c r="J37" i="84"/>
  <c r="K37" i="84"/>
  <c r="L37" i="84"/>
  <c r="L359" i="94" s="1"/>
  <c r="D38" i="84"/>
  <c r="E38" i="84"/>
  <c r="E373" i="94" s="1"/>
  <c r="F38" i="84"/>
  <c r="F373" i="94" s="1"/>
  <c r="G38" i="84"/>
  <c r="H38" i="84"/>
  <c r="H373" i="94" s="1"/>
  <c r="I38" i="84"/>
  <c r="J38" i="84"/>
  <c r="K38" i="84"/>
  <c r="L38" i="84"/>
  <c r="L373" i="94" s="1"/>
  <c r="D39" i="84"/>
  <c r="D387" i="94" s="1"/>
  <c r="E39" i="84"/>
  <c r="F39" i="84"/>
  <c r="G39" i="84"/>
  <c r="H39" i="84"/>
  <c r="H387" i="94" s="1"/>
  <c r="I39" i="84"/>
  <c r="I387" i="94" s="1"/>
  <c r="J39" i="84"/>
  <c r="J387" i="94" s="1"/>
  <c r="K39" i="84"/>
  <c r="L39" i="84"/>
  <c r="L387" i="94" s="1"/>
  <c r="D40" i="84"/>
  <c r="E40" i="84"/>
  <c r="F40" i="84"/>
  <c r="G40" i="84"/>
  <c r="G401" i="94" s="1"/>
  <c r="H40" i="84"/>
  <c r="I40" i="84"/>
  <c r="I401" i="94" s="1"/>
  <c r="J40" i="84"/>
  <c r="K40" i="84"/>
  <c r="L40" i="84"/>
  <c r="D41" i="84"/>
  <c r="D415" i="94" s="1"/>
  <c r="E41" i="84"/>
  <c r="E415" i="94" s="1"/>
  <c r="F41" i="84"/>
  <c r="G41" i="84"/>
  <c r="G415" i="94" s="1"/>
  <c r="H41" i="84"/>
  <c r="I41" i="84"/>
  <c r="I415" i="94" s="1"/>
  <c r="J41" i="84"/>
  <c r="K41" i="84"/>
  <c r="L41" i="84"/>
  <c r="D36" i="84"/>
  <c r="E36" i="84"/>
  <c r="F36" i="84"/>
  <c r="F345" i="94" s="1"/>
  <c r="G36" i="84"/>
  <c r="G345" i="94" s="1"/>
  <c r="H36" i="84"/>
  <c r="I36" i="84"/>
  <c r="J36" i="84"/>
  <c r="K36" i="84"/>
  <c r="K345" i="94" s="1"/>
  <c r="L36" i="84"/>
  <c r="L345" i="94" s="1"/>
  <c r="D24" i="84"/>
  <c r="E24" i="84"/>
  <c r="F24" i="84"/>
  <c r="G24" i="84"/>
  <c r="H24" i="84"/>
  <c r="I24" i="84"/>
  <c r="J24" i="84"/>
  <c r="J190" i="94" s="1"/>
  <c r="K24" i="84"/>
  <c r="L24" i="84"/>
  <c r="D25" i="84"/>
  <c r="D204" i="94" s="1"/>
  <c r="E25" i="84"/>
  <c r="E204" i="94" s="1"/>
  <c r="F25" i="84"/>
  <c r="G25" i="84"/>
  <c r="G204" i="94" s="1"/>
  <c r="H25" i="84"/>
  <c r="H204" i="94" s="1"/>
  <c r="I25" i="84"/>
  <c r="J25" i="84"/>
  <c r="J204" i="94" s="1"/>
  <c r="K25" i="84"/>
  <c r="L25" i="84"/>
  <c r="D26" i="84"/>
  <c r="D218" i="94" s="1"/>
  <c r="E26" i="84"/>
  <c r="F26" i="84"/>
  <c r="F218" i="94" s="1"/>
  <c r="G26" i="84"/>
  <c r="H26" i="84"/>
  <c r="H218" i="94" s="1"/>
  <c r="I26" i="84"/>
  <c r="I218" i="94" s="1"/>
  <c r="J26" i="84"/>
  <c r="K26" i="84"/>
  <c r="L26" i="84"/>
  <c r="D27" i="84"/>
  <c r="E27" i="84"/>
  <c r="E232" i="94" s="1"/>
  <c r="F27" i="84"/>
  <c r="F232" i="94" s="1"/>
  <c r="G27" i="84"/>
  <c r="G232" i="94" s="1"/>
  <c r="H27" i="84"/>
  <c r="H232" i="94" s="1"/>
  <c r="I27" i="84"/>
  <c r="J27" i="84"/>
  <c r="K27" i="84"/>
  <c r="K232" i="94" s="1"/>
  <c r="L27" i="84"/>
  <c r="D28" i="84"/>
  <c r="E28" i="84"/>
  <c r="F28" i="84"/>
  <c r="G28" i="84"/>
  <c r="H28" i="84"/>
  <c r="H246" i="94" s="1"/>
  <c r="I28" i="84"/>
  <c r="J28" i="84"/>
  <c r="J246" i="94" s="1"/>
  <c r="K28" i="84"/>
  <c r="K246" i="94" s="1"/>
  <c r="L28" i="84"/>
  <c r="L246" i="94" s="1"/>
  <c r="D23" i="84"/>
  <c r="E23" i="84"/>
  <c r="F23" i="84"/>
  <c r="F176" i="94" s="1"/>
  <c r="G23" i="84"/>
  <c r="H23" i="84"/>
  <c r="I23" i="84"/>
  <c r="J23" i="84"/>
  <c r="K23" i="84"/>
  <c r="L23" i="84"/>
  <c r="D47" i="84"/>
  <c r="M47" i="84" s="1"/>
  <c r="E47" i="84"/>
  <c r="E460" i="94" s="1"/>
  <c r="F47" i="84"/>
  <c r="G47" i="84"/>
  <c r="G460" i="94" s="1"/>
  <c r="H47" i="84"/>
  <c r="H460" i="94" s="1"/>
  <c r="I47" i="84"/>
  <c r="J47" i="84"/>
  <c r="J460" i="94" s="1"/>
  <c r="K47" i="84"/>
  <c r="K460" i="94" s="1"/>
  <c r="L47" i="84"/>
  <c r="D50" i="84"/>
  <c r="D476" i="94" s="1"/>
  <c r="E50" i="84"/>
  <c r="F50" i="84"/>
  <c r="F476" i="94" s="1"/>
  <c r="G50" i="84"/>
  <c r="G476" i="94" s="1"/>
  <c r="H50" i="84"/>
  <c r="H476" i="94" s="1"/>
  <c r="I50" i="84"/>
  <c r="J50" i="84"/>
  <c r="J476" i="94" s="1"/>
  <c r="K50" i="84"/>
  <c r="L50" i="84"/>
  <c r="L476" i="94" s="1"/>
  <c r="D53" i="84"/>
  <c r="E53" i="84"/>
  <c r="E492" i="94" s="1"/>
  <c r="F53" i="84"/>
  <c r="G53" i="84"/>
  <c r="G492" i="94" s="1"/>
  <c r="H53" i="84"/>
  <c r="I53" i="84"/>
  <c r="J53" i="84"/>
  <c r="J492" i="94" s="1"/>
  <c r="K53" i="84"/>
  <c r="K492" i="94" s="1"/>
  <c r="L53" i="84"/>
  <c r="D56" i="84"/>
  <c r="E56" i="84"/>
  <c r="F56" i="84"/>
  <c r="G56" i="84"/>
  <c r="G508" i="94"/>
  <c r="H56" i="84"/>
  <c r="I56" i="84"/>
  <c r="J56" i="84"/>
  <c r="J508" i="94" s="1"/>
  <c r="K56" i="84"/>
  <c r="L56" i="84"/>
  <c r="L508" i="94" s="1"/>
  <c r="D57" i="84"/>
  <c r="E57" i="84"/>
  <c r="F57" i="84"/>
  <c r="G57" i="84"/>
  <c r="H57" i="84"/>
  <c r="I57" i="84"/>
  <c r="I522" i="94" s="1"/>
  <c r="J57" i="84"/>
  <c r="K57" i="84"/>
  <c r="L57" i="84"/>
  <c r="L522" i="94" s="1"/>
  <c r="D58" i="84"/>
  <c r="E58" i="84"/>
  <c r="E536" i="94" s="1"/>
  <c r="F58" i="84"/>
  <c r="F536" i="94" s="1"/>
  <c r="G58" i="84"/>
  <c r="G536" i="94" s="1"/>
  <c r="H58" i="84"/>
  <c r="H536" i="94" s="1"/>
  <c r="I58" i="84"/>
  <c r="J58" i="84"/>
  <c r="K58" i="84"/>
  <c r="L58" i="84"/>
  <c r="D59" i="84"/>
  <c r="D550" i="94" s="1"/>
  <c r="E59" i="84"/>
  <c r="F59" i="84"/>
  <c r="F550" i="94" s="1"/>
  <c r="G59" i="84"/>
  <c r="G550" i="94" s="1"/>
  <c r="H59" i="84"/>
  <c r="I59" i="84"/>
  <c r="J59" i="84"/>
  <c r="J550" i="94" s="1"/>
  <c r="K59" i="84"/>
  <c r="L59" i="84"/>
  <c r="L550" i="94" s="1"/>
  <c r="D60" i="84"/>
  <c r="D564" i="94" s="1"/>
  <c r="E60" i="84"/>
  <c r="E564" i="94" s="1"/>
  <c r="F60" i="84"/>
  <c r="G60" i="84"/>
  <c r="H60" i="84"/>
  <c r="H564" i="94" s="1"/>
  <c r="I60" i="84"/>
  <c r="I564" i="94" s="1"/>
  <c r="J60" i="84"/>
  <c r="K60" i="84"/>
  <c r="L60" i="84"/>
  <c r="L564" i="94" s="1"/>
  <c r="D61" i="84"/>
  <c r="E61" i="84"/>
  <c r="E578" i="94" s="1"/>
  <c r="F61" i="84"/>
  <c r="F578" i="94" s="1"/>
  <c r="G61" i="84"/>
  <c r="H61" i="84"/>
  <c r="I61" i="84"/>
  <c r="J61" i="84"/>
  <c r="K61" i="84"/>
  <c r="L61" i="84"/>
  <c r="D10" i="87"/>
  <c r="E10" i="87"/>
  <c r="F10" i="87"/>
  <c r="G10" i="87"/>
  <c r="H10" i="87"/>
  <c r="I10" i="87"/>
  <c r="J10" i="87"/>
  <c r="K10" i="87"/>
  <c r="L10" i="87"/>
  <c r="D11" i="87"/>
  <c r="E11" i="87"/>
  <c r="F11" i="87"/>
  <c r="G11" i="87"/>
  <c r="H11" i="87"/>
  <c r="I11" i="87"/>
  <c r="J11" i="87"/>
  <c r="K11" i="87"/>
  <c r="L11" i="87"/>
  <c r="D13" i="87"/>
  <c r="E13" i="87"/>
  <c r="F13" i="87"/>
  <c r="G13" i="87"/>
  <c r="H13" i="87"/>
  <c r="I13" i="87"/>
  <c r="J13" i="87"/>
  <c r="K13" i="87"/>
  <c r="L13" i="87"/>
  <c r="D14" i="87"/>
  <c r="E14" i="87"/>
  <c r="F14" i="87"/>
  <c r="G14" i="87"/>
  <c r="H14" i="87"/>
  <c r="I14" i="87"/>
  <c r="J14" i="87"/>
  <c r="K14" i="87"/>
  <c r="L14" i="87"/>
  <c r="D37" i="87"/>
  <c r="E37" i="87"/>
  <c r="F37" i="87"/>
  <c r="G37" i="87"/>
  <c r="H37" i="87"/>
  <c r="I37" i="87"/>
  <c r="J37" i="87"/>
  <c r="K37" i="87"/>
  <c r="L37" i="87"/>
  <c r="D38" i="87"/>
  <c r="E38" i="87"/>
  <c r="F38" i="87"/>
  <c r="G38" i="87"/>
  <c r="H38" i="87"/>
  <c r="I38" i="87"/>
  <c r="J38" i="87"/>
  <c r="K38" i="87"/>
  <c r="L38" i="87"/>
  <c r="D39" i="87"/>
  <c r="E39" i="87"/>
  <c r="F39" i="87"/>
  <c r="G39" i="87"/>
  <c r="H39" i="87"/>
  <c r="I39" i="87"/>
  <c r="J39" i="87"/>
  <c r="K39" i="87"/>
  <c r="L39" i="87"/>
  <c r="D40" i="87"/>
  <c r="E40" i="87"/>
  <c r="F40" i="87"/>
  <c r="G40" i="87"/>
  <c r="H40" i="87"/>
  <c r="I40" i="87"/>
  <c r="J40" i="87"/>
  <c r="K40" i="87"/>
  <c r="L40" i="87"/>
  <c r="D41" i="87"/>
  <c r="E41" i="87"/>
  <c r="F41" i="87"/>
  <c r="G41" i="87"/>
  <c r="H41" i="87"/>
  <c r="I41" i="87"/>
  <c r="J41" i="87"/>
  <c r="K41" i="87"/>
  <c r="L41" i="87"/>
  <c r="D36" i="87"/>
  <c r="E36" i="87"/>
  <c r="F36" i="87"/>
  <c r="G36" i="87"/>
  <c r="H36" i="87"/>
  <c r="I36" i="87"/>
  <c r="J36" i="87"/>
  <c r="K36" i="87"/>
  <c r="L36" i="87"/>
  <c r="D24" i="87"/>
  <c r="E24" i="87"/>
  <c r="F24" i="87"/>
  <c r="G24" i="87"/>
  <c r="H24" i="87"/>
  <c r="I24" i="87"/>
  <c r="J24" i="87"/>
  <c r="K24" i="87"/>
  <c r="L24" i="87"/>
  <c r="D25" i="87"/>
  <c r="E25" i="87"/>
  <c r="F25" i="87"/>
  <c r="G25" i="87"/>
  <c r="H25" i="87"/>
  <c r="I25" i="87"/>
  <c r="J25" i="87"/>
  <c r="K25" i="87"/>
  <c r="L25" i="87"/>
  <c r="D26" i="87"/>
  <c r="E26" i="87"/>
  <c r="F26" i="87"/>
  <c r="G26" i="87"/>
  <c r="H26" i="87"/>
  <c r="I26" i="87"/>
  <c r="J26" i="87"/>
  <c r="K26" i="87"/>
  <c r="L26" i="87"/>
  <c r="D27" i="87"/>
  <c r="E27" i="87"/>
  <c r="F27" i="87"/>
  <c r="G27" i="87"/>
  <c r="H27" i="87"/>
  <c r="I27" i="87"/>
  <c r="J27" i="87"/>
  <c r="K27" i="87"/>
  <c r="L27" i="87"/>
  <c r="D28" i="87"/>
  <c r="E28" i="87"/>
  <c r="F28" i="87"/>
  <c r="G28" i="87"/>
  <c r="H28" i="87"/>
  <c r="I28" i="87"/>
  <c r="J28" i="87"/>
  <c r="K28" i="87"/>
  <c r="L28" i="87"/>
  <c r="D23" i="87"/>
  <c r="E23" i="87"/>
  <c r="F23" i="87"/>
  <c r="G23" i="87"/>
  <c r="H23" i="87"/>
  <c r="I23" i="87"/>
  <c r="J23" i="87"/>
  <c r="K23" i="87"/>
  <c r="L23" i="87"/>
  <c r="D47" i="87"/>
  <c r="E47" i="87"/>
  <c r="F47" i="87"/>
  <c r="G47" i="87"/>
  <c r="H47" i="87"/>
  <c r="I47" i="87"/>
  <c r="J47" i="87"/>
  <c r="K47" i="87"/>
  <c r="L47" i="87"/>
  <c r="D50" i="87"/>
  <c r="E50" i="87"/>
  <c r="F50" i="87"/>
  <c r="G50" i="87"/>
  <c r="H50" i="87"/>
  <c r="I50" i="87"/>
  <c r="J50" i="87"/>
  <c r="K50" i="87"/>
  <c r="L50" i="87"/>
  <c r="D53" i="87"/>
  <c r="E53" i="87"/>
  <c r="F53" i="87"/>
  <c r="G53" i="87"/>
  <c r="H53" i="87"/>
  <c r="I53" i="87"/>
  <c r="J53" i="87"/>
  <c r="K53" i="87"/>
  <c r="L53" i="87"/>
  <c r="D56" i="87"/>
  <c r="E56" i="87"/>
  <c r="F56" i="87"/>
  <c r="G56" i="87"/>
  <c r="H56" i="87"/>
  <c r="I56" i="87"/>
  <c r="J56" i="87"/>
  <c r="K56" i="87"/>
  <c r="L56" i="87"/>
  <c r="D57" i="87"/>
  <c r="E57" i="87"/>
  <c r="F57" i="87"/>
  <c r="G57" i="87"/>
  <c r="H57" i="87"/>
  <c r="I57" i="87"/>
  <c r="J57" i="87"/>
  <c r="K57" i="87"/>
  <c r="L57" i="87"/>
  <c r="D58" i="87"/>
  <c r="E58" i="87"/>
  <c r="F58" i="87"/>
  <c r="G58" i="87"/>
  <c r="H58" i="87"/>
  <c r="I58" i="87"/>
  <c r="J58" i="87"/>
  <c r="K58" i="87"/>
  <c r="L58" i="87"/>
  <c r="D59" i="87"/>
  <c r="E59" i="87"/>
  <c r="F59" i="87"/>
  <c r="G59" i="87"/>
  <c r="H59" i="87"/>
  <c r="I59" i="87"/>
  <c r="J59" i="87"/>
  <c r="K59" i="87"/>
  <c r="L59" i="87"/>
  <c r="D60" i="87"/>
  <c r="E60" i="87"/>
  <c r="F60" i="87"/>
  <c r="G60" i="87"/>
  <c r="H60" i="87"/>
  <c r="I60" i="87"/>
  <c r="J60" i="87"/>
  <c r="K60" i="87"/>
  <c r="L60" i="87"/>
  <c r="D61" i="87"/>
  <c r="E61" i="87"/>
  <c r="F61" i="87"/>
  <c r="G61" i="87"/>
  <c r="H61" i="87"/>
  <c r="I61" i="87"/>
  <c r="J61" i="87"/>
  <c r="K61" i="87"/>
  <c r="L61" i="87"/>
  <c r="D10" i="92"/>
  <c r="E10" i="92"/>
  <c r="F10" i="92"/>
  <c r="G10" i="92"/>
  <c r="H10" i="92"/>
  <c r="I10" i="92"/>
  <c r="I15" i="94" s="1"/>
  <c r="J10" i="92"/>
  <c r="K10" i="92"/>
  <c r="K15" i="94" s="1"/>
  <c r="L10" i="92"/>
  <c r="D11" i="92"/>
  <c r="E11" i="92"/>
  <c r="E29" i="94" s="1"/>
  <c r="F11" i="92"/>
  <c r="G11" i="92"/>
  <c r="G29" i="94" s="1"/>
  <c r="G13" i="92"/>
  <c r="G14" i="92"/>
  <c r="H11" i="92"/>
  <c r="I11" i="92"/>
  <c r="J11" i="92"/>
  <c r="K11" i="92"/>
  <c r="K29" i="94" s="1"/>
  <c r="L11" i="92"/>
  <c r="D13" i="92"/>
  <c r="E13" i="92"/>
  <c r="F13" i="92"/>
  <c r="F57" i="94" s="1"/>
  <c r="H13" i="92"/>
  <c r="H57" i="94" s="1"/>
  <c r="I13" i="92"/>
  <c r="I57" i="94" s="1"/>
  <c r="J13" i="92"/>
  <c r="K13" i="92"/>
  <c r="L13" i="92"/>
  <c r="L57" i="94"/>
  <c r="D14" i="92"/>
  <c r="D71" i="94" s="1"/>
  <c r="E14" i="92"/>
  <c r="E71" i="94" s="1"/>
  <c r="F14" i="92"/>
  <c r="H14" i="92"/>
  <c r="H71" i="94"/>
  <c r="I14" i="92"/>
  <c r="J14" i="92"/>
  <c r="K14" i="92"/>
  <c r="K71" i="94" s="1"/>
  <c r="L14" i="92"/>
  <c r="L71" i="94" s="1"/>
  <c r="D37" i="92"/>
  <c r="D354" i="94" s="1"/>
  <c r="E37" i="92"/>
  <c r="F37" i="92"/>
  <c r="F354" i="94" s="1"/>
  <c r="G37" i="92"/>
  <c r="G354" i="94" s="1"/>
  <c r="H37" i="92"/>
  <c r="I37" i="92"/>
  <c r="J37" i="92"/>
  <c r="J354" i="94" s="1"/>
  <c r="K37" i="92"/>
  <c r="L37" i="92"/>
  <c r="D38" i="92"/>
  <c r="D368" i="94" s="1"/>
  <c r="E38" i="92"/>
  <c r="F38" i="92"/>
  <c r="F368" i="94" s="1"/>
  <c r="G38" i="92"/>
  <c r="H38" i="92"/>
  <c r="I38" i="92"/>
  <c r="I368" i="94" s="1"/>
  <c r="J38" i="92"/>
  <c r="J368" i="94" s="1"/>
  <c r="K38" i="92"/>
  <c r="L38" i="92"/>
  <c r="L368" i="94" s="1"/>
  <c r="D39" i="92"/>
  <c r="D382" i="94" s="1"/>
  <c r="E39" i="92"/>
  <c r="F39" i="92"/>
  <c r="G39" i="92"/>
  <c r="H39" i="92"/>
  <c r="I39" i="92"/>
  <c r="I382" i="94" s="1"/>
  <c r="J39" i="92"/>
  <c r="J382" i="94" s="1"/>
  <c r="K39" i="92"/>
  <c r="K382" i="94" s="1"/>
  <c r="L39" i="92"/>
  <c r="L382" i="94" s="1"/>
  <c r="D40" i="92"/>
  <c r="D396" i="94" s="1"/>
  <c r="E40" i="92"/>
  <c r="E396" i="94" s="1"/>
  <c r="F40" i="92"/>
  <c r="F396" i="94" s="1"/>
  <c r="G40" i="92"/>
  <c r="G396" i="94" s="1"/>
  <c r="H40" i="92"/>
  <c r="I40" i="92"/>
  <c r="I396" i="94" s="1"/>
  <c r="J40" i="92"/>
  <c r="J396" i="94" s="1"/>
  <c r="K40" i="92"/>
  <c r="K396" i="94" s="1"/>
  <c r="L40" i="92"/>
  <c r="L396" i="94" s="1"/>
  <c r="D41" i="92"/>
  <c r="D410" i="94" s="1"/>
  <c r="E41" i="92"/>
  <c r="E410" i="94" s="1"/>
  <c r="F41" i="92"/>
  <c r="F410" i="94" s="1"/>
  <c r="G41" i="92"/>
  <c r="M41" i="92" s="1"/>
  <c r="H41" i="92"/>
  <c r="H410" i="94" s="1"/>
  <c r="I41" i="92"/>
  <c r="I410" i="94" s="1"/>
  <c r="J41" i="92"/>
  <c r="K41" i="92"/>
  <c r="K410" i="94" s="1"/>
  <c r="L41" i="92"/>
  <c r="D36" i="92"/>
  <c r="E36" i="92"/>
  <c r="F36" i="92"/>
  <c r="G36" i="92"/>
  <c r="H36" i="92"/>
  <c r="I36" i="92"/>
  <c r="J36" i="92"/>
  <c r="J340" i="94" s="1"/>
  <c r="K36" i="92"/>
  <c r="K340" i="94" s="1"/>
  <c r="L36" i="92"/>
  <c r="D24" i="92"/>
  <c r="E24" i="92"/>
  <c r="F24" i="92"/>
  <c r="F185" i="94"/>
  <c r="G24" i="92"/>
  <c r="G185" i="94" s="1"/>
  <c r="H24" i="92"/>
  <c r="H185" i="94" s="1"/>
  <c r="I24" i="92"/>
  <c r="J24" i="92"/>
  <c r="K24" i="92"/>
  <c r="L24" i="92"/>
  <c r="L185" i="94" s="1"/>
  <c r="D25" i="92"/>
  <c r="E25" i="92"/>
  <c r="E199" i="94" s="1"/>
  <c r="F25" i="92"/>
  <c r="G25" i="92"/>
  <c r="H25" i="92"/>
  <c r="I25" i="92"/>
  <c r="I199" i="94" s="1"/>
  <c r="J25" i="92"/>
  <c r="J199" i="94" s="1"/>
  <c r="K25" i="92"/>
  <c r="K199" i="94" s="1"/>
  <c r="L25" i="92"/>
  <c r="L199" i="94" s="1"/>
  <c r="D26" i="92"/>
  <c r="D213" i="94" s="1"/>
  <c r="E26" i="92"/>
  <c r="F26" i="92"/>
  <c r="F213" i="94" s="1"/>
  <c r="G26" i="92"/>
  <c r="G213" i="94" s="1"/>
  <c r="H26" i="92"/>
  <c r="H213" i="94" s="1"/>
  <c r="I26" i="92"/>
  <c r="J26" i="92"/>
  <c r="J213" i="94" s="1"/>
  <c r="K26" i="92"/>
  <c r="L26" i="92"/>
  <c r="D27" i="92"/>
  <c r="E27" i="92"/>
  <c r="F27" i="92"/>
  <c r="F227" i="94" s="1"/>
  <c r="G27" i="92"/>
  <c r="H27" i="92"/>
  <c r="I27" i="92"/>
  <c r="I227" i="94" s="1"/>
  <c r="J27" i="92"/>
  <c r="J227" i="94" s="1"/>
  <c r="K27" i="92"/>
  <c r="K227" i="94" s="1"/>
  <c r="L27" i="92"/>
  <c r="D28" i="92"/>
  <c r="D241" i="94" s="1"/>
  <c r="E28" i="92"/>
  <c r="F28" i="92"/>
  <c r="G28" i="92"/>
  <c r="G241" i="94" s="1"/>
  <c r="H28" i="92"/>
  <c r="H241" i="94" s="1"/>
  <c r="I28" i="92"/>
  <c r="J28" i="92"/>
  <c r="K28" i="92"/>
  <c r="L28" i="92"/>
  <c r="L241" i="94" s="1"/>
  <c r="D23" i="92"/>
  <c r="D171" i="94" s="1"/>
  <c r="E23" i="92"/>
  <c r="F23" i="92"/>
  <c r="G23" i="92"/>
  <c r="H23" i="92"/>
  <c r="H29" i="92" s="1"/>
  <c r="H255" i="94" s="1"/>
  <c r="I23" i="92"/>
  <c r="J23" i="92"/>
  <c r="K23" i="92"/>
  <c r="L23" i="92"/>
  <c r="L171" i="94" s="1"/>
  <c r="D47" i="92"/>
  <c r="D455" i="94"/>
  <c r="E47" i="92"/>
  <c r="E455" i="94" s="1"/>
  <c r="F47" i="92"/>
  <c r="G47" i="92"/>
  <c r="G455" i="94" s="1"/>
  <c r="H47" i="92"/>
  <c r="H455" i="94" s="1"/>
  <c r="I47" i="92"/>
  <c r="I455" i="94" s="1"/>
  <c r="J47" i="92"/>
  <c r="J455" i="94" s="1"/>
  <c r="K47" i="92"/>
  <c r="K455" i="94" s="1"/>
  <c r="L47" i="92"/>
  <c r="L455" i="94" s="1"/>
  <c r="D50" i="92"/>
  <c r="D471" i="94" s="1"/>
  <c r="E50" i="92"/>
  <c r="F50" i="92"/>
  <c r="G50" i="92"/>
  <c r="G471" i="94" s="1"/>
  <c r="H50" i="92"/>
  <c r="H471" i="94" s="1"/>
  <c r="I50" i="92"/>
  <c r="I471" i="94" s="1"/>
  <c r="J50" i="92"/>
  <c r="K50" i="92"/>
  <c r="L50" i="92"/>
  <c r="L471" i="94" s="1"/>
  <c r="D53" i="92"/>
  <c r="D487" i="94" s="1"/>
  <c r="E53" i="92"/>
  <c r="E487" i="94" s="1"/>
  <c r="F53" i="92"/>
  <c r="F487" i="94" s="1"/>
  <c r="G53" i="92"/>
  <c r="H53" i="92"/>
  <c r="H487" i="94" s="1"/>
  <c r="I53" i="92"/>
  <c r="I487" i="94" s="1"/>
  <c r="J53" i="92"/>
  <c r="J487" i="94" s="1"/>
  <c r="K53" i="92"/>
  <c r="K487" i="94" s="1"/>
  <c r="L53" i="92"/>
  <c r="L487" i="94" s="1"/>
  <c r="D56" i="92"/>
  <c r="E56" i="92"/>
  <c r="E503" i="94" s="1"/>
  <c r="F56" i="92"/>
  <c r="F503" i="94" s="1"/>
  <c r="G56" i="92"/>
  <c r="H56" i="92"/>
  <c r="I56" i="92"/>
  <c r="J56" i="92"/>
  <c r="K56" i="92"/>
  <c r="L56" i="92"/>
  <c r="D57" i="92"/>
  <c r="D517" i="94" s="1"/>
  <c r="E57" i="92"/>
  <c r="E517" i="94" s="1"/>
  <c r="F57" i="92"/>
  <c r="G57" i="92"/>
  <c r="G517" i="94" s="1"/>
  <c r="H57" i="92"/>
  <c r="I57" i="92"/>
  <c r="J57" i="92"/>
  <c r="J517" i="94" s="1"/>
  <c r="K57" i="92"/>
  <c r="K517" i="94" s="1"/>
  <c r="L57" i="92"/>
  <c r="D58" i="92"/>
  <c r="D531" i="94" s="1"/>
  <c r="E58" i="92"/>
  <c r="E531" i="94" s="1"/>
  <c r="F58" i="92"/>
  <c r="G58" i="92"/>
  <c r="H58" i="92"/>
  <c r="H531" i="94" s="1"/>
  <c r="I58" i="92"/>
  <c r="I531" i="94" s="1"/>
  <c r="J58" i="92"/>
  <c r="K58" i="92"/>
  <c r="L58" i="92"/>
  <c r="D59" i="92"/>
  <c r="D545" i="94" s="1"/>
  <c r="E59" i="92"/>
  <c r="E545" i="94" s="1"/>
  <c r="F59" i="92"/>
  <c r="G59" i="92"/>
  <c r="G545" i="94" s="1"/>
  <c r="H59" i="92"/>
  <c r="I59" i="92"/>
  <c r="J59" i="92"/>
  <c r="J545" i="94" s="1"/>
  <c r="K59" i="92"/>
  <c r="K545" i="94" s="1"/>
  <c r="L59" i="92"/>
  <c r="D60" i="92"/>
  <c r="E60" i="92"/>
  <c r="F60" i="92"/>
  <c r="G60" i="92"/>
  <c r="G559" i="94" s="1"/>
  <c r="H60" i="92"/>
  <c r="I60" i="92"/>
  <c r="I559" i="94" s="1"/>
  <c r="J60" i="92"/>
  <c r="K60" i="92"/>
  <c r="L60" i="92"/>
  <c r="L559" i="94" s="1"/>
  <c r="D61" i="92"/>
  <c r="E61" i="92"/>
  <c r="F61" i="92"/>
  <c r="G61" i="92"/>
  <c r="H61" i="92"/>
  <c r="H573" i="94" s="1"/>
  <c r="I61" i="92"/>
  <c r="I573" i="94" s="1"/>
  <c r="J61" i="92"/>
  <c r="J573" i="94" s="1"/>
  <c r="K61" i="92"/>
  <c r="L61" i="92"/>
  <c r="L573" i="94" s="1"/>
  <c r="D32" i="16"/>
  <c r="F501" i="94"/>
  <c r="F529" i="94"/>
  <c r="B3" i="103"/>
  <c r="B2" i="103"/>
  <c r="D4" i="103" s="1"/>
  <c r="V46" i="102"/>
  <c r="V50" i="102" s="1"/>
  <c r="U46" i="102"/>
  <c r="U50" i="102" s="1"/>
  <c r="T46" i="102"/>
  <c r="T50" i="102" s="1"/>
  <c r="S46" i="102"/>
  <c r="S50" i="102" s="1"/>
  <c r="R46" i="102"/>
  <c r="R50" i="102" s="1"/>
  <c r="Q46" i="102"/>
  <c r="Q50" i="102" s="1"/>
  <c r="P46" i="102"/>
  <c r="P50" i="102" s="1"/>
  <c r="O46" i="102"/>
  <c r="O50" i="102" s="1"/>
  <c r="G51" i="101"/>
  <c r="G55" i="101" s="1"/>
  <c r="E24" i="101"/>
  <c r="C24" i="101"/>
  <c r="E21" i="101"/>
  <c r="E20" i="101"/>
  <c r="E19" i="101"/>
  <c r="E18" i="101"/>
  <c r="E17" i="101"/>
  <c r="E16" i="101"/>
  <c r="E15" i="101"/>
  <c r="E14" i="101"/>
  <c r="E13" i="101"/>
  <c r="E12" i="101"/>
  <c r="E11" i="101"/>
  <c r="E10" i="101"/>
  <c r="M46" i="102"/>
  <c r="M50" i="102" s="1"/>
  <c r="G46" i="102"/>
  <c r="G50" i="102" s="1"/>
  <c r="E23" i="102"/>
  <c r="C23" i="102"/>
  <c r="E21" i="102"/>
  <c r="E20" i="102"/>
  <c r="E19" i="102"/>
  <c r="E18" i="102"/>
  <c r="E17" i="102"/>
  <c r="E16" i="102"/>
  <c r="E15" i="102"/>
  <c r="E14" i="102"/>
  <c r="E13" i="102"/>
  <c r="E12" i="102"/>
  <c r="E11" i="102"/>
  <c r="E10" i="102"/>
  <c r="W50" i="102"/>
  <c r="S87" i="87"/>
  <c r="L121" i="87" s="1"/>
  <c r="S84" i="87"/>
  <c r="C22" i="100"/>
  <c r="C21" i="100"/>
  <c r="C20" i="100"/>
  <c r="C19" i="100"/>
  <c r="C18" i="100"/>
  <c r="C17" i="100"/>
  <c r="C16" i="100"/>
  <c r="C15" i="100"/>
  <c r="C14" i="100"/>
  <c r="C13" i="100"/>
  <c r="C12" i="100"/>
  <c r="C11" i="100"/>
  <c r="C25" i="99"/>
  <c r="E11" i="99"/>
  <c r="E22" i="99"/>
  <c r="E21" i="99"/>
  <c r="E20" i="99"/>
  <c r="E18" i="99"/>
  <c r="E17" i="99"/>
  <c r="E16" i="99"/>
  <c r="E15" i="99"/>
  <c r="E19" i="99"/>
  <c r="E14" i="99"/>
  <c r="E13" i="99"/>
  <c r="E12" i="99"/>
  <c r="E25" i="99"/>
  <c r="E25" i="98"/>
  <c r="C25" i="98"/>
  <c r="E21" i="98"/>
  <c r="E22" i="98"/>
  <c r="E20" i="98"/>
  <c r="E12" i="98"/>
  <c r="E15" i="98"/>
  <c r="E13" i="98"/>
  <c r="E19" i="98"/>
  <c r="E16" i="98"/>
  <c r="E18" i="98"/>
  <c r="E17" i="98"/>
  <c r="E14" i="98"/>
  <c r="E11" i="98"/>
  <c r="B1" i="93"/>
  <c r="B2" i="92"/>
  <c r="L122" i="92" s="1"/>
  <c r="E20" i="97"/>
  <c r="E21" i="97"/>
  <c r="E22" i="97"/>
  <c r="E25" i="97"/>
  <c r="E19" i="97"/>
  <c r="E18" i="97"/>
  <c r="E17" i="97"/>
  <c r="E16" i="97"/>
  <c r="E15" i="97"/>
  <c r="E14" i="97"/>
  <c r="E13" i="97"/>
  <c r="E12" i="97"/>
  <c r="E11" i="97"/>
  <c r="M7" i="94"/>
  <c r="B6" i="94"/>
  <c r="B4" i="94"/>
  <c r="B3" i="94"/>
  <c r="E21" i="80"/>
  <c r="E22" i="80"/>
  <c r="E20" i="80"/>
  <c r="D21" i="73"/>
  <c r="D20" i="73"/>
  <c r="D21" i="74"/>
  <c r="D22" i="74"/>
  <c r="D20" i="74"/>
  <c r="A55" i="70"/>
  <c r="K94" i="92"/>
  <c r="U103" i="92"/>
  <c r="R103" i="92"/>
  <c r="P103" i="92"/>
  <c r="Q21" i="74" s="1"/>
  <c r="S87" i="92"/>
  <c r="S84" i="92"/>
  <c r="S77" i="92"/>
  <c r="S76" i="92"/>
  <c r="X74" i="92"/>
  <c r="X65" i="92"/>
  <c r="X66" i="92"/>
  <c r="X67" i="92"/>
  <c r="X68" i="92"/>
  <c r="X69" i="92"/>
  <c r="X70" i="92"/>
  <c r="X71" i="92"/>
  <c r="X72" i="92"/>
  <c r="X73" i="92"/>
  <c r="P74" i="92"/>
  <c r="R73" i="92"/>
  <c r="Q73" i="92"/>
  <c r="P73" i="92"/>
  <c r="R72" i="92"/>
  <c r="Q72" i="92"/>
  <c r="P72" i="92"/>
  <c r="R71" i="92"/>
  <c r="Q71" i="92"/>
  <c r="P71" i="92"/>
  <c r="R70" i="92"/>
  <c r="Q70" i="92"/>
  <c r="P70" i="92"/>
  <c r="R69" i="92"/>
  <c r="Q69" i="92"/>
  <c r="P69" i="92"/>
  <c r="R68" i="92"/>
  <c r="Q68" i="92"/>
  <c r="P68" i="92"/>
  <c r="R67" i="92"/>
  <c r="Q67" i="92"/>
  <c r="P67" i="92"/>
  <c r="R66" i="92"/>
  <c r="Q66" i="92"/>
  <c r="P66" i="92"/>
  <c r="R65" i="92"/>
  <c r="Q65" i="92"/>
  <c r="P65" i="92"/>
  <c r="R34" i="92"/>
  <c r="L114" i="92"/>
  <c r="Q32" i="92"/>
  <c r="L113" i="92" s="1"/>
  <c r="M105" i="92"/>
  <c r="L97" i="92"/>
  <c r="L986" i="94"/>
  <c r="K97" i="92"/>
  <c r="K986" i="94" s="1"/>
  <c r="J97" i="92"/>
  <c r="J986" i="94" s="1"/>
  <c r="I97" i="92"/>
  <c r="I986" i="94"/>
  <c r="H97" i="92"/>
  <c r="H986" i="94" s="1"/>
  <c r="G97" i="92"/>
  <c r="G986" i="94" s="1"/>
  <c r="F97" i="92"/>
  <c r="F986" i="94"/>
  <c r="E97" i="92"/>
  <c r="E986" i="94" s="1"/>
  <c r="D97" i="92"/>
  <c r="D986" i="94" s="1"/>
  <c r="L96" i="92"/>
  <c r="L972" i="94" s="1"/>
  <c r="K96" i="92"/>
  <c r="K972" i="94" s="1"/>
  <c r="J96" i="92"/>
  <c r="J972" i="94" s="1"/>
  <c r="I96" i="92"/>
  <c r="I972" i="94"/>
  <c r="H96" i="92"/>
  <c r="H972" i="94" s="1"/>
  <c r="G96" i="92"/>
  <c r="G972" i="94" s="1"/>
  <c r="F96" i="92"/>
  <c r="E96" i="92"/>
  <c r="D96" i="92"/>
  <c r="D972" i="94" s="1"/>
  <c r="L95" i="92"/>
  <c r="L958" i="94" s="1"/>
  <c r="K95" i="92"/>
  <c r="K958" i="94"/>
  <c r="J95" i="92"/>
  <c r="J958" i="94" s="1"/>
  <c r="I95" i="92"/>
  <c r="I958" i="94" s="1"/>
  <c r="H95" i="92"/>
  <c r="H958" i="94" s="1"/>
  <c r="G95" i="92"/>
  <c r="F95" i="92"/>
  <c r="F958" i="94" s="1"/>
  <c r="E95" i="92"/>
  <c r="E958" i="94" s="1"/>
  <c r="D95" i="92"/>
  <c r="D958" i="94" s="1"/>
  <c r="L94" i="92"/>
  <c r="L944" i="94" s="1"/>
  <c r="J94" i="92"/>
  <c r="J944" i="94" s="1"/>
  <c r="I94" i="92"/>
  <c r="I944" i="94" s="1"/>
  <c r="H94" i="92"/>
  <c r="H944" i="94" s="1"/>
  <c r="G94" i="92"/>
  <c r="F94" i="92"/>
  <c r="F944" i="94" s="1"/>
  <c r="E94" i="92"/>
  <c r="E944" i="94" s="1"/>
  <c r="D94" i="92"/>
  <c r="D944" i="94" s="1"/>
  <c r="L93" i="92"/>
  <c r="K93" i="92"/>
  <c r="K930" i="94" s="1"/>
  <c r="J93" i="92"/>
  <c r="J930" i="94" s="1"/>
  <c r="I93" i="92"/>
  <c r="I930" i="94" s="1"/>
  <c r="H93" i="92"/>
  <c r="H930" i="94" s="1"/>
  <c r="G93" i="92"/>
  <c r="F93" i="92"/>
  <c r="F930" i="94"/>
  <c r="E93" i="92"/>
  <c r="D93" i="92"/>
  <c r="D930" i="94" s="1"/>
  <c r="L88" i="92"/>
  <c r="L886" i="94" s="1"/>
  <c r="K88" i="92"/>
  <c r="K886" i="94" s="1"/>
  <c r="J88" i="92"/>
  <c r="J886" i="94" s="1"/>
  <c r="I88" i="92"/>
  <c r="H88" i="92"/>
  <c r="G88" i="92"/>
  <c r="F88" i="92"/>
  <c r="E88" i="92"/>
  <c r="D88" i="92"/>
  <c r="L87" i="92"/>
  <c r="L872" i="94" s="1"/>
  <c r="K87" i="92"/>
  <c r="K872" i="94" s="1"/>
  <c r="J87" i="92"/>
  <c r="J872" i="94" s="1"/>
  <c r="I87" i="92"/>
  <c r="H87" i="92"/>
  <c r="H872" i="94" s="1"/>
  <c r="G87" i="92"/>
  <c r="G872" i="94" s="1"/>
  <c r="F87" i="92"/>
  <c r="D64" i="91" s="1"/>
  <c r="E87" i="92"/>
  <c r="E872" i="94" s="1"/>
  <c r="D87" i="92"/>
  <c r="L83" i="92"/>
  <c r="K83" i="92"/>
  <c r="J83" i="92"/>
  <c r="J842" i="94" s="1"/>
  <c r="I83" i="92"/>
  <c r="H83" i="92"/>
  <c r="H842" i="94" s="1"/>
  <c r="G83" i="92"/>
  <c r="G842" i="94" s="1"/>
  <c r="F83" i="92"/>
  <c r="F842" i="94" s="1"/>
  <c r="E83" i="92"/>
  <c r="D83" i="92"/>
  <c r="D842" i="94" s="1"/>
  <c r="L82" i="92"/>
  <c r="L828" i="94" s="1"/>
  <c r="K82" i="92"/>
  <c r="K828" i="94" s="1"/>
  <c r="J82" i="92"/>
  <c r="I82" i="92"/>
  <c r="H82" i="92"/>
  <c r="G82" i="92"/>
  <c r="G828" i="94" s="1"/>
  <c r="F82" i="92"/>
  <c r="F828" i="94" s="1"/>
  <c r="E82" i="92"/>
  <c r="E828" i="94" s="1"/>
  <c r="D82" i="92"/>
  <c r="D828" i="94" s="1"/>
  <c r="L81" i="92"/>
  <c r="L814" i="94" s="1"/>
  <c r="K81" i="92"/>
  <c r="K814" i="94" s="1"/>
  <c r="J81" i="92"/>
  <c r="J814" i="94" s="1"/>
  <c r="I81" i="92"/>
  <c r="H81" i="92"/>
  <c r="G81" i="92"/>
  <c r="G814" i="94" s="1"/>
  <c r="F81" i="92"/>
  <c r="F814" i="94" s="1"/>
  <c r="E81" i="92"/>
  <c r="E814" i="94" s="1"/>
  <c r="D81" i="92"/>
  <c r="D814" i="94" s="1"/>
  <c r="L80" i="92"/>
  <c r="L800" i="94" s="1"/>
  <c r="K80" i="92"/>
  <c r="J80" i="92"/>
  <c r="J800" i="94"/>
  <c r="I80" i="92"/>
  <c r="H80" i="92"/>
  <c r="H800" i="94" s="1"/>
  <c r="G80" i="92"/>
  <c r="F80" i="92"/>
  <c r="D57" i="91" s="1"/>
  <c r="E80" i="92"/>
  <c r="E800" i="94" s="1"/>
  <c r="D80" i="92"/>
  <c r="L76" i="92"/>
  <c r="L770" i="94" s="1"/>
  <c r="K76" i="92"/>
  <c r="K770" i="94" s="1"/>
  <c r="J76" i="92"/>
  <c r="J770" i="94" s="1"/>
  <c r="I76" i="92"/>
  <c r="I770" i="94" s="1"/>
  <c r="H76" i="92"/>
  <c r="H770" i="94" s="1"/>
  <c r="G76" i="92"/>
  <c r="F76" i="92"/>
  <c r="E76" i="92"/>
  <c r="D76" i="92"/>
  <c r="L75" i="92"/>
  <c r="L756" i="94" s="1"/>
  <c r="K75" i="92"/>
  <c r="K756" i="94" s="1"/>
  <c r="J75" i="92"/>
  <c r="J756" i="94" s="1"/>
  <c r="I75" i="92"/>
  <c r="I756" i="94" s="1"/>
  <c r="H75" i="92"/>
  <c r="G75" i="92"/>
  <c r="G756" i="94" s="1"/>
  <c r="F75" i="92"/>
  <c r="F756" i="94" s="1"/>
  <c r="E75" i="92"/>
  <c r="E756" i="94" s="1"/>
  <c r="D75" i="92"/>
  <c r="D756" i="94" s="1"/>
  <c r="L74" i="92"/>
  <c r="L742" i="94" s="1"/>
  <c r="K74" i="92"/>
  <c r="K742" i="94" s="1"/>
  <c r="J74" i="92"/>
  <c r="J742" i="94" s="1"/>
  <c r="I74" i="92"/>
  <c r="I742" i="94" s="1"/>
  <c r="H74" i="92"/>
  <c r="H742" i="94" s="1"/>
  <c r="G74" i="92"/>
  <c r="F74" i="92"/>
  <c r="E74" i="92"/>
  <c r="E742" i="94" s="1"/>
  <c r="D74" i="92"/>
  <c r="L73" i="92"/>
  <c r="L728" i="94" s="1"/>
  <c r="K73" i="92"/>
  <c r="K728" i="94" s="1"/>
  <c r="J73" i="92"/>
  <c r="J728" i="94" s="1"/>
  <c r="I73" i="92"/>
  <c r="H73" i="92"/>
  <c r="H728" i="94" s="1"/>
  <c r="G73" i="92"/>
  <c r="G728" i="94" s="1"/>
  <c r="F73" i="92"/>
  <c r="E73" i="92"/>
  <c r="D73" i="92"/>
  <c r="L72" i="92"/>
  <c r="L714" i="94" s="1"/>
  <c r="K72" i="92"/>
  <c r="K714" i="94"/>
  <c r="J72" i="92"/>
  <c r="J714" i="94" s="1"/>
  <c r="I72" i="92"/>
  <c r="I714" i="94" s="1"/>
  <c r="H72" i="92"/>
  <c r="H714" i="94" s="1"/>
  <c r="G72" i="92"/>
  <c r="F72" i="92"/>
  <c r="E72" i="92"/>
  <c r="E714" i="94" s="1"/>
  <c r="D72" i="92"/>
  <c r="L71" i="92"/>
  <c r="K71" i="92"/>
  <c r="K700" i="94" s="1"/>
  <c r="J71" i="92"/>
  <c r="I71" i="92"/>
  <c r="I700" i="94" s="1"/>
  <c r="H71" i="92"/>
  <c r="H700" i="94" s="1"/>
  <c r="G71" i="92"/>
  <c r="G700" i="94" s="1"/>
  <c r="F71" i="92"/>
  <c r="F700" i="94" s="1"/>
  <c r="E71" i="92"/>
  <c r="E700" i="94" s="1"/>
  <c r="D71" i="92"/>
  <c r="L70" i="92"/>
  <c r="K70" i="92"/>
  <c r="K686" i="94" s="1"/>
  <c r="J70" i="92"/>
  <c r="J686" i="94" s="1"/>
  <c r="I70" i="92"/>
  <c r="I686" i="94" s="1"/>
  <c r="H70" i="92"/>
  <c r="H686" i="94" s="1"/>
  <c r="G70" i="92"/>
  <c r="G686" i="94" s="1"/>
  <c r="F70" i="92"/>
  <c r="E70" i="92"/>
  <c r="D70" i="92"/>
  <c r="L69" i="92"/>
  <c r="K69" i="92"/>
  <c r="K672" i="94" s="1"/>
  <c r="J69" i="92"/>
  <c r="I69" i="92"/>
  <c r="I672" i="94" s="1"/>
  <c r="H69" i="92"/>
  <c r="H672" i="94" s="1"/>
  <c r="G69" i="92"/>
  <c r="F69" i="92"/>
  <c r="E69" i="92"/>
  <c r="D69" i="92"/>
  <c r="D672" i="94" s="1"/>
  <c r="L68" i="92"/>
  <c r="L658" i="94" s="1"/>
  <c r="K68" i="92"/>
  <c r="K658" i="94" s="1"/>
  <c r="J68" i="92"/>
  <c r="J658" i="94" s="1"/>
  <c r="I68" i="92"/>
  <c r="H68" i="92"/>
  <c r="G68" i="92"/>
  <c r="F68" i="92"/>
  <c r="F658" i="94" s="1"/>
  <c r="E68" i="92"/>
  <c r="D68" i="92"/>
  <c r="D658" i="94" s="1"/>
  <c r="L67" i="92"/>
  <c r="L644" i="94" s="1"/>
  <c r="K67" i="92"/>
  <c r="K644" i="94" s="1"/>
  <c r="J67" i="92"/>
  <c r="J644" i="94" s="1"/>
  <c r="I67" i="92"/>
  <c r="I644" i="94"/>
  <c r="H67" i="92"/>
  <c r="H644" i="94" s="1"/>
  <c r="G67" i="92"/>
  <c r="G644" i="94"/>
  <c r="F67" i="92"/>
  <c r="E67" i="92"/>
  <c r="E644" i="94" s="1"/>
  <c r="D67" i="92"/>
  <c r="D644" i="94" s="1"/>
  <c r="L66" i="92"/>
  <c r="L630" i="94" s="1"/>
  <c r="K66" i="92"/>
  <c r="K630" i="94" s="1"/>
  <c r="J66" i="92"/>
  <c r="J630" i="94" s="1"/>
  <c r="I66" i="92"/>
  <c r="I630" i="94" s="1"/>
  <c r="H66" i="92"/>
  <c r="G66" i="92"/>
  <c r="G630" i="94" s="1"/>
  <c r="F66" i="92"/>
  <c r="F630" i="94" s="1"/>
  <c r="E66" i="92"/>
  <c r="D66" i="92"/>
  <c r="L65" i="92"/>
  <c r="L616" i="94" s="1"/>
  <c r="K65" i="92"/>
  <c r="K616" i="94" s="1"/>
  <c r="J65" i="92"/>
  <c r="I65" i="92"/>
  <c r="H65" i="92"/>
  <c r="H616" i="94"/>
  <c r="G65" i="92"/>
  <c r="G616" i="94" s="1"/>
  <c r="F65" i="92"/>
  <c r="E65" i="92"/>
  <c r="O65" i="92" s="1"/>
  <c r="S65" i="92" s="1"/>
  <c r="D65" i="92"/>
  <c r="J559" i="94"/>
  <c r="H559" i="94"/>
  <c r="I545" i="94"/>
  <c r="L503" i="94"/>
  <c r="K503" i="94"/>
  <c r="D26" i="91"/>
  <c r="E76" i="91"/>
  <c r="E471" i="94"/>
  <c r="F455" i="94"/>
  <c r="L410" i="94"/>
  <c r="G410" i="94"/>
  <c r="H396" i="94"/>
  <c r="F382" i="94"/>
  <c r="G368" i="94"/>
  <c r="H354" i="94"/>
  <c r="I340" i="94"/>
  <c r="F340" i="94"/>
  <c r="L35" i="92"/>
  <c r="L326" i="94" s="1"/>
  <c r="K35" i="92"/>
  <c r="K326" i="94" s="1"/>
  <c r="J35" i="92"/>
  <c r="J326" i="94" s="1"/>
  <c r="I35" i="92"/>
  <c r="I326" i="94" s="1"/>
  <c r="H35" i="92"/>
  <c r="H326" i="94" s="1"/>
  <c r="G35" i="92"/>
  <c r="F35" i="92"/>
  <c r="E35" i="92"/>
  <c r="D35" i="92"/>
  <c r="D326" i="94" s="1"/>
  <c r="L34" i="92"/>
  <c r="L312" i="94" s="1"/>
  <c r="K34" i="92"/>
  <c r="J34" i="92"/>
  <c r="I34" i="92"/>
  <c r="I312" i="94" s="1"/>
  <c r="H34" i="92"/>
  <c r="H312" i="94" s="1"/>
  <c r="G34" i="92"/>
  <c r="G312" i="94" s="1"/>
  <c r="F34" i="92"/>
  <c r="E34" i="92"/>
  <c r="E312" i="94" s="1"/>
  <c r="D34" i="92"/>
  <c r="D312" i="94" s="1"/>
  <c r="L33" i="92"/>
  <c r="L298" i="94" s="1"/>
  <c r="K33" i="92"/>
  <c r="K298" i="94" s="1"/>
  <c r="J33" i="92"/>
  <c r="J298" i="94" s="1"/>
  <c r="I33" i="92"/>
  <c r="I298" i="94" s="1"/>
  <c r="H33" i="92"/>
  <c r="H298" i="94" s="1"/>
  <c r="G33" i="92"/>
  <c r="F33" i="92"/>
  <c r="F298" i="94" s="1"/>
  <c r="E33" i="92"/>
  <c r="D33" i="92"/>
  <c r="D298" i="94" s="1"/>
  <c r="L32" i="92"/>
  <c r="K32" i="92"/>
  <c r="K284" i="94" s="1"/>
  <c r="J32" i="92"/>
  <c r="J284" i="94" s="1"/>
  <c r="I32" i="92"/>
  <c r="I284" i="94" s="1"/>
  <c r="H32" i="92"/>
  <c r="H284" i="94" s="1"/>
  <c r="G32" i="92"/>
  <c r="G284" i="94" s="1"/>
  <c r="F32" i="92"/>
  <c r="F284" i="94" s="1"/>
  <c r="E32" i="92"/>
  <c r="D32" i="92"/>
  <c r="I241" i="94"/>
  <c r="L227" i="94"/>
  <c r="E227" i="94"/>
  <c r="E213" i="94"/>
  <c r="G199" i="94"/>
  <c r="F199" i="94"/>
  <c r="J185" i="94"/>
  <c r="E185" i="94"/>
  <c r="D185" i="94"/>
  <c r="E171" i="94"/>
  <c r="L22" i="92"/>
  <c r="K22" i="92"/>
  <c r="K157" i="94" s="1"/>
  <c r="J22" i="92"/>
  <c r="J157" i="94" s="1"/>
  <c r="I22" i="92"/>
  <c r="H22" i="92"/>
  <c r="H157" i="94" s="1"/>
  <c r="G22" i="92"/>
  <c r="F22" i="92"/>
  <c r="F157" i="94" s="1"/>
  <c r="E22" i="92"/>
  <c r="D22" i="92"/>
  <c r="D157" i="94" s="1"/>
  <c r="L21" i="92"/>
  <c r="L143" i="94" s="1"/>
  <c r="K21" i="92"/>
  <c r="K143" i="94" s="1"/>
  <c r="J21" i="92"/>
  <c r="J143" i="94" s="1"/>
  <c r="I21" i="92"/>
  <c r="H21" i="92"/>
  <c r="G21" i="92"/>
  <c r="G143" i="94" s="1"/>
  <c r="F21" i="92"/>
  <c r="E21" i="92"/>
  <c r="E143" i="94" s="1"/>
  <c r="D21" i="92"/>
  <c r="L20" i="92"/>
  <c r="L129" i="94" s="1"/>
  <c r="I20" i="92"/>
  <c r="I129" i="94" s="1"/>
  <c r="H20" i="92"/>
  <c r="G20" i="92"/>
  <c r="F20" i="92"/>
  <c r="F129" i="94" s="1"/>
  <c r="E20" i="92"/>
  <c r="E129" i="94" s="1"/>
  <c r="D20" i="92"/>
  <c r="D129" i="94" s="1"/>
  <c r="J19" i="92"/>
  <c r="J115" i="94" s="1"/>
  <c r="H19" i="92"/>
  <c r="H115" i="94" s="1"/>
  <c r="G19" i="92"/>
  <c r="F19" i="92"/>
  <c r="E19" i="92"/>
  <c r="D19" i="92"/>
  <c r="D115" i="94" s="1"/>
  <c r="I71" i="94"/>
  <c r="E57" i="94"/>
  <c r="D43" i="94"/>
  <c r="H29" i="94"/>
  <c r="J15" i="94"/>
  <c r="G15" i="94"/>
  <c r="M105" i="87"/>
  <c r="U103" i="87"/>
  <c r="R103" i="87"/>
  <c r="P103" i="87"/>
  <c r="L97" i="87"/>
  <c r="K97" i="87"/>
  <c r="J97" i="87"/>
  <c r="I97" i="87"/>
  <c r="H97" i="87"/>
  <c r="G97" i="87"/>
  <c r="F97" i="87"/>
  <c r="E97" i="87"/>
  <c r="D97" i="87"/>
  <c r="L96" i="87"/>
  <c r="K96" i="87"/>
  <c r="J96" i="87"/>
  <c r="I96" i="87"/>
  <c r="H96" i="87"/>
  <c r="G96" i="87"/>
  <c r="F96" i="87"/>
  <c r="E96" i="87"/>
  <c r="D96" i="87"/>
  <c r="L95" i="87"/>
  <c r="K95" i="87"/>
  <c r="J95" i="87"/>
  <c r="I95" i="87"/>
  <c r="H95" i="87"/>
  <c r="G95" i="87"/>
  <c r="F95" i="87"/>
  <c r="E95" i="87"/>
  <c r="D95" i="87"/>
  <c r="L94" i="87"/>
  <c r="K94" i="87"/>
  <c r="J94" i="87"/>
  <c r="I94" i="87"/>
  <c r="H94" i="87"/>
  <c r="G94" i="87"/>
  <c r="F94" i="87"/>
  <c r="E94" i="87"/>
  <c r="D94" i="87"/>
  <c r="L93" i="87"/>
  <c r="K93" i="87"/>
  <c r="J93" i="87"/>
  <c r="I93" i="87"/>
  <c r="H93" i="87"/>
  <c r="G93" i="87"/>
  <c r="F93" i="87"/>
  <c r="E93" i="87"/>
  <c r="D93" i="87"/>
  <c r="L88" i="87"/>
  <c r="K88" i="87"/>
  <c r="J88" i="87"/>
  <c r="I88" i="87"/>
  <c r="H88" i="87"/>
  <c r="G88" i="87"/>
  <c r="F88" i="87"/>
  <c r="E88" i="87"/>
  <c r="D88" i="87"/>
  <c r="L87" i="87"/>
  <c r="K87" i="87"/>
  <c r="J87" i="87"/>
  <c r="I87" i="87"/>
  <c r="H87" i="87"/>
  <c r="G87" i="87"/>
  <c r="F87" i="87"/>
  <c r="E87" i="87"/>
  <c r="D87" i="87"/>
  <c r="L83" i="87"/>
  <c r="K83" i="87"/>
  <c r="J83" i="87"/>
  <c r="I83" i="87"/>
  <c r="H83" i="87"/>
  <c r="G83" i="87"/>
  <c r="F83" i="87"/>
  <c r="E83" i="87"/>
  <c r="D83" i="87"/>
  <c r="L82" i="87"/>
  <c r="K82" i="87"/>
  <c r="J82" i="87"/>
  <c r="I82" i="87"/>
  <c r="H82" i="87"/>
  <c r="G82" i="87"/>
  <c r="F82" i="87"/>
  <c r="E82" i="87"/>
  <c r="D82" i="87"/>
  <c r="L81" i="87"/>
  <c r="K81" i="87"/>
  <c r="J81" i="87"/>
  <c r="I81" i="87"/>
  <c r="H81" i="87"/>
  <c r="G81" i="87"/>
  <c r="F81" i="87"/>
  <c r="E81" i="87"/>
  <c r="D81" i="87"/>
  <c r="L80" i="87"/>
  <c r="K80" i="87"/>
  <c r="J80" i="87"/>
  <c r="I80" i="87"/>
  <c r="H80" i="87"/>
  <c r="G80" i="87"/>
  <c r="F80" i="87"/>
  <c r="E80" i="87"/>
  <c r="D80" i="87"/>
  <c r="S77" i="87"/>
  <c r="S76" i="87"/>
  <c r="L76" i="87"/>
  <c r="K76" i="87"/>
  <c r="J76" i="87"/>
  <c r="I76" i="87"/>
  <c r="H76" i="87"/>
  <c r="G76" i="87"/>
  <c r="F76" i="87"/>
  <c r="E76" i="87"/>
  <c r="D76" i="87"/>
  <c r="L75" i="87"/>
  <c r="K75" i="87"/>
  <c r="J75" i="87"/>
  <c r="I75" i="87"/>
  <c r="H75" i="87"/>
  <c r="G75" i="87"/>
  <c r="F75" i="87"/>
  <c r="E75" i="87"/>
  <c r="D75" i="87"/>
  <c r="X74" i="87"/>
  <c r="P74" i="87"/>
  <c r="L74" i="87"/>
  <c r="K74" i="87"/>
  <c r="J74" i="87"/>
  <c r="I74" i="87"/>
  <c r="H74" i="87"/>
  <c r="G74" i="87"/>
  <c r="F74" i="87"/>
  <c r="E74" i="87"/>
  <c r="D74" i="87"/>
  <c r="X73" i="87"/>
  <c r="R73" i="87"/>
  <c r="Q73" i="87"/>
  <c r="P73" i="87"/>
  <c r="L73" i="87"/>
  <c r="K73" i="87"/>
  <c r="J73" i="87"/>
  <c r="I73" i="87"/>
  <c r="H73" i="87"/>
  <c r="G73" i="87"/>
  <c r="F73" i="87"/>
  <c r="E73" i="87"/>
  <c r="D73" i="87"/>
  <c r="X72" i="87"/>
  <c r="R72" i="87"/>
  <c r="Q72" i="87"/>
  <c r="P72" i="87"/>
  <c r="L72" i="87"/>
  <c r="K72" i="87"/>
  <c r="J72" i="87"/>
  <c r="I72" i="87"/>
  <c r="H72" i="87"/>
  <c r="G72" i="87"/>
  <c r="F72" i="87"/>
  <c r="E72" i="87"/>
  <c r="D72" i="87"/>
  <c r="X71" i="87"/>
  <c r="R71" i="87"/>
  <c r="Q71" i="87"/>
  <c r="P71" i="87"/>
  <c r="L71" i="87"/>
  <c r="K71" i="87"/>
  <c r="J71" i="87"/>
  <c r="I71" i="87"/>
  <c r="H71" i="87"/>
  <c r="G71" i="87"/>
  <c r="F71" i="87"/>
  <c r="E71" i="87"/>
  <c r="D71" i="87"/>
  <c r="X70" i="87"/>
  <c r="R70" i="87"/>
  <c r="Q70" i="87"/>
  <c r="P70" i="87"/>
  <c r="L70" i="87"/>
  <c r="K70" i="87"/>
  <c r="J70" i="87"/>
  <c r="I70" i="87"/>
  <c r="H70" i="87"/>
  <c r="G70" i="87"/>
  <c r="F70" i="87"/>
  <c r="E70" i="87"/>
  <c r="D70" i="87"/>
  <c r="X69" i="87"/>
  <c r="R69" i="87"/>
  <c r="Q69" i="87"/>
  <c r="P69" i="87"/>
  <c r="L69" i="87"/>
  <c r="K69" i="87"/>
  <c r="J69" i="87"/>
  <c r="I69" i="87"/>
  <c r="H69" i="87"/>
  <c r="G69" i="87"/>
  <c r="F69" i="87"/>
  <c r="E69" i="87"/>
  <c r="D69" i="87"/>
  <c r="X68" i="87"/>
  <c r="R68" i="87"/>
  <c r="Q68" i="87"/>
  <c r="P68" i="87"/>
  <c r="L68" i="87"/>
  <c r="K68" i="87"/>
  <c r="J68" i="87"/>
  <c r="I68" i="87"/>
  <c r="H68" i="87"/>
  <c r="G68" i="87"/>
  <c r="F68" i="87"/>
  <c r="E68" i="87"/>
  <c r="D68" i="87"/>
  <c r="X67" i="87"/>
  <c r="R67" i="87"/>
  <c r="Q67" i="87"/>
  <c r="P67" i="87"/>
  <c r="L67" i="87"/>
  <c r="K67" i="87"/>
  <c r="J67" i="87"/>
  <c r="I67" i="87"/>
  <c r="H67" i="87"/>
  <c r="G67" i="87"/>
  <c r="F67" i="87"/>
  <c r="E67" i="87"/>
  <c r="D67" i="87"/>
  <c r="X66" i="87"/>
  <c r="R66" i="87"/>
  <c r="Q66" i="87"/>
  <c r="P66" i="87"/>
  <c r="L66" i="87"/>
  <c r="K66" i="87"/>
  <c r="J66" i="87"/>
  <c r="I66" i="87"/>
  <c r="H66" i="87"/>
  <c r="G66" i="87"/>
  <c r="F66" i="87"/>
  <c r="E66" i="87"/>
  <c r="D66" i="87"/>
  <c r="X65" i="87"/>
  <c r="R65" i="87"/>
  <c r="Q65" i="87"/>
  <c r="P65" i="87"/>
  <c r="L65" i="87"/>
  <c r="K65" i="87"/>
  <c r="J65" i="87"/>
  <c r="I65" i="87"/>
  <c r="H65" i="87"/>
  <c r="G65" i="87"/>
  <c r="F65" i="87"/>
  <c r="E65" i="87"/>
  <c r="D65" i="87"/>
  <c r="L35" i="87"/>
  <c r="K35" i="87"/>
  <c r="J35" i="87"/>
  <c r="I35" i="87"/>
  <c r="H35" i="87"/>
  <c r="G35" i="87"/>
  <c r="F35" i="87"/>
  <c r="E35" i="87"/>
  <c r="D35" i="87"/>
  <c r="R34" i="87"/>
  <c r="L114" i="87" s="1"/>
  <c r="L34" i="87"/>
  <c r="K34" i="87"/>
  <c r="J34" i="87"/>
  <c r="I34" i="87"/>
  <c r="H34" i="87"/>
  <c r="G34" i="87"/>
  <c r="F34" i="87"/>
  <c r="E34" i="87"/>
  <c r="D34" i="87"/>
  <c r="L33" i="87"/>
  <c r="K33" i="87"/>
  <c r="J33" i="87"/>
  <c r="I33" i="87"/>
  <c r="H33" i="87"/>
  <c r="G33" i="87"/>
  <c r="F33" i="87"/>
  <c r="E33" i="87"/>
  <c r="D33" i="87"/>
  <c r="Q32" i="87"/>
  <c r="L113" i="87" s="1"/>
  <c r="L32" i="87"/>
  <c r="K32" i="87"/>
  <c r="J32" i="87"/>
  <c r="I32" i="87"/>
  <c r="H32" i="87"/>
  <c r="G32" i="87"/>
  <c r="F32" i="87"/>
  <c r="E32" i="87"/>
  <c r="D32" i="87"/>
  <c r="L22" i="87"/>
  <c r="K22" i="87"/>
  <c r="J22" i="87"/>
  <c r="I22" i="87"/>
  <c r="H22" i="87"/>
  <c r="G22" i="87"/>
  <c r="F22" i="87"/>
  <c r="E22" i="87"/>
  <c r="D22" i="87"/>
  <c r="L21" i="87"/>
  <c r="K21" i="87"/>
  <c r="J21" i="87"/>
  <c r="I21" i="87"/>
  <c r="H21" i="87"/>
  <c r="G21" i="87"/>
  <c r="F21" i="87"/>
  <c r="E21" i="87"/>
  <c r="D21" i="87"/>
  <c r="L20" i="87"/>
  <c r="I20" i="87"/>
  <c r="H20" i="87"/>
  <c r="G20" i="87"/>
  <c r="F20" i="87"/>
  <c r="E20" i="87"/>
  <c r="D20" i="87"/>
  <c r="J19" i="87"/>
  <c r="H19" i="87"/>
  <c r="G19" i="87"/>
  <c r="F19" i="87"/>
  <c r="E19" i="87"/>
  <c r="D19" i="87"/>
  <c r="M105" i="84"/>
  <c r="L112" i="84" s="1"/>
  <c r="U103" i="84"/>
  <c r="R103" i="84"/>
  <c r="AE20" i="100" s="1"/>
  <c r="P103" i="84"/>
  <c r="L97" i="84"/>
  <c r="L991" i="94" s="1"/>
  <c r="K97" i="84"/>
  <c r="J97" i="84"/>
  <c r="J991" i="94" s="1"/>
  <c r="I97" i="84"/>
  <c r="I991" i="94" s="1"/>
  <c r="H97" i="84"/>
  <c r="H991" i="94" s="1"/>
  <c r="G97" i="84"/>
  <c r="G991" i="94" s="1"/>
  <c r="F97" i="84"/>
  <c r="E97" i="84"/>
  <c r="E991" i="94" s="1"/>
  <c r="D97" i="84"/>
  <c r="D991" i="94" s="1"/>
  <c r="L96" i="84"/>
  <c r="L977" i="94" s="1"/>
  <c r="K96" i="84"/>
  <c r="K977" i="94" s="1"/>
  <c r="J96" i="84"/>
  <c r="J977" i="94" s="1"/>
  <c r="I96" i="84"/>
  <c r="I977" i="94" s="1"/>
  <c r="H96" i="84"/>
  <c r="H977" i="94" s="1"/>
  <c r="G96" i="84"/>
  <c r="G977" i="94" s="1"/>
  <c r="F96" i="84"/>
  <c r="F977" i="94" s="1"/>
  <c r="E96" i="84"/>
  <c r="D96" i="84"/>
  <c r="D977" i="94" s="1"/>
  <c r="L95" i="84"/>
  <c r="L963" i="94" s="1"/>
  <c r="K95" i="84"/>
  <c r="K963" i="94" s="1"/>
  <c r="J95" i="84"/>
  <c r="J963" i="94" s="1"/>
  <c r="I95" i="84"/>
  <c r="I963" i="94" s="1"/>
  <c r="H95" i="84"/>
  <c r="H963" i="94" s="1"/>
  <c r="G95" i="84"/>
  <c r="F95" i="84"/>
  <c r="E95" i="84"/>
  <c r="E963" i="94" s="1"/>
  <c r="D95" i="84"/>
  <c r="D963" i="94" s="1"/>
  <c r="L94" i="84"/>
  <c r="L949" i="94" s="1"/>
  <c r="K94" i="84"/>
  <c r="K949" i="94" s="1"/>
  <c r="J94" i="84"/>
  <c r="J949" i="94" s="1"/>
  <c r="I94" i="84"/>
  <c r="I949" i="94" s="1"/>
  <c r="H94" i="84"/>
  <c r="G94" i="84"/>
  <c r="F94" i="84"/>
  <c r="F949" i="94" s="1"/>
  <c r="E94" i="84"/>
  <c r="E949" i="94" s="1"/>
  <c r="D94" i="84"/>
  <c r="D949" i="94" s="1"/>
  <c r="L93" i="84"/>
  <c r="L935" i="94" s="1"/>
  <c r="K93" i="84"/>
  <c r="K935" i="94" s="1"/>
  <c r="J93" i="84"/>
  <c r="J935" i="94" s="1"/>
  <c r="I93" i="84"/>
  <c r="I935" i="94" s="1"/>
  <c r="H93" i="84"/>
  <c r="H935" i="94" s="1"/>
  <c r="G93" i="84"/>
  <c r="G935" i="94" s="1"/>
  <c r="F93" i="84"/>
  <c r="M93" i="84" s="1"/>
  <c r="E93" i="84"/>
  <c r="E935" i="94" s="1"/>
  <c r="D93" i="84"/>
  <c r="D935" i="94" s="1"/>
  <c r="L88" i="84"/>
  <c r="L891" i="94" s="1"/>
  <c r="K88" i="84"/>
  <c r="J88" i="84"/>
  <c r="I88" i="84"/>
  <c r="I891" i="94" s="1"/>
  <c r="H88" i="84"/>
  <c r="H891" i="94" s="1"/>
  <c r="G88" i="84"/>
  <c r="F88" i="84"/>
  <c r="E88" i="84"/>
  <c r="D88" i="84"/>
  <c r="S87" i="84"/>
  <c r="B21" i="88" s="1"/>
  <c r="L87" i="84"/>
  <c r="K87" i="84"/>
  <c r="K877" i="94" s="1"/>
  <c r="J87" i="84"/>
  <c r="J877" i="94" s="1"/>
  <c r="I87" i="84"/>
  <c r="I877" i="94" s="1"/>
  <c r="H87" i="84"/>
  <c r="G87" i="84"/>
  <c r="G877" i="94" s="1"/>
  <c r="F87" i="84"/>
  <c r="E87" i="84"/>
  <c r="E877" i="94" s="1"/>
  <c r="D87" i="84"/>
  <c r="D877" i="94" s="1"/>
  <c r="S84" i="84"/>
  <c r="B17" i="88" s="1"/>
  <c r="L83" i="84"/>
  <c r="L847" i="94" s="1"/>
  <c r="K83" i="84"/>
  <c r="K847" i="94" s="1"/>
  <c r="J83" i="84"/>
  <c r="J847" i="94" s="1"/>
  <c r="I83" i="84"/>
  <c r="I847" i="94" s="1"/>
  <c r="H83" i="84"/>
  <c r="G83" i="84"/>
  <c r="G847" i="94" s="1"/>
  <c r="F83" i="84"/>
  <c r="E83" i="84"/>
  <c r="D83" i="84"/>
  <c r="D847" i="94"/>
  <c r="L82" i="84"/>
  <c r="K82" i="84"/>
  <c r="K833" i="94" s="1"/>
  <c r="J82" i="84"/>
  <c r="J833" i="94" s="1"/>
  <c r="I82" i="84"/>
  <c r="H82" i="84"/>
  <c r="H833" i="94" s="1"/>
  <c r="G82" i="84"/>
  <c r="F82" i="84"/>
  <c r="E82" i="84"/>
  <c r="E833" i="94" s="1"/>
  <c r="D82" i="84"/>
  <c r="L81" i="84"/>
  <c r="K81" i="84"/>
  <c r="J81" i="84"/>
  <c r="I81" i="84"/>
  <c r="I819" i="94" s="1"/>
  <c r="H81" i="84"/>
  <c r="H819" i="94" s="1"/>
  <c r="G81" i="84"/>
  <c r="G819" i="94" s="1"/>
  <c r="F81" i="84"/>
  <c r="D58" i="83" s="1"/>
  <c r="E81" i="84"/>
  <c r="E819" i="94" s="1"/>
  <c r="D81" i="84"/>
  <c r="D819" i="94" s="1"/>
  <c r="L80" i="84"/>
  <c r="L805" i="94" s="1"/>
  <c r="K80" i="84"/>
  <c r="J80" i="84"/>
  <c r="I80" i="84"/>
  <c r="I805" i="94" s="1"/>
  <c r="H80" i="84"/>
  <c r="H805" i="94"/>
  <c r="G80" i="84"/>
  <c r="G805" i="94" s="1"/>
  <c r="F80" i="84"/>
  <c r="F84" i="84" s="1"/>
  <c r="F861" i="94" s="1"/>
  <c r="E80" i="84"/>
  <c r="E805" i="94" s="1"/>
  <c r="D80" i="84"/>
  <c r="D805" i="94" s="1"/>
  <c r="S77" i="84"/>
  <c r="S76" i="84"/>
  <c r="L76" i="84"/>
  <c r="L775" i="94" s="1"/>
  <c r="K76" i="84"/>
  <c r="K775" i="94" s="1"/>
  <c r="J76" i="84"/>
  <c r="J775" i="94" s="1"/>
  <c r="I76" i="84"/>
  <c r="I775" i="94" s="1"/>
  <c r="H76" i="84"/>
  <c r="H775" i="94" s="1"/>
  <c r="G76" i="84"/>
  <c r="G775" i="94" s="1"/>
  <c r="F76" i="84"/>
  <c r="U76" i="84" s="1"/>
  <c r="E76" i="84"/>
  <c r="D76" i="84"/>
  <c r="L75" i="84"/>
  <c r="L761" i="94" s="1"/>
  <c r="K75" i="84"/>
  <c r="K761" i="94" s="1"/>
  <c r="J75" i="84"/>
  <c r="J761" i="94" s="1"/>
  <c r="I75" i="84"/>
  <c r="I761" i="94" s="1"/>
  <c r="H75" i="84"/>
  <c r="H761" i="94" s="1"/>
  <c r="G75" i="84"/>
  <c r="G761" i="94" s="1"/>
  <c r="F75" i="84"/>
  <c r="F761" i="94" s="1"/>
  <c r="E75" i="84"/>
  <c r="D75" i="84"/>
  <c r="D761" i="94" s="1"/>
  <c r="X74" i="84"/>
  <c r="P74" i="84"/>
  <c r="L74" i="84"/>
  <c r="L747" i="94" s="1"/>
  <c r="K74" i="84"/>
  <c r="J74" i="84"/>
  <c r="J747" i="94" s="1"/>
  <c r="I74" i="84"/>
  <c r="I747" i="94" s="1"/>
  <c r="H74" i="84"/>
  <c r="G74" i="84"/>
  <c r="F74" i="84"/>
  <c r="E74" i="84"/>
  <c r="E747" i="94" s="1"/>
  <c r="D74" i="84"/>
  <c r="X73" i="84"/>
  <c r="R73" i="84"/>
  <c r="Q73" i="84"/>
  <c r="P73" i="84"/>
  <c r="L73" i="84"/>
  <c r="K73" i="84"/>
  <c r="K733" i="94" s="1"/>
  <c r="J73" i="84"/>
  <c r="J733" i="94" s="1"/>
  <c r="I73" i="84"/>
  <c r="I733" i="94" s="1"/>
  <c r="H73" i="84"/>
  <c r="H733" i="94" s="1"/>
  <c r="G73" i="84"/>
  <c r="G733" i="94" s="1"/>
  <c r="F73" i="84"/>
  <c r="E73" i="84"/>
  <c r="D73" i="84"/>
  <c r="X72" i="84"/>
  <c r="R72" i="84"/>
  <c r="Q72" i="84"/>
  <c r="P72" i="84"/>
  <c r="L72" i="84"/>
  <c r="L719" i="94" s="1"/>
  <c r="K72" i="84"/>
  <c r="K719" i="94" s="1"/>
  <c r="J72" i="84"/>
  <c r="I72" i="84"/>
  <c r="H72" i="84"/>
  <c r="H719" i="94" s="1"/>
  <c r="G72" i="84"/>
  <c r="F72" i="84"/>
  <c r="F719" i="94"/>
  <c r="E72" i="84"/>
  <c r="M72" i="84" s="1"/>
  <c r="D72" i="84"/>
  <c r="X71" i="84"/>
  <c r="R71" i="84"/>
  <c r="Q71" i="84"/>
  <c r="P71" i="84"/>
  <c r="L71" i="84"/>
  <c r="L705" i="94" s="1"/>
  <c r="K71" i="84"/>
  <c r="K705" i="94" s="1"/>
  <c r="J71" i="84"/>
  <c r="J705" i="94" s="1"/>
  <c r="I71" i="84"/>
  <c r="I705" i="94"/>
  <c r="H71" i="84"/>
  <c r="H705" i="94" s="1"/>
  <c r="G71" i="84"/>
  <c r="G705" i="94" s="1"/>
  <c r="F71" i="84"/>
  <c r="E71" i="84"/>
  <c r="O71" i="84" s="1"/>
  <c r="S71" i="84" s="1"/>
  <c r="D71" i="84"/>
  <c r="X70" i="84"/>
  <c r="R70" i="84"/>
  <c r="Q70" i="84"/>
  <c r="P70" i="84"/>
  <c r="L70" i="84"/>
  <c r="L691" i="94" s="1"/>
  <c r="K70" i="84"/>
  <c r="J70" i="84"/>
  <c r="J691" i="94"/>
  <c r="I70" i="84"/>
  <c r="I691" i="94" s="1"/>
  <c r="H70" i="84"/>
  <c r="H691" i="94" s="1"/>
  <c r="G70" i="84"/>
  <c r="G691" i="94" s="1"/>
  <c r="F70" i="84"/>
  <c r="F691" i="94" s="1"/>
  <c r="E70" i="84"/>
  <c r="D70" i="84"/>
  <c r="X69" i="84"/>
  <c r="R69" i="84"/>
  <c r="Q69" i="84"/>
  <c r="P69" i="84"/>
  <c r="L69" i="84"/>
  <c r="K69" i="84"/>
  <c r="K677" i="94" s="1"/>
  <c r="J69" i="84"/>
  <c r="J677" i="94" s="1"/>
  <c r="I69" i="84"/>
  <c r="I677" i="94" s="1"/>
  <c r="H69" i="84"/>
  <c r="H677" i="94" s="1"/>
  <c r="G69" i="84"/>
  <c r="F69" i="84"/>
  <c r="E69" i="84"/>
  <c r="E677" i="94" s="1"/>
  <c r="D69" i="84"/>
  <c r="X68" i="84"/>
  <c r="R68" i="84"/>
  <c r="Q68" i="84"/>
  <c r="P68" i="84"/>
  <c r="L68" i="84"/>
  <c r="L663" i="94" s="1"/>
  <c r="K68" i="84"/>
  <c r="K663" i="94" s="1"/>
  <c r="J68" i="84"/>
  <c r="J663" i="94" s="1"/>
  <c r="I68" i="84"/>
  <c r="I663" i="94" s="1"/>
  <c r="H68" i="84"/>
  <c r="H663" i="94" s="1"/>
  <c r="G68" i="84"/>
  <c r="F68" i="84"/>
  <c r="E68" i="84"/>
  <c r="E663" i="94" s="1"/>
  <c r="D68" i="84"/>
  <c r="X67" i="84"/>
  <c r="R67" i="84"/>
  <c r="Q67" i="84"/>
  <c r="P67" i="84"/>
  <c r="L67" i="84"/>
  <c r="L649" i="94" s="1"/>
  <c r="K67" i="84"/>
  <c r="J67" i="84"/>
  <c r="J649" i="94" s="1"/>
  <c r="I67" i="84"/>
  <c r="I649" i="94" s="1"/>
  <c r="H67" i="84"/>
  <c r="G67" i="84"/>
  <c r="G649" i="94" s="1"/>
  <c r="F67" i="84"/>
  <c r="E67" i="84"/>
  <c r="E649" i="94" s="1"/>
  <c r="D67" i="84"/>
  <c r="X66" i="84"/>
  <c r="R66" i="84"/>
  <c r="Q66" i="84"/>
  <c r="P66" i="84"/>
  <c r="L66" i="84"/>
  <c r="L635" i="94" s="1"/>
  <c r="K66" i="84"/>
  <c r="K635" i="94" s="1"/>
  <c r="J66" i="84"/>
  <c r="I66" i="84"/>
  <c r="I635" i="94"/>
  <c r="H66" i="84"/>
  <c r="H635" i="94" s="1"/>
  <c r="G66" i="84"/>
  <c r="F66" i="84"/>
  <c r="E66" i="84"/>
  <c r="E635" i="94" s="1"/>
  <c r="D66" i="84"/>
  <c r="D635" i="94" s="1"/>
  <c r="X65" i="84"/>
  <c r="R65" i="84"/>
  <c r="Q65" i="84"/>
  <c r="P65" i="84"/>
  <c r="L65" i="84"/>
  <c r="L621" i="94" s="1"/>
  <c r="K65" i="84"/>
  <c r="J65" i="84"/>
  <c r="J621" i="94" s="1"/>
  <c r="I65" i="84"/>
  <c r="H65" i="84"/>
  <c r="H621" i="94" s="1"/>
  <c r="G65" i="84"/>
  <c r="G621" i="94" s="1"/>
  <c r="F65" i="84"/>
  <c r="F621" i="94"/>
  <c r="E65" i="84"/>
  <c r="D65" i="84"/>
  <c r="L578" i="94"/>
  <c r="K578" i="94"/>
  <c r="I578" i="94"/>
  <c r="H578" i="94"/>
  <c r="J564" i="94"/>
  <c r="K550" i="94"/>
  <c r="H550" i="94"/>
  <c r="L536" i="94"/>
  <c r="J536" i="94"/>
  <c r="I536" i="94"/>
  <c r="G522" i="94"/>
  <c r="D33" i="83"/>
  <c r="E522" i="94"/>
  <c r="K508" i="94"/>
  <c r="I508" i="94"/>
  <c r="H508" i="94"/>
  <c r="L492" i="94"/>
  <c r="D492" i="94"/>
  <c r="E476" i="94"/>
  <c r="L415" i="94"/>
  <c r="F415" i="94"/>
  <c r="L401" i="94"/>
  <c r="E401" i="94"/>
  <c r="D401" i="94"/>
  <c r="F387" i="94"/>
  <c r="K373" i="94"/>
  <c r="J373" i="94"/>
  <c r="I373" i="94"/>
  <c r="K359" i="94"/>
  <c r="J359" i="94"/>
  <c r="H359" i="94"/>
  <c r="G359" i="94"/>
  <c r="E345" i="94"/>
  <c r="L35" i="84"/>
  <c r="L331" i="94" s="1"/>
  <c r="K35" i="84"/>
  <c r="K331" i="94" s="1"/>
  <c r="J35" i="84"/>
  <c r="J331" i="94" s="1"/>
  <c r="I35" i="84"/>
  <c r="H35" i="84"/>
  <c r="G35" i="84"/>
  <c r="G331" i="94" s="1"/>
  <c r="F35" i="84"/>
  <c r="F331" i="94" s="1"/>
  <c r="E35" i="84"/>
  <c r="E331" i="94" s="1"/>
  <c r="D35" i="84"/>
  <c r="D331" i="94" s="1"/>
  <c r="R34" i="84"/>
  <c r="L114" i="84" s="1"/>
  <c r="L34" i="84"/>
  <c r="K34" i="84"/>
  <c r="J34" i="84"/>
  <c r="J317" i="94" s="1"/>
  <c r="I34" i="84"/>
  <c r="I317" i="94" s="1"/>
  <c r="H34" i="84"/>
  <c r="H317" i="94" s="1"/>
  <c r="G34" i="84"/>
  <c r="G317" i="94" s="1"/>
  <c r="F34" i="84"/>
  <c r="F317" i="94" s="1"/>
  <c r="E34" i="84"/>
  <c r="E317" i="94"/>
  <c r="D34" i="84"/>
  <c r="D317" i="94" s="1"/>
  <c r="L33" i="84"/>
  <c r="L303" i="94" s="1"/>
  <c r="K33" i="84"/>
  <c r="J33" i="84"/>
  <c r="J303" i="94" s="1"/>
  <c r="I33" i="84"/>
  <c r="I303" i="94" s="1"/>
  <c r="H33" i="84"/>
  <c r="H303" i="94" s="1"/>
  <c r="G33" i="84"/>
  <c r="G303" i="94" s="1"/>
  <c r="F33" i="84"/>
  <c r="E33" i="84"/>
  <c r="D33" i="84"/>
  <c r="Q32" i="84"/>
  <c r="L113" i="84" s="1"/>
  <c r="L32" i="84"/>
  <c r="K32" i="84"/>
  <c r="K289" i="94" s="1"/>
  <c r="J32" i="84"/>
  <c r="J289" i="94" s="1"/>
  <c r="I32" i="84"/>
  <c r="I289" i="94" s="1"/>
  <c r="H32" i="84"/>
  <c r="H289" i="94" s="1"/>
  <c r="G32" i="84"/>
  <c r="F32" i="84"/>
  <c r="E32" i="84"/>
  <c r="E289" i="94" s="1"/>
  <c r="D32" i="84"/>
  <c r="D289" i="94" s="1"/>
  <c r="I246" i="94"/>
  <c r="F246" i="94"/>
  <c r="L232" i="94"/>
  <c r="J232" i="94"/>
  <c r="L218" i="94"/>
  <c r="K218" i="94"/>
  <c r="G218" i="94"/>
  <c r="L204" i="94"/>
  <c r="K204" i="94"/>
  <c r="I204" i="94"/>
  <c r="I190" i="94"/>
  <c r="L176" i="94"/>
  <c r="G176" i="94"/>
  <c r="L22" i="84"/>
  <c r="K22" i="84"/>
  <c r="K162" i="94" s="1"/>
  <c r="J22" i="84"/>
  <c r="I22" i="84"/>
  <c r="I162" i="94" s="1"/>
  <c r="H22" i="84"/>
  <c r="H162" i="94" s="1"/>
  <c r="G22" i="84"/>
  <c r="G162" i="94" s="1"/>
  <c r="F22" i="84"/>
  <c r="F162" i="94" s="1"/>
  <c r="E22" i="84"/>
  <c r="E162" i="94" s="1"/>
  <c r="D22" i="84"/>
  <c r="D162" i="94" s="1"/>
  <c r="L21" i="84"/>
  <c r="L148" i="94" s="1"/>
  <c r="K21" i="84"/>
  <c r="K148" i="94" s="1"/>
  <c r="J21" i="84"/>
  <c r="I21" i="84"/>
  <c r="H21" i="84"/>
  <c r="H148" i="94" s="1"/>
  <c r="G21" i="84"/>
  <c r="G148" i="94" s="1"/>
  <c r="F21" i="84"/>
  <c r="F148" i="94" s="1"/>
  <c r="E21" i="84"/>
  <c r="D21" i="84"/>
  <c r="D148" i="94" s="1"/>
  <c r="L20" i="84"/>
  <c r="L134" i="94" s="1"/>
  <c r="I20" i="84"/>
  <c r="H20" i="84"/>
  <c r="H134" i="94" s="1"/>
  <c r="G20" i="84"/>
  <c r="G134" i="94" s="1"/>
  <c r="F20" i="84"/>
  <c r="E20" i="84"/>
  <c r="E134" i="94"/>
  <c r="D20" i="84"/>
  <c r="J19" i="84"/>
  <c r="H19" i="84"/>
  <c r="G19" i="84"/>
  <c r="F19" i="84"/>
  <c r="E19" i="84"/>
  <c r="E120" i="94" s="1"/>
  <c r="D19" i="84"/>
  <c r="D120" i="94" s="1"/>
  <c r="L76" i="94"/>
  <c r="E62" i="94"/>
  <c r="D48" i="94"/>
  <c r="B1" i="88"/>
  <c r="B3" i="93"/>
  <c r="B2" i="93"/>
  <c r="V103" i="92"/>
  <c r="D45" i="91"/>
  <c r="K20" i="92"/>
  <c r="K129" i="94" s="1"/>
  <c r="J20" i="92"/>
  <c r="J129" i="94" s="1"/>
  <c r="L19" i="92"/>
  <c r="K19" i="92"/>
  <c r="K115" i="94" s="1"/>
  <c r="I19" i="92"/>
  <c r="L43" i="94"/>
  <c r="K43" i="94"/>
  <c r="J43" i="94"/>
  <c r="H43" i="94"/>
  <c r="G43" i="94"/>
  <c r="F43" i="94"/>
  <c r="M7" i="92"/>
  <c r="B6" i="92"/>
  <c r="B4" i="92"/>
  <c r="B3" i="92"/>
  <c r="E66" i="91"/>
  <c r="E61" i="91"/>
  <c r="D60" i="91"/>
  <c r="E38" i="91"/>
  <c r="E20" i="91"/>
  <c r="E15" i="91"/>
  <c r="A5" i="91"/>
  <c r="A3" i="91"/>
  <c r="A2" i="91"/>
  <c r="A1" i="91"/>
  <c r="G2" i="91" s="1"/>
  <c r="C56" i="90"/>
  <c r="C14" i="90"/>
  <c r="C13" i="90"/>
  <c r="C12" i="90"/>
  <c r="C11" i="90"/>
  <c r="A3" i="90"/>
  <c r="A2" i="90"/>
  <c r="B3" i="89"/>
  <c r="B2" i="89"/>
  <c r="B3" i="88"/>
  <c r="B2" i="88"/>
  <c r="V103" i="87"/>
  <c r="K20" i="87"/>
  <c r="J20" i="87"/>
  <c r="L19" i="87"/>
  <c r="K19" i="87"/>
  <c r="I19" i="87"/>
  <c r="M7" i="87"/>
  <c r="B6" i="87"/>
  <c r="B4" i="87"/>
  <c r="B3" i="87"/>
  <c r="E66" i="86"/>
  <c r="E61" i="86"/>
  <c r="E38" i="86"/>
  <c r="E20" i="86"/>
  <c r="E15" i="86"/>
  <c r="A5" i="86"/>
  <c r="A3" i="86"/>
  <c r="A2" i="86"/>
  <c r="G2" i="86"/>
  <c r="A3" i="85"/>
  <c r="A2" i="85"/>
  <c r="B1034" i="94"/>
  <c r="B856" i="94"/>
  <c r="B828" i="94"/>
  <c r="B686" i="94"/>
  <c r="B487" i="94"/>
  <c r="B368" i="94"/>
  <c r="B728" i="94"/>
  <c r="B270" i="94"/>
  <c r="B814" i="94"/>
  <c r="B227" i="94"/>
  <c r="B57" i="94"/>
  <c r="B410" i="94"/>
  <c r="B439" i="94"/>
  <c r="B471" i="94"/>
  <c r="B241" i="94"/>
  <c r="B531" i="94"/>
  <c r="S22" i="74"/>
  <c r="E43" i="94"/>
  <c r="I43" i="94"/>
  <c r="V103" i="84"/>
  <c r="K20" i="84"/>
  <c r="K134" i="94" s="1"/>
  <c r="J20" i="84"/>
  <c r="J134" i="94" s="1"/>
  <c r="L19" i="84"/>
  <c r="L120" i="94" s="1"/>
  <c r="K19" i="84"/>
  <c r="K120" i="94" s="1"/>
  <c r="I19" i="84"/>
  <c r="I120" i="94" s="1"/>
  <c r="L48" i="94"/>
  <c r="K48" i="94"/>
  <c r="J48" i="94"/>
  <c r="I48" i="94"/>
  <c r="H48" i="94"/>
  <c r="G48" i="94"/>
  <c r="E48" i="94"/>
  <c r="M7" i="84"/>
  <c r="B6" i="84"/>
  <c r="B4" i="84"/>
  <c r="B3" i="84"/>
  <c r="B2" i="84"/>
  <c r="B935" i="94" s="1"/>
  <c r="E66" i="83"/>
  <c r="E61" i="83"/>
  <c r="E38" i="83"/>
  <c r="E20" i="83"/>
  <c r="E15" i="83"/>
  <c r="A5" i="83"/>
  <c r="A3" i="83"/>
  <c r="A2" i="83"/>
  <c r="A1" i="83"/>
  <c r="G2" i="83" s="1"/>
  <c r="I8" i="83" s="1"/>
  <c r="O15" i="101" s="1"/>
  <c r="C56" i="82"/>
  <c r="C14" i="82"/>
  <c r="C13" i="82"/>
  <c r="C12" i="82"/>
  <c r="C11" i="82"/>
  <c r="A3" i="82"/>
  <c r="A2" i="82"/>
  <c r="F48" i="94"/>
  <c r="M43" i="94"/>
  <c r="M48" i="94"/>
  <c r="L21" i="73"/>
  <c r="A23" i="81"/>
  <c r="M21" i="73"/>
  <c r="P21" i="73"/>
  <c r="O21" i="73"/>
  <c r="N21" i="73"/>
  <c r="C20" i="86"/>
  <c r="C20" i="91"/>
  <c r="C54" i="91"/>
  <c r="C54" i="86"/>
  <c r="C15" i="86"/>
  <c r="C15" i="91"/>
  <c r="B3" i="58"/>
  <c r="U103" i="14"/>
  <c r="S11" i="74" s="1"/>
  <c r="B2" i="14"/>
  <c r="A12" i="57" s="1"/>
  <c r="A1" i="2"/>
  <c r="G2" i="2" s="1"/>
  <c r="I8" i="2" s="1"/>
  <c r="O10" i="101" s="1"/>
  <c r="P15" i="73"/>
  <c r="O15" i="73"/>
  <c r="N15" i="73"/>
  <c r="M15" i="73"/>
  <c r="L15" i="73"/>
  <c r="K15" i="73"/>
  <c r="J15" i="73"/>
  <c r="I15" i="73"/>
  <c r="H15" i="73"/>
  <c r="G15" i="73"/>
  <c r="P16" i="73"/>
  <c r="O16" i="73"/>
  <c r="N16" i="73"/>
  <c r="M16" i="73"/>
  <c r="L16" i="73"/>
  <c r="K16" i="73"/>
  <c r="J16" i="73"/>
  <c r="I16" i="73"/>
  <c r="H16" i="73"/>
  <c r="G16" i="73"/>
  <c r="E25" i="80"/>
  <c r="C25" i="80"/>
  <c r="E19" i="80"/>
  <c r="E18" i="80"/>
  <c r="E17" i="80"/>
  <c r="E16" i="80"/>
  <c r="E15" i="80"/>
  <c r="E14" i="80"/>
  <c r="E13" i="80"/>
  <c r="E12" i="80"/>
  <c r="E11" i="80"/>
  <c r="O20" i="65"/>
  <c r="O24" i="65"/>
  <c r="M20" i="65"/>
  <c r="M24" i="65"/>
  <c r="E66" i="51"/>
  <c r="E61" i="51"/>
  <c r="E38" i="51"/>
  <c r="E20" i="51"/>
  <c r="E15" i="51"/>
  <c r="E66" i="46"/>
  <c r="E61" i="46"/>
  <c r="E38" i="46"/>
  <c r="E20" i="46"/>
  <c r="E15" i="46"/>
  <c r="E66" i="41"/>
  <c r="E61" i="41"/>
  <c r="E38" i="41"/>
  <c r="E20" i="41"/>
  <c r="E15" i="41"/>
  <c r="E66" i="36"/>
  <c r="E61" i="36"/>
  <c r="E38" i="36"/>
  <c r="E20" i="36"/>
  <c r="E15" i="36"/>
  <c r="E66" i="31"/>
  <c r="E61" i="31"/>
  <c r="E38" i="31"/>
  <c r="E20" i="31"/>
  <c r="E15" i="31"/>
  <c r="E66" i="26"/>
  <c r="E61" i="26"/>
  <c r="E38" i="26"/>
  <c r="E20" i="26"/>
  <c r="E15" i="26"/>
  <c r="E66" i="21"/>
  <c r="E61" i="21"/>
  <c r="E38" i="21"/>
  <c r="E20" i="21"/>
  <c r="E15" i="21"/>
  <c r="E66" i="16"/>
  <c r="E61" i="16"/>
  <c r="E38" i="16"/>
  <c r="E20" i="16"/>
  <c r="E15" i="16"/>
  <c r="E66" i="2"/>
  <c r="E61" i="2"/>
  <c r="E38" i="2"/>
  <c r="E20" i="2"/>
  <c r="E15" i="2"/>
  <c r="F25" i="70"/>
  <c r="E79" i="57"/>
  <c r="E74" i="57"/>
  <c r="E51" i="57"/>
  <c r="E33" i="57"/>
  <c r="E28" i="57"/>
  <c r="U103" i="62"/>
  <c r="J18" i="78" s="1"/>
  <c r="U103" i="47"/>
  <c r="U103" i="42"/>
  <c r="U103" i="37"/>
  <c r="U103" i="32"/>
  <c r="AF15" i="100" s="1"/>
  <c r="U103" i="27"/>
  <c r="S14" i="74" s="1"/>
  <c r="U103" i="22"/>
  <c r="U103" i="17"/>
  <c r="M105" i="47"/>
  <c r="M105" i="42"/>
  <c r="M105" i="37"/>
  <c r="L112" i="37" s="1"/>
  <c r="M105" i="32"/>
  <c r="M105" i="27"/>
  <c r="L112" i="27" s="1"/>
  <c r="M105" i="22"/>
  <c r="M105" i="17"/>
  <c r="M105" i="14"/>
  <c r="L112" i="14" s="1"/>
  <c r="D11" i="74"/>
  <c r="D14" i="74"/>
  <c r="D15" i="74"/>
  <c r="D13" i="74"/>
  <c r="D16" i="74"/>
  <c r="D12" i="74"/>
  <c r="D18" i="74"/>
  <c r="D19" i="74"/>
  <c r="D17" i="74"/>
  <c r="D11" i="73"/>
  <c r="D14" i="73"/>
  <c r="D15" i="73"/>
  <c r="D13" i="73"/>
  <c r="D16" i="73"/>
  <c r="D12" i="73"/>
  <c r="D18" i="73"/>
  <c r="D19" i="73"/>
  <c r="D17" i="73"/>
  <c r="B90" i="65"/>
  <c r="R103" i="62"/>
  <c r="P103" i="62"/>
  <c r="T19" i="73" s="1"/>
  <c r="J990" i="94"/>
  <c r="J97" i="22"/>
  <c r="J982" i="94" s="1"/>
  <c r="J97" i="27"/>
  <c r="J983" i="94" s="1"/>
  <c r="J97" i="17"/>
  <c r="J984" i="94" s="1"/>
  <c r="J97" i="32"/>
  <c r="J985" i="94" s="1"/>
  <c r="J97" i="14"/>
  <c r="J987" i="94" s="1"/>
  <c r="J97" i="42"/>
  <c r="J988" i="94" s="1"/>
  <c r="J97" i="37"/>
  <c r="J989" i="94" s="1"/>
  <c r="J97" i="47"/>
  <c r="J993" i="94" s="1"/>
  <c r="L976" i="94"/>
  <c r="F96" i="22"/>
  <c r="F968" i="94" s="1"/>
  <c r="F96" i="27"/>
  <c r="F969" i="94" s="1"/>
  <c r="F96" i="17"/>
  <c r="F970" i="94" s="1"/>
  <c r="F96" i="32"/>
  <c r="F971" i="94" s="1"/>
  <c r="F96" i="14"/>
  <c r="F973" i="94" s="1"/>
  <c r="F96" i="42"/>
  <c r="F974" i="94" s="1"/>
  <c r="F96" i="37"/>
  <c r="F96" i="47"/>
  <c r="L962" i="94"/>
  <c r="K95" i="22"/>
  <c r="K954" i="94" s="1"/>
  <c r="K95" i="27"/>
  <c r="K955" i="94" s="1"/>
  <c r="K95" i="17"/>
  <c r="K956" i="94" s="1"/>
  <c r="K95" i="32"/>
  <c r="K957" i="94" s="1"/>
  <c r="K95" i="14"/>
  <c r="K959" i="94" s="1"/>
  <c r="K95" i="42"/>
  <c r="K960" i="94" s="1"/>
  <c r="K95" i="37"/>
  <c r="K961" i="94"/>
  <c r="K95" i="47"/>
  <c r="I95" i="22"/>
  <c r="I954" i="94" s="1"/>
  <c r="I95" i="27"/>
  <c r="I955" i="94" s="1"/>
  <c r="I95" i="17"/>
  <c r="I956" i="94" s="1"/>
  <c r="I95" i="32"/>
  <c r="I957" i="94" s="1"/>
  <c r="I95" i="14"/>
  <c r="I959" i="94" s="1"/>
  <c r="I95" i="42"/>
  <c r="I960" i="94" s="1"/>
  <c r="I95" i="37"/>
  <c r="I961" i="94" s="1"/>
  <c r="I95" i="47"/>
  <c r="I965" i="94" s="1"/>
  <c r="E962" i="94"/>
  <c r="J94" i="22"/>
  <c r="J940" i="94" s="1"/>
  <c r="J94" i="27"/>
  <c r="J941" i="94" s="1"/>
  <c r="J94" i="17"/>
  <c r="J942" i="94" s="1"/>
  <c r="J94" i="32"/>
  <c r="J943" i="94" s="1"/>
  <c r="J94" i="14"/>
  <c r="J945" i="94" s="1"/>
  <c r="J94" i="42"/>
  <c r="J946" i="94" s="1"/>
  <c r="J94" i="37"/>
  <c r="J947" i="94" s="1"/>
  <c r="J94" i="47"/>
  <c r="J951" i="94" s="1"/>
  <c r="F94" i="22"/>
  <c r="F940" i="94" s="1"/>
  <c r="F94" i="27"/>
  <c r="F941" i="94" s="1"/>
  <c r="F94" i="17"/>
  <c r="F942" i="94" s="1"/>
  <c r="F94" i="32"/>
  <c r="F943" i="94" s="1"/>
  <c r="F94" i="14"/>
  <c r="F945" i="94" s="1"/>
  <c r="F94" i="42"/>
  <c r="F94" i="37"/>
  <c r="F94" i="47"/>
  <c r="F951" i="94" s="1"/>
  <c r="E948" i="94"/>
  <c r="E934" i="94"/>
  <c r="K876" i="94"/>
  <c r="D876" i="94"/>
  <c r="K846" i="94"/>
  <c r="G846" i="94"/>
  <c r="D846" i="94"/>
  <c r="G832" i="94"/>
  <c r="D832" i="94"/>
  <c r="F81" i="22"/>
  <c r="F810" i="94" s="1"/>
  <c r="F81" i="27"/>
  <c r="F811" i="94" s="1"/>
  <c r="F81" i="17"/>
  <c r="F81" i="32"/>
  <c r="F813" i="94" s="1"/>
  <c r="F81" i="14"/>
  <c r="F815" i="94" s="1"/>
  <c r="F81" i="42"/>
  <c r="F816" i="94" s="1"/>
  <c r="F81" i="37"/>
  <c r="F817" i="94" s="1"/>
  <c r="F81" i="47"/>
  <c r="I774" i="94"/>
  <c r="I76" i="22"/>
  <c r="I76" i="27"/>
  <c r="I767" i="94" s="1"/>
  <c r="I76" i="17"/>
  <c r="I768" i="94" s="1"/>
  <c r="I76" i="32"/>
  <c r="I769" i="94" s="1"/>
  <c r="I76" i="14"/>
  <c r="I771" i="94" s="1"/>
  <c r="I76" i="42"/>
  <c r="I772" i="94" s="1"/>
  <c r="I76" i="37"/>
  <c r="I773" i="94" s="1"/>
  <c r="I76" i="47"/>
  <c r="J760" i="94"/>
  <c r="F760" i="94"/>
  <c r="L746" i="94"/>
  <c r="L732" i="94"/>
  <c r="E732" i="94"/>
  <c r="L72" i="22"/>
  <c r="L710" i="94" s="1"/>
  <c r="L72" i="27"/>
  <c r="L711" i="94" s="1"/>
  <c r="L72" i="17"/>
  <c r="L712" i="94" s="1"/>
  <c r="L72" i="32"/>
  <c r="L713" i="94" s="1"/>
  <c r="L72" i="14"/>
  <c r="L715" i="94" s="1"/>
  <c r="L72" i="42"/>
  <c r="L716" i="94" s="1"/>
  <c r="L72" i="37"/>
  <c r="L717" i="94" s="1"/>
  <c r="L72" i="47"/>
  <c r="L721" i="94"/>
  <c r="J72" i="22"/>
  <c r="J710" i="94" s="1"/>
  <c r="J72" i="27"/>
  <c r="J711" i="94" s="1"/>
  <c r="J72" i="17"/>
  <c r="J72" i="32"/>
  <c r="J713" i="94" s="1"/>
  <c r="J72" i="14"/>
  <c r="J715" i="94" s="1"/>
  <c r="J72" i="42"/>
  <c r="J72" i="37"/>
  <c r="J717" i="94" s="1"/>
  <c r="J72" i="47"/>
  <c r="J721" i="94" s="1"/>
  <c r="D72" i="22"/>
  <c r="D710" i="94" s="1"/>
  <c r="D72" i="27"/>
  <c r="D711" i="94" s="1"/>
  <c r="D72" i="17"/>
  <c r="D712" i="94" s="1"/>
  <c r="D72" i="32"/>
  <c r="D713" i="94" s="1"/>
  <c r="D72" i="14"/>
  <c r="D72" i="42"/>
  <c r="D716" i="94" s="1"/>
  <c r="D72" i="37"/>
  <c r="D72" i="47"/>
  <c r="H704" i="94"/>
  <c r="E704" i="94"/>
  <c r="K690" i="94"/>
  <c r="K676" i="94"/>
  <c r="I69" i="22"/>
  <c r="I668" i="94"/>
  <c r="I69" i="27"/>
  <c r="I669" i="94" s="1"/>
  <c r="I69" i="17"/>
  <c r="I670" i="94" s="1"/>
  <c r="I69" i="32"/>
  <c r="I671" i="94" s="1"/>
  <c r="I69" i="14"/>
  <c r="I673" i="94" s="1"/>
  <c r="I69" i="42"/>
  <c r="I674" i="94" s="1"/>
  <c r="I69" i="37"/>
  <c r="I69" i="47"/>
  <c r="I679" i="94" s="1"/>
  <c r="G69" i="22"/>
  <c r="G668" i="94" s="1"/>
  <c r="G69" i="27"/>
  <c r="G69" i="17"/>
  <c r="G670" i="94" s="1"/>
  <c r="G69" i="32"/>
  <c r="G671" i="94" s="1"/>
  <c r="G69" i="14"/>
  <c r="G673" i="94" s="1"/>
  <c r="G69" i="42"/>
  <c r="G674" i="94" s="1"/>
  <c r="G69" i="37"/>
  <c r="G675" i="94" s="1"/>
  <c r="G69" i="47"/>
  <c r="G679" i="94" s="1"/>
  <c r="D676" i="94"/>
  <c r="K662" i="94"/>
  <c r="G662" i="94"/>
  <c r="D662" i="94"/>
  <c r="G648" i="94"/>
  <c r="D648" i="94"/>
  <c r="J563" i="94"/>
  <c r="F555" i="94"/>
  <c r="F558" i="94"/>
  <c r="F560" i="94"/>
  <c r="F561" i="94"/>
  <c r="F562" i="94"/>
  <c r="L549" i="94"/>
  <c r="F544" i="94"/>
  <c r="F547" i="94"/>
  <c r="F548" i="94"/>
  <c r="L535" i="94"/>
  <c r="I530" i="94"/>
  <c r="L521" i="94"/>
  <c r="F517" i="94"/>
  <c r="F518" i="94"/>
  <c r="F519" i="94"/>
  <c r="F522" i="94"/>
  <c r="E521" i="94"/>
  <c r="D520" i="94"/>
  <c r="H506" i="94"/>
  <c r="F499" i="94"/>
  <c r="F502" i="94"/>
  <c r="F508" i="94"/>
  <c r="E507" i="94"/>
  <c r="K475" i="94"/>
  <c r="L459" i="94"/>
  <c r="F451" i="94"/>
  <c r="F458" i="94"/>
  <c r="F460" i="94"/>
  <c r="K408" i="94"/>
  <c r="K412" i="94"/>
  <c r="K413" i="94"/>
  <c r="I407" i="94"/>
  <c r="I408" i="94"/>
  <c r="I411" i="94"/>
  <c r="H409" i="94"/>
  <c r="H415" i="94"/>
  <c r="H417" i="94"/>
  <c r="F406" i="94"/>
  <c r="E414" i="94"/>
  <c r="E409" i="94"/>
  <c r="E413" i="94"/>
  <c r="D409" i="94"/>
  <c r="D411" i="94"/>
  <c r="D412" i="94"/>
  <c r="K398" i="94"/>
  <c r="K399" i="94"/>
  <c r="K403" i="94"/>
  <c r="E400" i="94"/>
  <c r="E392" i="94"/>
  <c r="L384" i="94"/>
  <c r="L385" i="94"/>
  <c r="L389" i="94"/>
  <c r="I381" i="94"/>
  <c r="I384" i="94"/>
  <c r="F378" i="94"/>
  <c r="L365" i="94"/>
  <c r="F365" i="94"/>
  <c r="F370" i="94"/>
  <c r="F371" i="94"/>
  <c r="L353" i="94"/>
  <c r="L361" i="94"/>
  <c r="D358" i="94"/>
  <c r="G344" i="94"/>
  <c r="D344" i="94"/>
  <c r="G330" i="94"/>
  <c r="L34" i="22"/>
  <c r="L308" i="94" s="1"/>
  <c r="L34" i="27"/>
  <c r="L309" i="94" s="1"/>
  <c r="L34" i="17"/>
  <c r="L310" i="94" s="1"/>
  <c r="L34" i="32"/>
  <c r="L311" i="94" s="1"/>
  <c r="L34" i="14"/>
  <c r="L313" i="94" s="1"/>
  <c r="L34" i="42"/>
  <c r="L314" i="94" s="1"/>
  <c r="L34" i="37"/>
  <c r="L315" i="94" s="1"/>
  <c r="L34" i="47"/>
  <c r="L319" i="94" s="1"/>
  <c r="K34" i="22"/>
  <c r="K34" i="27"/>
  <c r="K309" i="94" s="1"/>
  <c r="K34" i="17"/>
  <c r="K310" i="94" s="1"/>
  <c r="K34" i="32"/>
  <c r="K311" i="94" s="1"/>
  <c r="K34" i="14"/>
  <c r="K313" i="94" s="1"/>
  <c r="K34" i="42"/>
  <c r="K314" i="94" s="1"/>
  <c r="K34" i="37"/>
  <c r="K315" i="94" s="1"/>
  <c r="K34" i="47"/>
  <c r="K319" i="94" s="1"/>
  <c r="K32" i="22"/>
  <c r="K32" i="27"/>
  <c r="K281" i="94" s="1"/>
  <c r="K32" i="17"/>
  <c r="K282" i="94" s="1"/>
  <c r="K32" i="32"/>
  <c r="K283" i="94" s="1"/>
  <c r="K32" i="14"/>
  <c r="K285" i="94" s="1"/>
  <c r="K32" i="42"/>
  <c r="K32" i="37"/>
  <c r="K287" i="94" s="1"/>
  <c r="K32" i="47"/>
  <c r="K291" i="94" s="1"/>
  <c r="F288" i="94"/>
  <c r="L240" i="94"/>
  <c r="L244" i="94"/>
  <c r="K245" i="94"/>
  <c r="G245" i="94"/>
  <c r="F237" i="94"/>
  <c r="F242" i="94"/>
  <c r="F248" i="94"/>
  <c r="D245" i="94"/>
  <c r="G231" i="94"/>
  <c r="E225" i="94"/>
  <c r="E230" i="94"/>
  <c r="D231" i="94"/>
  <c r="H210" i="94"/>
  <c r="H212" i="94"/>
  <c r="E217" i="94"/>
  <c r="F189" i="94"/>
  <c r="J175" i="94"/>
  <c r="F175" i="94"/>
  <c r="L161" i="94"/>
  <c r="I22" i="22"/>
  <c r="I153" i="94" s="1"/>
  <c r="I22" i="27"/>
  <c r="I154" i="94" s="1"/>
  <c r="I22" i="17"/>
  <c r="I155" i="94" s="1"/>
  <c r="I22" i="32"/>
  <c r="I156" i="94" s="1"/>
  <c r="I22" i="14"/>
  <c r="I158" i="94" s="1"/>
  <c r="I22" i="42"/>
  <c r="I159" i="94" s="1"/>
  <c r="I22" i="37"/>
  <c r="I22" i="47"/>
  <c r="I164" i="94" s="1"/>
  <c r="L147" i="94"/>
  <c r="E147" i="94"/>
  <c r="E133" i="94"/>
  <c r="D20" i="22"/>
  <c r="D125" i="94" s="1"/>
  <c r="D20" i="27"/>
  <c r="D126" i="94" s="1"/>
  <c r="D20" i="17"/>
  <c r="D127" i="94" s="1"/>
  <c r="D20" i="32"/>
  <c r="D128" i="94" s="1"/>
  <c r="D20" i="14"/>
  <c r="D130" i="94" s="1"/>
  <c r="D20" i="42"/>
  <c r="D131" i="94" s="1"/>
  <c r="D20" i="37"/>
  <c r="D132" i="94" s="1"/>
  <c r="D20" i="47"/>
  <c r="H119" i="94"/>
  <c r="E119" i="94"/>
  <c r="H67" i="94"/>
  <c r="H68" i="94"/>
  <c r="H69" i="94"/>
  <c r="H78" i="94"/>
  <c r="F70" i="94"/>
  <c r="F71" i="94"/>
  <c r="F73" i="94"/>
  <c r="D67" i="94"/>
  <c r="D69" i="94"/>
  <c r="D73" i="94"/>
  <c r="D74" i="94"/>
  <c r="L59" i="94"/>
  <c r="E53" i="94"/>
  <c r="D47" i="94"/>
  <c r="G33" i="94"/>
  <c r="F29" i="94"/>
  <c r="F31" i="94"/>
  <c r="D33" i="94"/>
  <c r="D28" i="94"/>
  <c r="D30" i="94"/>
  <c r="D32" i="94"/>
  <c r="K19" i="94"/>
  <c r="I12" i="94"/>
  <c r="I13" i="94"/>
  <c r="F11" i="94"/>
  <c r="F18" i="94"/>
  <c r="F20" i="94"/>
  <c r="D19" i="94"/>
  <c r="V103" i="62"/>
  <c r="K20" i="62"/>
  <c r="K133" i="94" s="1"/>
  <c r="J20" i="62"/>
  <c r="J133" i="94" s="1"/>
  <c r="L19" i="62"/>
  <c r="K19" i="62"/>
  <c r="K119" i="94" s="1"/>
  <c r="I19" i="62"/>
  <c r="I119" i="94" s="1"/>
  <c r="L47" i="94"/>
  <c r="K47" i="94"/>
  <c r="J47" i="94"/>
  <c r="I47" i="94"/>
  <c r="H47" i="94"/>
  <c r="G47" i="94"/>
  <c r="F47" i="94"/>
  <c r="E47" i="94"/>
  <c r="R103" i="47"/>
  <c r="Z18" i="97" s="1"/>
  <c r="P103" i="47"/>
  <c r="Q18" i="74" s="1"/>
  <c r="L97" i="47"/>
  <c r="L993" i="94" s="1"/>
  <c r="K97" i="47"/>
  <c r="K993" i="94" s="1"/>
  <c r="I97" i="47"/>
  <c r="I993" i="94" s="1"/>
  <c r="H97" i="47"/>
  <c r="H993" i="94" s="1"/>
  <c r="G97" i="47"/>
  <c r="G993" i="94" s="1"/>
  <c r="F97" i="47"/>
  <c r="E97" i="47"/>
  <c r="E993" i="94" s="1"/>
  <c r="D97" i="47"/>
  <c r="L96" i="47"/>
  <c r="L979" i="94" s="1"/>
  <c r="K96" i="47"/>
  <c r="K979" i="94" s="1"/>
  <c r="J96" i="47"/>
  <c r="J979" i="94" s="1"/>
  <c r="I96" i="47"/>
  <c r="I979" i="94" s="1"/>
  <c r="H96" i="47"/>
  <c r="H979" i="94" s="1"/>
  <c r="G96" i="47"/>
  <c r="G979" i="94" s="1"/>
  <c r="E96" i="47"/>
  <c r="E979" i="94" s="1"/>
  <c r="D96" i="47"/>
  <c r="D979" i="94" s="1"/>
  <c r="L95" i="47"/>
  <c r="L965" i="94" s="1"/>
  <c r="J95" i="47"/>
  <c r="J965" i="94" s="1"/>
  <c r="H95" i="47"/>
  <c r="H965" i="94" s="1"/>
  <c r="G95" i="47"/>
  <c r="F95" i="47"/>
  <c r="F965" i="94" s="1"/>
  <c r="E95" i="47"/>
  <c r="E965" i="94" s="1"/>
  <c r="D95" i="47"/>
  <c r="D965" i="94" s="1"/>
  <c r="L94" i="47"/>
  <c r="L951" i="94" s="1"/>
  <c r="K94" i="47"/>
  <c r="K951" i="94" s="1"/>
  <c r="I94" i="47"/>
  <c r="I951" i="94" s="1"/>
  <c r="H94" i="47"/>
  <c r="H951" i="94" s="1"/>
  <c r="G94" i="47"/>
  <c r="G951" i="94" s="1"/>
  <c r="E94" i="47"/>
  <c r="E951" i="94" s="1"/>
  <c r="D94" i="47"/>
  <c r="L93" i="47"/>
  <c r="L937" i="94" s="1"/>
  <c r="K93" i="47"/>
  <c r="K937" i="94" s="1"/>
  <c r="J93" i="47"/>
  <c r="J937" i="94"/>
  <c r="I93" i="47"/>
  <c r="I937" i="94" s="1"/>
  <c r="H93" i="47"/>
  <c r="H937" i="94" s="1"/>
  <c r="G93" i="47"/>
  <c r="F93" i="47"/>
  <c r="F937" i="94" s="1"/>
  <c r="E93" i="47"/>
  <c r="D93" i="47"/>
  <c r="D937" i="94" s="1"/>
  <c r="L88" i="47"/>
  <c r="K88" i="47"/>
  <c r="J88" i="47"/>
  <c r="I88" i="47"/>
  <c r="I893" i="94" s="1"/>
  <c r="H88" i="47"/>
  <c r="G88" i="47"/>
  <c r="F88" i="47"/>
  <c r="E88" i="47"/>
  <c r="E893" i="94" s="1"/>
  <c r="D88" i="47"/>
  <c r="D893" i="94" s="1"/>
  <c r="S87" i="47"/>
  <c r="B21" i="48" s="1"/>
  <c r="L87" i="47"/>
  <c r="K87" i="47"/>
  <c r="K879" i="94" s="1"/>
  <c r="J87" i="47"/>
  <c r="J879" i="94" s="1"/>
  <c r="I87" i="47"/>
  <c r="H87" i="47"/>
  <c r="H879" i="94" s="1"/>
  <c r="G87" i="47"/>
  <c r="F87" i="47"/>
  <c r="E87" i="47"/>
  <c r="E879" i="94" s="1"/>
  <c r="D87" i="47"/>
  <c r="S84" i="47"/>
  <c r="B17" i="48" s="1"/>
  <c r="L83" i="47"/>
  <c r="L849" i="94" s="1"/>
  <c r="K83" i="47"/>
  <c r="K849" i="94" s="1"/>
  <c r="J83" i="47"/>
  <c r="J849" i="94" s="1"/>
  <c r="I83" i="47"/>
  <c r="H83" i="47"/>
  <c r="H849" i="94" s="1"/>
  <c r="G83" i="47"/>
  <c r="F83" i="47"/>
  <c r="E83" i="47"/>
  <c r="E849" i="94" s="1"/>
  <c r="D83" i="47"/>
  <c r="D849" i="94" s="1"/>
  <c r="L82" i="47"/>
  <c r="L835" i="94" s="1"/>
  <c r="K82" i="47"/>
  <c r="K835" i="94" s="1"/>
  <c r="J82" i="47"/>
  <c r="I82" i="47"/>
  <c r="I835" i="94" s="1"/>
  <c r="H82" i="47"/>
  <c r="G82" i="47"/>
  <c r="G835" i="94" s="1"/>
  <c r="F82" i="47"/>
  <c r="D59" i="46" s="1"/>
  <c r="E82" i="47"/>
  <c r="E835" i="94" s="1"/>
  <c r="D82" i="47"/>
  <c r="D835" i="94" s="1"/>
  <c r="L81" i="47"/>
  <c r="K81" i="47"/>
  <c r="J81" i="47"/>
  <c r="J821" i="94" s="1"/>
  <c r="I81" i="47"/>
  <c r="I821" i="94" s="1"/>
  <c r="H81" i="47"/>
  <c r="H821" i="94" s="1"/>
  <c r="G81" i="47"/>
  <c r="G821" i="94" s="1"/>
  <c r="E81" i="47"/>
  <c r="D81" i="47"/>
  <c r="D821" i="94" s="1"/>
  <c r="L80" i="47"/>
  <c r="K80" i="47"/>
  <c r="K807" i="94" s="1"/>
  <c r="J80" i="47"/>
  <c r="I80" i="47"/>
  <c r="I807" i="94" s="1"/>
  <c r="H80" i="47"/>
  <c r="H807" i="94" s="1"/>
  <c r="G80" i="47"/>
  <c r="G807" i="94" s="1"/>
  <c r="F80" i="47"/>
  <c r="E80" i="47"/>
  <c r="D80" i="47"/>
  <c r="S77" i="47"/>
  <c r="S76" i="47"/>
  <c r="L76" i="47"/>
  <c r="L777" i="94" s="1"/>
  <c r="K76" i="47"/>
  <c r="K777" i="94" s="1"/>
  <c r="J76" i="47"/>
  <c r="J777" i="94" s="1"/>
  <c r="H76" i="47"/>
  <c r="H777" i="94" s="1"/>
  <c r="G76" i="47"/>
  <c r="G777" i="94" s="1"/>
  <c r="F76" i="47"/>
  <c r="E76" i="47"/>
  <c r="E777" i="94" s="1"/>
  <c r="D76" i="47"/>
  <c r="L75" i="47"/>
  <c r="L763" i="94" s="1"/>
  <c r="K75" i="47"/>
  <c r="J75" i="47"/>
  <c r="J763" i="94" s="1"/>
  <c r="I75" i="47"/>
  <c r="I763" i="94" s="1"/>
  <c r="H75" i="47"/>
  <c r="G75" i="47"/>
  <c r="G763" i="94" s="1"/>
  <c r="F75" i="47"/>
  <c r="E75" i="47"/>
  <c r="E763" i="94" s="1"/>
  <c r="D75" i="47"/>
  <c r="D763" i="94" s="1"/>
  <c r="X74" i="47"/>
  <c r="P74" i="47"/>
  <c r="L74" i="47"/>
  <c r="L749" i="94" s="1"/>
  <c r="K74" i="47"/>
  <c r="K749" i="94" s="1"/>
  <c r="J74" i="47"/>
  <c r="I74" i="47"/>
  <c r="I749" i="94" s="1"/>
  <c r="H74" i="47"/>
  <c r="H749" i="94" s="1"/>
  <c r="G74" i="47"/>
  <c r="G749" i="94" s="1"/>
  <c r="F74" i="47"/>
  <c r="E74" i="47"/>
  <c r="E749" i="94" s="1"/>
  <c r="D74" i="47"/>
  <c r="D749" i="94" s="1"/>
  <c r="X73" i="47"/>
  <c r="R73" i="47"/>
  <c r="Q73" i="47"/>
  <c r="P73" i="47"/>
  <c r="L73" i="47"/>
  <c r="L735" i="94" s="1"/>
  <c r="K73" i="47"/>
  <c r="K735" i="94" s="1"/>
  <c r="J73" i="47"/>
  <c r="J735" i="94" s="1"/>
  <c r="I73" i="47"/>
  <c r="I735" i="94" s="1"/>
  <c r="H73" i="47"/>
  <c r="G73" i="47"/>
  <c r="F73" i="47"/>
  <c r="M73" i="47" s="1"/>
  <c r="B50" i="46" s="1"/>
  <c r="E73" i="47"/>
  <c r="E735" i="94" s="1"/>
  <c r="D73" i="47"/>
  <c r="X72" i="47"/>
  <c r="R72" i="47"/>
  <c r="Q72" i="47"/>
  <c r="P72" i="47"/>
  <c r="K72" i="47"/>
  <c r="K721" i="94" s="1"/>
  <c r="I72" i="47"/>
  <c r="I721" i="94" s="1"/>
  <c r="H72" i="47"/>
  <c r="G72" i="47"/>
  <c r="F72" i="47"/>
  <c r="F721" i="94" s="1"/>
  <c r="E72" i="47"/>
  <c r="E721" i="94" s="1"/>
  <c r="X71" i="47"/>
  <c r="R71" i="47"/>
  <c r="Q71" i="47"/>
  <c r="P71" i="47"/>
  <c r="L71" i="47"/>
  <c r="L707" i="94" s="1"/>
  <c r="K71" i="47"/>
  <c r="K707" i="94" s="1"/>
  <c r="J71" i="47"/>
  <c r="J707" i="94" s="1"/>
  <c r="I71" i="47"/>
  <c r="I707" i="94" s="1"/>
  <c r="H71" i="47"/>
  <c r="G71" i="47"/>
  <c r="G707" i="94" s="1"/>
  <c r="F71" i="47"/>
  <c r="E71" i="47"/>
  <c r="E707" i="94" s="1"/>
  <c r="D71" i="47"/>
  <c r="X70" i="47"/>
  <c r="R70" i="47"/>
  <c r="Q70" i="47"/>
  <c r="P70" i="47"/>
  <c r="L70" i="47"/>
  <c r="L693" i="94" s="1"/>
  <c r="K70" i="47"/>
  <c r="K693" i="94" s="1"/>
  <c r="J70" i="47"/>
  <c r="I70" i="47"/>
  <c r="I693" i="94" s="1"/>
  <c r="H70" i="47"/>
  <c r="H693" i="94" s="1"/>
  <c r="G70" i="47"/>
  <c r="F70" i="47"/>
  <c r="F693" i="94" s="1"/>
  <c r="E70" i="47"/>
  <c r="D70" i="47"/>
  <c r="D693" i="94" s="1"/>
  <c r="X69" i="47"/>
  <c r="R69" i="47"/>
  <c r="Q69" i="47"/>
  <c r="P69" i="47"/>
  <c r="L69" i="47"/>
  <c r="L679" i="94" s="1"/>
  <c r="K69" i="47"/>
  <c r="K679" i="94" s="1"/>
  <c r="J69" i="47"/>
  <c r="J679" i="94" s="1"/>
  <c r="H69" i="47"/>
  <c r="H679" i="94" s="1"/>
  <c r="F69" i="47"/>
  <c r="D46" i="46" s="1"/>
  <c r="E69" i="47"/>
  <c r="O69" i="47" s="1"/>
  <c r="S69" i="47" s="1"/>
  <c r="D69" i="47"/>
  <c r="X68" i="47"/>
  <c r="R68" i="47"/>
  <c r="Q68" i="47"/>
  <c r="P68" i="47"/>
  <c r="E16" i="95" s="1"/>
  <c r="L68" i="47"/>
  <c r="L665" i="94" s="1"/>
  <c r="K68" i="47"/>
  <c r="K665" i="94" s="1"/>
  <c r="J68" i="47"/>
  <c r="J665" i="94" s="1"/>
  <c r="I68" i="47"/>
  <c r="I665" i="94" s="1"/>
  <c r="H68" i="47"/>
  <c r="G68" i="47"/>
  <c r="F68" i="47"/>
  <c r="F665" i="94" s="1"/>
  <c r="E68" i="47"/>
  <c r="E665" i="94" s="1"/>
  <c r="D68" i="47"/>
  <c r="D665" i="94" s="1"/>
  <c r="X67" i="47"/>
  <c r="R67" i="47"/>
  <c r="Q67" i="47"/>
  <c r="P67" i="47"/>
  <c r="L67" i="47"/>
  <c r="L651" i="94" s="1"/>
  <c r="K67" i="47"/>
  <c r="K651" i="94" s="1"/>
  <c r="J67" i="47"/>
  <c r="I67" i="47"/>
  <c r="I651" i="94" s="1"/>
  <c r="H67" i="47"/>
  <c r="G67" i="47"/>
  <c r="G651" i="94" s="1"/>
  <c r="F67" i="47"/>
  <c r="D44" i="46" s="1"/>
  <c r="E67" i="47"/>
  <c r="D67" i="47"/>
  <c r="X66" i="47"/>
  <c r="R66" i="47"/>
  <c r="Q66" i="47"/>
  <c r="P66" i="47"/>
  <c r="L66" i="47"/>
  <c r="K66" i="47"/>
  <c r="J66" i="47"/>
  <c r="J637" i="94" s="1"/>
  <c r="I66" i="47"/>
  <c r="I637" i="94" s="1"/>
  <c r="H66" i="47"/>
  <c r="H637" i="94" s="1"/>
  <c r="G66" i="47"/>
  <c r="F66" i="47"/>
  <c r="E66" i="47"/>
  <c r="D66" i="47"/>
  <c r="X65" i="47"/>
  <c r="R65" i="47"/>
  <c r="Q65" i="47"/>
  <c r="P65" i="47"/>
  <c r="L65" i="47"/>
  <c r="L623" i="94" s="1"/>
  <c r="K65" i="47"/>
  <c r="K623" i="94" s="1"/>
  <c r="J65" i="47"/>
  <c r="J623" i="94" s="1"/>
  <c r="I65" i="47"/>
  <c r="H65" i="47"/>
  <c r="G65" i="47"/>
  <c r="F65" i="47"/>
  <c r="E65" i="47"/>
  <c r="E623" i="94" s="1"/>
  <c r="D65" i="47"/>
  <c r="D623" i="94" s="1"/>
  <c r="D580" i="94"/>
  <c r="L566" i="94"/>
  <c r="K566" i="94"/>
  <c r="I566" i="94"/>
  <c r="D566" i="94"/>
  <c r="J552" i="94"/>
  <c r="G552" i="94"/>
  <c r="H524" i="94"/>
  <c r="G524" i="94"/>
  <c r="K494" i="94"/>
  <c r="J494" i="94"/>
  <c r="H494" i="94"/>
  <c r="L478" i="94"/>
  <c r="J478" i="94"/>
  <c r="I462" i="94"/>
  <c r="L417" i="94"/>
  <c r="L414" i="94"/>
  <c r="J417" i="94"/>
  <c r="L403" i="94"/>
  <c r="F403" i="94"/>
  <c r="D389" i="94"/>
  <c r="K375" i="94"/>
  <c r="G375" i="94"/>
  <c r="K361" i="94"/>
  <c r="F361" i="94"/>
  <c r="D361" i="94"/>
  <c r="E347" i="94"/>
  <c r="L35" i="47"/>
  <c r="L333" i="94" s="1"/>
  <c r="K35" i="47"/>
  <c r="K333" i="94" s="1"/>
  <c r="J35" i="47"/>
  <c r="J333" i="94" s="1"/>
  <c r="I35" i="47"/>
  <c r="I333" i="94" s="1"/>
  <c r="H35" i="47"/>
  <c r="H333" i="94" s="1"/>
  <c r="G35" i="47"/>
  <c r="G333" i="94" s="1"/>
  <c r="F35" i="47"/>
  <c r="F333" i="94" s="1"/>
  <c r="E35" i="47"/>
  <c r="D35" i="47"/>
  <c r="R34" i="47"/>
  <c r="L114" i="47" s="1"/>
  <c r="J34" i="47"/>
  <c r="J319" i="94" s="1"/>
  <c r="I34" i="47"/>
  <c r="I319" i="94" s="1"/>
  <c r="H34" i="47"/>
  <c r="H319" i="94" s="1"/>
  <c r="G34" i="47"/>
  <c r="G319" i="94" s="1"/>
  <c r="F34" i="47"/>
  <c r="E34" i="47"/>
  <c r="E319" i="94" s="1"/>
  <c r="D34" i="47"/>
  <c r="L33" i="47"/>
  <c r="L305" i="94" s="1"/>
  <c r="K33" i="47"/>
  <c r="J33" i="47"/>
  <c r="I33" i="47"/>
  <c r="H33" i="47"/>
  <c r="H305" i="94" s="1"/>
  <c r="G33" i="47"/>
  <c r="G305" i="94" s="1"/>
  <c r="F33" i="47"/>
  <c r="E33" i="47"/>
  <c r="E305" i="94" s="1"/>
  <c r="D33" i="47"/>
  <c r="D305" i="94" s="1"/>
  <c r="Q32" i="47"/>
  <c r="L113" i="47" s="1"/>
  <c r="L32" i="47"/>
  <c r="L291" i="94" s="1"/>
  <c r="J32" i="47"/>
  <c r="J291" i="94" s="1"/>
  <c r="I32" i="47"/>
  <c r="H32" i="47"/>
  <c r="H291" i="94" s="1"/>
  <c r="G32" i="47"/>
  <c r="G291" i="94" s="1"/>
  <c r="F32" i="47"/>
  <c r="E32" i="47"/>
  <c r="E291" i="94" s="1"/>
  <c r="D32" i="47"/>
  <c r="E248" i="94"/>
  <c r="K234" i="94"/>
  <c r="G234" i="94"/>
  <c r="L220" i="94"/>
  <c r="J206" i="94"/>
  <c r="I206" i="94"/>
  <c r="E178" i="94"/>
  <c r="L22" i="47"/>
  <c r="L164" i="94" s="1"/>
  <c r="K22" i="47"/>
  <c r="J22" i="47"/>
  <c r="H22" i="47"/>
  <c r="H164" i="94" s="1"/>
  <c r="G22" i="47"/>
  <c r="G164" i="94" s="1"/>
  <c r="F22" i="47"/>
  <c r="F164" i="94" s="1"/>
  <c r="E22" i="47"/>
  <c r="D22" i="47"/>
  <c r="M22" i="47" s="1"/>
  <c r="L21" i="47"/>
  <c r="L150" i="94" s="1"/>
  <c r="K21" i="47"/>
  <c r="K150" i="94" s="1"/>
  <c r="J21" i="47"/>
  <c r="I21" i="47"/>
  <c r="H21" i="47"/>
  <c r="G21" i="47"/>
  <c r="G150" i="94" s="1"/>
  <c r="F21" i="47"/>
  <c r="F150" i="94" s="1"/>
  <c r="E21" i="47"/>
  <c r="E150" i="94" s="1"/>
  <c r="D21" i="47"/>
  <c r="L20" i="47"/>
  <c r="L136" i="94" s="1"/>
  <c r="I20" i="47"/>
  <c r="I136" i="94" s="1"/>
  <c r="H20" i="47"/>
  <c r="H136" i="94" s="1"/>
  <c r="G20" i="47"/>
  <c r="G136" i="94" s="1"/>
  <c r="F20" i="47"/>
  <c r="F136" i="94" s="1"/>
  <c r="E20" i="47"/>
  <c r="E136" i="94" s="1"/>
  <c r="J19" i="47"/>
  <c r="H19" i="47"/>
  <c r="H122" i="94" s="1"/>
  <c r="G19" i="47"/>
  <c r="F19" i="47"/>
  <c r="F122" i="94" s="1"/>
  <c r="E19" i="47"/>
  <c r="E122" i="94" s="1"/>
  <c r="D19" i="47"/>
  <c r="I78" i="94"/>
  <c r="J64" i="94"/>
  <c r="D50" i="94"/>
  <c r="L36" i="94"/>
  <c r="E22" i="94"/>
  <c r="R103" i="42"/>
  <c r="I16" i="78" s="1"/>
  <c r="P103" i="42"/>
  <c r="L97" i="42"/>
  <c r="L988" i="94" s="1"/>
  <c r="K97" i="42"/>
  <c r="K988" i="94" s="1"/>
  <c r="I97" i="42"/>
  <c r="H97" i="42"/>
  <c r="G97" i="42"/>
  <c r="G988" i="94" s="1"/>
  <c r="F97" i="42"/>
  <c r="F988" i="94"/>
  <c r="E97" i="42"/>
  <c r="E988" i="94" s="1"/>
  <c r="D97" i="42"/>
  <c r="D988" i="94" s="1"/>
  <c r="L96" i="42"/>
  <c r="L974" i="94" s="1"/>
  <c r="K96" i="42"/>
  <c r="K974" i="94" s="1"/>
  <c r="J96" i="42"/>
  <c r="J974" i="94" s="1"/>
  <c r="I96" i="42"/>
  <c r="I974" i="94" s="1"/>
  <c r="H96" i="42"/>
  <c r="H974" i="94" s="1"/>
  <c r="G96" i="42"/>
  <c r="G974" i="94" s="1"/>
  <c r="E96" i="42"/>
  <c r="E974" i="94"/>
  <c r="D96" i="42"/>
  <c r="D974" i="94" s="1"/>
  <c r="L95" i="42"/>
  <c r="L960" i="94" s="1"/>
  <c r="J95" i="42"/>
  <c r="J960" i="94" s="1"/>
  <c r="H95" i="42"/>
  <c r="G95" i="42"/>
  <c r="G960" i="94" s="1"/>
  <c r="F95" i="42"/>
  <c r="F960" i="94" s="1"/>
  <c r="E95" i="42"/>
  <c r="E960" i="94" s="1"/>
  <c r="D95" i="42"/>
  <c r="L94" i="42"/>
  <c r="L946" i="94" s="1"/>
  <c r="K94" i="42"/>
  <c r="K946" i="94" s="1"/>
  <c r="I94" i="42"/>
  <c r="I946" i="94" s="1"/>
  <c r="H94" i="42"/>
  <c r="H946" i="94" s="1"/>
  <c r="G94" i="42"/>
  <c r="G946" i="94" s="1"/>
  <c r="E94" i="42"/>
  <c r="E946" i="94" s="1"/>
  <c r="D94" i="42"/>
  <c r="L93" i="42"/>
  <c r="L932" i="94" s="1"/>
  <c r="K93" i="42"/>
  <c r="K932" i="94" s="1"/>
  <c r="J93" i="42"/>
  <c r="J932" i="94" s="1"/>
  <c r="I93" i="42"/>
  <c r="I932" i="94" s="1"/>
  <c r="H93" i="42"/>
  <c r="H932" i="94" s="1"/>
  <c r="G93" i="42"/>
  <c r="G932" i="94" s="1"/>
  <c r="F93" i="42"/>
  <c r="F932" i="94" s="1"/>
  <c r="E93" i="42"/>
  <c r="E932" i="94" s="1"/>
  <c r="D93" i="42"/>
  <c r="D932" i="94" s="1"/>
  <c r="L88" i="42"/>
  <c r="L888" i="94" s="1"/>
  <c r="K88" i="42"/>
  <c r="J88" i="42"/>
  <c r="J888" i="94" s="1"/>
  <c r="I88" i="42"/>
  <c r="I888" i="94" s="1"/>
  <c r="H88" i="42"/>
  <c r="H888" i="94" s="1"/>
  <c r="G88" i="42"/>
  <c r="G888" i="94" s="1"/>
  <c r="F88" i="42"/>
  <c r="E88" i="42"/>
  <c r="E888" i="94" s="1"/>
  <c r="D88" i="42"/>
  <c r="S87" i="42"/>
  <c r="L121" i="42" s="1"/>
  <c r="L87" i="42"/>
  <c r="L874" i="94" s="1"/>
  <c r="K87" i="42"/>
  <c r="J87" i="42"/>
  <c r="I87" i="42"/>
  <c r="I874" i="94" s="1"/>
  <c r="H87" i="42"/>
  <c r="G87" i="42"/>
  <c r="G874" i="94" s="1"/>
  <c r="F87" i="42"/>
  <c r="F874" i="94" s="1"/>
  <c r="E87" i="42"/>
  <c r="E89" i="42" s="1"/>
  <c r="E902" i="94" s="1"/>
  <c r="D87" i="42"/>
  <c r="S84" i="42"/>
  <c r="L83" i="42"/>
  <c r="L844" i="94" s="1"/>
  <c r="K83" i="42"/>
  <c r="J83" i="42"/>
  <c r="J844" i="94" s="1"/>
  <c r="I83" i="42"/>
  <c r="I844" i="94" s="1"/>
  <c r="H83" i="42"/>
  <c r="H844" i="94" s="1"/>
  <c r="G83" i="42"/>
  <c r="G844" i="94" s="1"/>
  <c r="F83" i="42"/>
  <c r="E83" i="42"/>
  <c r="E844" i="94" s="1"/>
  <c r="D83" i="42"/>
  <c r="D844" i="94" s="1"/>
  <c r="L82" i="42"/>
  <c r="L830" i="94" s="1"/>
  <c r="K82" i="42"/>
  <c r="J82" i="42"/>
  <c r="J830" i="94" s="1"/>
  <c r="I82" i="42"/>
  <c r="H82" i="42"/>
  <c r="H830" i="94" s="1"/>
  <c r="G82" i="42"/>
  <c r="G830" i="94" s="1"/>
  <c r="F82" i="42"/>
  <c r="E82" i="42"/>
  <c r="E830" i="94" s="1"/>
  <c r="D82" i="42"/>
  <c r="L81" i="42"/>
  <c r="K81" i="42"/>
  <c r="K816" i="94" s="1"/>
  <c r="J81" i="42"/>
  <c r="I81" i="42"/>
  <c r="I816" i="94" s="1"/>
  <c r="H81" i="42"/>
  <c r="G81" i="42"/>
  <c r="E81" i="42"/>
  <c r="D81" i="42"/>
  <c r="D816" i="94" s="1"/>
  <c r="L80" i="42"/>
  <c r="L802" i="94" s="1"/>
  <c r="K80" i="42"/>
  <c r="K802" i="94" s="1"/>
  <c r="J80" i="42"/>
  <c r="J802" i="94" s="1"/>
  <c r="I80" i="42"/>
  <c r="I802" i="94" s="1"/>
  <c r="H80" i="42"/>
  <c r="H802" i="94" s="1"/>
  <c r="G80" i="42"/>
  <c r="G802" i="94" s="1"/>
  <c r="F80" i="42"/>
  <c r="F802" i="94" s="1"/>
  <c r="E80" i="42"/>
  <c r="E802" i="94" s="1"/>
  <c r="D80" i="42"/>
  <c r="D802" i="94"/>
  <c r="S77" i="42"/>
  <c r="S76" i="42"/>
  <c r="L76" i="42"/>
  <c r="L772" i="94" s="1"/>
  <c r="K76" i="42"/>
  <c r="J76" i="42"/>
  <c r="J772" i="94" s="1"/>
  <c r="H76" i="42"/>
  <c r="H772" i="94" s="1"/>
  <c r="G76" i="42"/>
  <c r="F76" i="42"/>
  <c r="E76" i="42"/>
  <c r="E772" i="94" s="1"/>
  <c r="D76" i="42"/>
  <c r="D772" i="94" s="1"/>
  <c r="L75" i="42"/>
  <c r="L758" i="94" s="1"/>
  <c r="K75" i="42"/>
  <c r="K758" i="94" s="1"/>
  <c r="J75" i="42"/>
  <c r="I75" i="42"/>
  <c r="I758" i="94" s="1"/>
  <c r="H75" i="42"/>
  <c r="H758" i="94" s="1"/>
  <c r="G75" i="42"/>
  <c r="F75" i="42"/>
  <c r="F758" i="94" s="1"/>
  <c r="E75" i="42"/>
  <c r="E758" i="94" s="1"/>
  <c r="D75" i="42"/>
  <c r="D758" i="94" s="1"/>
  <c r="X74" i="42"/>
  <c r="P74" i="42"/>
  <c r="L74" i="42"/>
  <c r="L744" i="94" s="1"/>
  <c r="K74" i="42"/>
  <c r="K744" i="94" s="1"/>
  <c r="J74" i="42"/>
  <c r="I74" i="42"/>
  <c r="H74" i="42"/>
  <c r="H744" i="94" s="1"/>
  <c r="G74" i="42"/>
  <c r="G744" i="94" s="1"/>
  <c r="F74" i="42"/>
  <c r="E74" i="42"/>
  <c r="D74" i="42"/>
  <c r="D744" i="94" s="1"/>
  <c r="X73" i="42"/>
  <c r="R73" i="42"/>
  <c r="Q73" i="42"/>
  <c r="P73" i="42"/>
  <c r="L73" i="42"/>
  <c r="L730" i="94" s="1"/>
  <c r="K73" i="42"/>
  <c r="K730" i="94" s="1"/>
  <c r="J73" i="42"/>
  <c r="I73" i="42"/>
  <c r="I730" i="94" s="1"/>
  <c r="H73" i="42"/>
  <c r="G73" i="42"/>
  <c r="G730" i="94" s="1"/>
  <c r="F73" i="42"/>
  <c r="F730" i="94" s="1"/>
  <c r="E73" i="42"/>
  <c r="D73" i="42"/>
  <c r="X72" i="42"/>
  <c r="R72" i="42"/>
  <c r="Q72" i="42"/>
  <c r="P72" i="42"/>
  <c r="K72" i="42"/>
  <c r="K716" i="94" s="1"/>
  <c r="I72" i="42"/>
  <c r="I716" i="94" s="1"/>
  <c r="H72" i="42"/>
  <c r="H716" i="94" s="1"/>
  <c r="G72" i="42"/>
  <c r="G716" i="94" s="1"/>
  <c r="F72" i="42"/>
  <c r="E72" i="42"/>
  <c r="E716" i="94" s="1"/>
  <c r="X71" i="42"/>
  <c r="R71" i="42"/>
  <c r="Q71" i="42"/>
  <c r="P71" i="42"/>
  <c r="L71" i="42"/>
  <c r="L702" i="94" s="1"/>
  <c r="K71" i="42"/>
  <c r="K702" i="94" s="1"/>
  <c r="J71" i="42"/>
  <c r="J702" i="94" s="1"/>
  <c r="I71" i="42"/>
  <c r="I702" i="94" s="1"/>
  <c r="H71" i="42"/>
  <c r="H702" i="94" s="1"/>
  <c r="G71" i="42"/>
  <c r="G702" i="94" s="1"/>
  <c r="F71" i="42"/>
  <c r="E71" i="42"/>
  <c r="D71" i="42"/>
  <c r="X70" i="42"/>
  <c r="R70" i="42"/>
  <c r="Q70" i="42"/>
  <c r="P70" i="42"/>
  <c r="L70" i="42"/>
  <c r="L688" i="94" s="1"/>
  <c r="K70" i="42"/>
  <c r="K688" i="94" s="1"/>
  <c r="J70" i="42"/>
  <c r="J688" i="94" s="1"/>
  <c r="I70" i="42"/>
  <c r="I688" i="94" s="1"/>
  <c r="H70" i="42"/>
  <c r="H688" i="94" s="1"/>
  <c r="G70" i="42"/>
  <c r="F70" i="42"/>
  <c r="F688" i="94" s="1"/>
  <c r="E70" i="42"/>
  <c r="E688" i="94" s="1"/>
  <c r="D70" i="42"/>
  <c r="D688" i="94" s="1"/>
  <c r="X69" i="42"/>
  <c r="R69" i="42"/>
  <c r="Q69" i="42"/>
  <c r="P69" i="42"/>
  <c r="L69" i="42"/>
  <c r="L674" i="94" s="1"/>
  <c r="K69" i="42"/>
  <c r="K674" i="94" s="1"/>
  <c r="J69" i="42"/>
  <c r="J674" i="94" s="1"/>
  <c r="H69" i="42"/>
  <c r="F69" i="42"/>
  <c r="D46" i="41" s="1"/>
  <c r="E69" i="42"/>
  <c r="E674" i="94" s="1"/>
  <c r="D69" i="42"/>
  <c r="D674" i="94" s="1"/>
  <c r="X68" i="42"/>
  <c r="R68" i="42"/>
  <c r="Q68" i="42"/>
  <c r="P68" i="42"/>
  <c r="E15" i="95" s="1"/>
  <c r="L68" i="42"/>
  <c r="L660" i="94" s="1"/>
  <c r="K68" i="42"/>
  <c r="K660" i="94" s="1"/>
  <c r="J68" i="42"/>
  <c r="J660" i="94" s="1"/>
  <c r="I68" i="42"/>
  <c r="H68" i="42"/>
  <c r="H660" i="94" s="1"/>
  <c r="G68" i="42"/>
  <c r="G660" i="94" s="1"/>
  <c r="F68" i="42"/>
  <c r="D45" i="41" s="1"/>
  <c r="E68" i="42"/>
  <c r="D68" i="42"/>
  <c r="D660" i="94" s="1"/>
  <c r="X67" i="42"/>
  <c r="R67" i="42"/>
  <c r="Q67" i="42"/>
  <c r="P67" i="42"/>
  <c r="L67" i="42"/>
  <c r="L646" i="94" s="1"/>
  <c r="K67" i="42"/>
  <c r="K646" i="94" s="1"/>
  <c r="J67" i="42"/>
  <c r="J646" i="94" s="1"/>
  <c r="I67" i="42"/>
  <c r="H67" i="42"/>
  <c r="H646" i="94" s="1"/>
  <c r="G67" i="42"/>
  <c r="G646" i="94"/>
  <c r="F67" i="42"/>
  <c r="E67" i="42"/>
  <c r="E646" i="94" s="1"/>
  <c r="D67" i="42"/>
  <c r="X66" i="42"/>
  <c r="R66" i="42"/>
  <c r="Q66" i="42"/>
  <c r="P66" i="42"/>
  <c r="L66" i="42"/>
  <c r="K66" i="42"/>
  <c r="K632" i="94" s="1"/>
  <c r="J66" i="42"/>
  <c r="I66" i="42"/>
  <c r="I632" i="94" s="1"/>
  <c r="H66" i="42"/>
  <c r="G66" i="42"/>
  <c r="F66" i="42"/>
  <c r="E66" i="42"/>
  <c r="D66" i="42"/>
  <c r="X65" i="42"/>
  <c r="R65" i="42"/>
  <c r="Q65" i="42"/>
  <c r="P65" i="42"/>
  <c r="L65" i="42"/>
  <c r="L618" i="94" s="1"/>
  <c r="K65" i="42"/>
  <c r="K618" i="94" s="1"/>
  <c r="J65" i="42"/>
  <c r="J618" i="94" s="1"/>
  <c r="I65" i="42"/>
  <c r="I618" i="94" s="1"/>
  <c r="H65" i="42"/>
  <c r="H618" i="94" s="1"/>
  <c r="G65" i="42"/>
  <c r="G618" i="94" s="1"/>
  <c r="F65" i="42"/>
  <c r="E65" i="42"/>
  <c r="D65" i="42"/>
  <c r="I575" i="94"/>
  <c r="G575" i="94"/>
  <c r="L561" i="94"/>
  <c r="J561" i="94"/>
  <c r="G561" i="94"/>
  <c r="E561" i="94"/>
  <c r="D561" i="94"/>
  <c r="H547" i="94"/>
  <c r="G547" i="94"/>
  <c r="E547" i="94"/>
  <c r="L533" i="94"/>
  <c r="H533" i="94"/>
  <c r="E533" i="94"/>
  <c r="D533" i="94"/>
  <c r="J519" i="94"/>
  <c r="I519" i="94"/>
  <c r="H519" i="94"/>
  <c r="L505" i="94"/>
  <c r="K505" i="94"/>
  <c r="J505" i="94"/>
  <c r="D505" i="94"/>
  <c r="H489" i="94"/>
  <c r="G489" i="94"/>
  <c r="L473" i="94"/>
  <c r="K473" i="94"/>
  <c r="J457" i="94"/>
  <c r="I457" i="94"/>
  <c r="L412" i="94"/>
  <c r="J412" i="94"/>
  <c r="G412" i="94"/>
  <c r="J398" i="94"/>
  <c r="K384" i="94"/>
  <c r="H384" i="94"/>
  <c r="E384" i="94"/>
  <c r="G370" i="94"/>
  <c r="E370" i="94"/>
  <c r="G356" i="94"/>
  <c r="F356" i="94"/>
  <c r="E356" i="94"/>
  <c r="F342" i="94"/>
  <c r="L35" i="42"/>
  <c r="L328" i="94" s="1"/>
  <c r="K35" i="42"/>
  <c r="K328" i="94" s="1"/>
  <c r="J35" i="42"/>
  <c r="J328" i="94" s="1"/>
  <c r="I35" i="42"/>
  <c r="I328" i="94" s="1"/>
  <c r="H35" i="42"/>
  <c r="H328" i="94" s="1"/>
  <c r="G35" i="42"/>
  <c r="F35" i="42"/>
  <c r="F328" i="94" s="1"/>
  <c r="E35" i="42"/>
  <c r="E328" i="94" s="1"/>
  <c r="D35" i="42"/>
  <c r="R34" i="42"/>
  <c r="L114" i="42" s="1"/>
  <c r="J34" i="42"/>
  <c r="J314" i="94" s="1"/>
  <c r="I34" i="42"/>
  <c r="I314" i="94"/>
  <c r="H34" i="42"/>
  <c r="G34" i="42"/>
  <c r="G314" i="94" s="1"/>
  <c r="F34" i="42"/>
  <c r="F314" i="94" s="1"/>
  <c r="E34" i="42"/>
  <c r="E314" i="94" s="1"/>
  <c r="D34" i="42"/>
  <c r="D314" i="94" s="1"/>
  <c r="L33" i="42"/>
  <c r="L300" i="94" s="1"/>
  <c r="K33" i="42"/>
  <c r="J33" i="42"/>
  <c r="J300" i="94" s="1"/>
  <c r="I33" i="42"/>
  <c r="H33" i="42"/>
  <c r="H300" i="94" s="1"/>
  <c r="G33" i="42"/>
  <c r="G300" i="94" s="1"/>
  <c r="F33" i="42"/>
  <c r="F300" i="94" s="1"/>
  <c r="E33" i="42"/>
  <c r="E300" i="94" s="1"/>
  <c r="D33" i="42"/>
  <c r="D300" i="94" s="1"/>
  <c r="Q32" i="42"/>
  <c r="L113" i="42" s="1"/>
  <c r="L32" i="42"/>
  <c r="L286" i="94" s="1"/>
  <c r="J32" i="42"/>
  <c r="I32" i="42"/>
  <c r="H32" i="42"/>
  <c r="H286" i="94" s="1"/>
  <c r="G32" i="42"/>
  <c r="G286" i="94" s="1"/>
  <c r="F32" i="42"/>
  <c r="F286" i="94" s="1"/>
  <c r="E32" i="42"/>
  <c r="D32" i="42"/>
  <c r="D286" i="94" s="1"/>
  <c r="K243" i="94"/>
  <c r="H243" i="94"/>
  <c r="D243" i="94"/>
  <c r="L229" i="94"/>
  <c r="F229" i="94"/>
  <c r="D229" i="94"/>
  <c r="K215" i="94"/>
  <c r="J215" i="94"/>
  <c r="K201" i="94"/>
  <c r="I201" i="94"/>
  <c r="H201" i="94"/>
  <c r="G201" i="94"/>
  <c r="F201" i="94"/>
  <c r="I187" i="94"/>
  <c r="H187" i="94"/>
  <c r="G187" i="94"/>
  <c r="E187" i="94"/>
  <c r="J173" i="94"/>
  <c r="H173" i="94"/>
  <c r="F173" i="94"/>
  <c r="L22" i="42"/>
  <c r="L159" i="94" s="1"/>
  <c r="K22" i="42"/>
  <c r="K159" i="94" s="1"/>
  <c r="J22" i="42"/>
  <c r="J159" i="94" s="1"/>
  <c r="H22" i="42"/>
  <c r="G22" i="42"/>
  <c r="G159" i="94" s="1"/>
  <c r="F22" i="42"/>
  <c r="F159" i="94" s="1"/>
  <c r="E22" i="42"/>
  <c r="E159" i="94" s="1"/>
  <c r="D22" i="42"/>
  <c r="D159" i="94" s="1"/>
  <c r="L21" i="42"/>
  <c r="K21" i="42"/>
  <c r="K145" i="94" s="1"/>
  <c r="J21" i="42"/>
  <c r="J145" i="94" s="1"/>
  <c r="I21" i="42"/>
  <c r="I145" i="94" s="1"/>
  <c r="H21" i="42"/>
  <c r="H145" i="94" s="1"/>
  <c r="G21" i="42"/>
  <c r="G145" i="94" s="1"/>
  <c r="F21" i="42"/>
  <c r="F145" i="94" s="1"/>
  <c r="E21" i="42"/>
  <c r="D21" i="42"/>
  <c r="D145" i="94" s="1"/>
  <c r="L20" i="42"/>
  <c r="L131" i="94" s="1"/>
  <c r="I20" i="42"/>
  <c r="I131" i="94" s="1"/>
  <c r="H20" i="42"/>
  <c r="H131" i="94" s="1"/>
  <c r="G20" i="42"/>
  <c r="F20" i="42"/>
  <c r="E20" i="42"/>
  <c r="E131" i="94" s="1"/>
  <c r="J19" i="42"/>
  <c r="J117" i="94" s="1"/>
  <c r="H19" i="42"/>
  <c r="H117" i="94" s="1"/>
  <c r="G19" i="42"/>
  <c r="F19" i="42"/>
  <c r="E19" i="42"/>
  <c r="E117" i="94" s="1"/>
  <c r="D19" i="42"/>
  <c r="D117" i="94" s="1"/>
  <c r="L73" i="94"/>
  <c r="K73" i="94"/>
  <c r="I73" i="94"/>
  <c r="G59" i="94"/>
  <c r="D45" i="94"/>
  <c r="J31" i="94"/>
  <c r="I31" i="94"/>
  <c r="H31" i="94"/>
  <c r="J17" i="94"/>
  <c r="H17" i="94"/>
  <c r="G17" i="94"/>
  <c r="E17" i="94"/>
  <c r="R103" i="37"/>
  <c r="P103" i="37"/>
  <c r="L97" i="37"/>
  <c r="L989" i="94" s="1"/>
  <c r="K97" i="37"/>
  <c r="K989" i="94" s="1"/>
  <c r="I97" i="37"/>
  <c r="I989" i="94" s="1"/>
  <c r="H97" i="37"/>
  <c r="H989" i="94" s="1"/>
  <c r="G97" i="37"/>
  <c r="G989" i="94" s="1"/>
  <c r="F97" i="37"/>
  <c r="F989" i="94" s="1"/>
  <c r="E97" i="37"/>
  <c r="D97" i="37"/>
  <c r="D989" i="94" s="1"/>
  <c r="L96" i="37"/>
  <c r="L975" i="94" s="1"/>
  <c r="K96" i="37"/>
  <c r="K975" i="94" s="1"/>
  <c r="J96" i="37"/>
  <c r="J975" i="94" s="1"/>
  <c r="I96" i="37"/>
  <c r="I975" i="94"/>
  <c r="H96" i="37"/>
  <c r="H975" i="94" s="1"/>
  <c r="G96" i="37"/>
  <c r="G975" i="94" s="1"/>
  <c r="E96" i="37"/>
  <c r="E975" i="94" s="1"/>
  <c r="D96" i="37"/>
  <c r="D975" i="94" s="1"/>
  <c r="L95" i="37"/>
  <c r="L961" i="94" s="1"/>
  <c r="J95" i="37"/>
  <c r="J961" i="94" s="1"/>
  <c r="H95" i="37"/>
  <c r="G95" i="37"/>
  <c r="G961" i="94" s="1"/>
  <c r="F95" i="37"/>
  <c r="F961" i="94" s="1"/>
  <c r="E95" i="37"/>
  <c r="E961" i="94" s="1"/>
  <c r="D95" i="37"/>
  <c r="D961" i="94" s="1"/>
  <c r="L94" i="37"/>
  <c r="L947" i="94" s="1"/>
  <c r="K94" i="37"/>
  <c r="K947" i="94" s="1"/>
  <c r="I94" i="37"/>
  <c r="I947" i="94" s="1"/>
  <c r="H94" i="37"/>
  <c r="H947" i="94" s="1"/>
  <c r="G94" i="37"/>
  <c r="G947" i="94" s="1"/>
  <c r="E94" i="37"/>
  <c r="D94" i="37"/>
  <c r="D947" i="94" s="1"/>
  <c r="L93" i="37"/>
  <c r="L933" i="94" s="1"/>
  <c r="K93" i="37"/>
  <c r="K933" i="94" s="1"/>
  <c r="J93" i="37"/>
  <c r="J933" i="94" s="1"/>
  <c r="I93" i="37"/>
  <c r="I933" i="94" s="1"/>
  <c r="H93" i="37"/>
  <c r="H933" i="94" s="1"/>
  <c r="G93" i="37"/>
  <c r="G933" i="94" s="1"/>
  <c r="F93" i="37"/>
  <c r="F933" i="94" s="1"/>
  <c r="E93" i="37"/>
  <c r="D93" i="37"/>
  <c r="D933" i="94" s="1"/>
  <c r="L88" i="37"/>
  <c r="L889" i="94" s="1"/>
  <c r="K88" i="37"/>
  <c r="K889" i="94" s="1"/>
  <c r="J88" i="37"/>
  <c r="I88" i="37"/>
  <c r="H88" i="37"/>
  <c r="H889" i="94" s="1"/>
  <c r="G88" i="37"/>
  <c r="F88" i="37"/>
  <c r="E88" i="37"/>
  <c r="E889" i="94" s="1"/>
  <c r="D88" i="37"/>
  <c r="S87" i="37"/>
  <c r="L87" i="37"/>
  <c r="L875" i="94" s="1"/>
  <c r="K87" i="37"/>
  <c r="K875" i="94" s="1"/>
  <c r="J87" i="37"/>
  <c r="I87" i="37"/>
  <c r="I875" i="94" s="1"/>
  <c r="H87" i="37"/>
  <c r="H875" i="94" s="1"/>
  <c r="G87" i="37"/>
  <c r="F87" i="37"/>
  <c r="E87" i="37"/>
  <c r="E875" i="94" s="1"/>
  <c r="D87" i="37"/>
  <c r="D875" i="94" s="1"/>
  <c r="S84" i="37"/>
  <c r="L83" i="37"/>
  <c r="L845" i="94" s="1"/>
  <c r="K83" i="37"/>
  <c r="K845" i="94" s="1"/>
  <c r="J83" i="37"/>
  <c r="I83" i="37"/>
  <c r="I845" i="94" s="1"/>
  <c r="H83" i="37"/>
  <c r="H845" i="94" s="1"/>
  <c r="G83" i="37"/>
  <c r="G845" i="94" s="1"/>
  <c r="F83" i="37"/>
  <c r="E83" i="37"/>
  <c r="D83" i="37"/>
  <c r="D845" i="94"/>
  <c r="L82" i="37"/>
  <c r="K82" i="37"/>
  <c r="J82" i="37"/>
  <c r="J831" i="94" s="1"/>
  <c r="I82" i="37"/>
  <c r="H82" i="37"/>
  <c r="H831" i="94" s="1"/>
  <c r="G82" i="37"/>
  <c r="G831" i="94" s="1"/>
  <c r="F82" i="37"/>
  <c r="F831" i="94" s="1"/>
  <c r="E82" i="37"/>
  <c r="E831" i="94" s="1"/>
  <c r="D82" i="37"/>
  <c r="D831" i="94" s="1"/>
  <c r="L81" i="37"/>
  <c r="L817" i="94" s="1"/>
  <c r="K81" i="37"/>
  <c r="K817" i="94" s="1"/>
  <c r="J81" i="37"/>
  <c r="J817" i="94" s="1"/>
  <c r="I81" i="37"/>
  <c r="I817" i="94" s="1"/>
  <c r="H81" i="37"/>
  <c r="G81" i="37"/>
  <c r="G817" i="94" s="1"/>
  <c r="E81" i="37"/>
  <c r="D81" i="37"/>
  <c r="L80" i="37"/>
  <c r="L803" i="94" s="1"/>
  <c r="K80" i="37"/>
  <c r="K803" i="94" s="1"/>
  <c r="J80" i="37"/>
  <c r="J803" i="94" s="1"/>
  <c r="I80" i="37"/>
  <c r="I803" i="94" s="1"/>
  <c r="H80" i="37"/>
  <c r="H803" i="94" s="1"/>
  <c r="G80" i="37"/>
  <c r="F80" i="37"/>
  <c r="D57" i="36" s="1"/>
  <c r="E80" i="37"/>
  <c r="D80" i="37"/>
  <c r="S77" i="37"/>
  <c r="L116" i="37" s="1"/>
  <c r="S76" i="37"/>
  <c r="L76" i="37"/>
  <c r="L773" i="94" s="1"/>
  <c r="K76" i="37"/>
  <c r="K773" i="94" s="1"/>
  <c r="J76" i="37"/>
  <c r="J773" i="94" s="1"/>
  <c r="H76" i="37"/>
  <c r="H773" i="94" s="1"/>
  <c r="G76" i="37"/>
  <c r="F76" i="37"/>
  <c r="F773" i="94" s="1"/>
  <c r="E76" i="37"/>
  <c r="E773" i="94"/>
  <c r="D76" i="37"/>
  <c r="D773" i="94" s="1"/>
  <c r="L75" i="37"/>
  <c r="L759" i="94" s="1"/>
  <c r="K75" i="37"/>
  <c r="J75" i="37"/>
  <c r="J759" i="94" s="1"/>
  <c r="I75" i="37"/>
  <c r="I759" i="94" s="1"/>
  <c r="H75" i="37"/>
  <c r="H759" i="94" s="1"/>
  <c r="G75" i="37"/>
  <c r="G759" i="94" s="1"/>
  <c r="F75" i="37"/>
  <c r="E75" i="37"/>
  <c r="E759" i="94" s="1"/>
  <c r="D75" i="37"/>
  <c r="X74" i="37"/>
  <c r="P74" i="37"/>
  <c r="L74" i="37"/>
  <c r="L745" i="94" s="1"/>
  <c r="K74" i="37"/>
  <c r="K745" i="94" s="1"/>
  <c r="J74" i="37"/>
  <c r="J745" i="94" s="1"/>
  <c r="I74" i="37"/>
  <c r="I745" i="94" s="1"/>
  <c r="H74" i="37"/>
  <c r="G74" i="37"/>
  <c r="G745" i="94" s="1"/>
  <c r="F74" i="37"/>
  <c r="E74" i="37"/>
  <c r="D74" i="37"/>
  <c r="D745" i="94" s="1"/>
  <c r="X73" i="37"/>
  <c r="R73" i="37"/>
  <c r="Q73" i="37"/>
  <c r="P73" i="37"/>
  <c r="L73" i="37"/>
  <c r="L731" i="94" s="1"/>
  <c r="K73" i="37"/>
  <c r="K731" i="94" s="1"/>
  <c r="J73" i="37"/>
  <c r="J731" i="94" s="1"/>
  <c r="I73" i="37"/>
  <c r="I731" i="94" s="1"/>
  <c r="H73" i="37"/>
  <c r="H731" i="94" s="1"/>
  <c r="G73" i="37"/>
  <c r="F73" i="37"/>
  <c r="E73" i="37"/>
  <c r="E731" i="94" s="1"/>
  <c r="D73" i="37"/>
  <c r="D731" i="94" s="1"/>
  <c r="X72" i="37"/>
  <c r="R72" i="37"/>
  <c r="Q72" i="37"/>
  <c r="P72" i="37"/>
  <c r="K72" i="37"/>
  <c r="K717" i="94" s="1"/>
  <c r="I72" i="37"/>
  <c r="I717" i="94" s="1"/>
  <c r="H72" i="37"/>
  <c r="G72" i="37"/>
  <c r="F72" i="37"/>
  <c r="F717" i="94" s="1"/>
  <c r="E72" i="37"/>
  <c r="E717" i="94" s="1"/>
  <c r="X71" i="37"/>
  <c r="R71" i="37"/>
  <c r="Q71" i="37"/>
  <c r="P71" i="37"/>
  <c r="L71" i="37"/>
  <c r="L703" i="94" s="1"/>
  <c r="K71" i="37"/>
  <c r="K703" i="94" s="1"/>
  <c r="J71" i="37"/>
  <c r="J703" i="94" s="1"/>
  <c r="I71" i="37"/>
  <c r="I703" i="94" s="1"/>
  <c r="H71" i="37"/>
  <c r="H703" i="94" s="1"/>
  <c r="G71" i="37"/>
  <c r="G703" i="94" s="1"/>
  <c r="F71" i="37"/>
  <c r="E71" i="37"/>
  <c r="D71" i="37"/>
  <c r="D703" i="94" s="1"/>
  <c r="X70" i="37"/>
  <c r="R70" i="37"/>
  <c r="Q70" i="37"/>
  <c r="P70" i="37"/>
  <c r="L70" i="37"/>
  <c r="L689" i="94" s="1"/>
  <c r="K70" i="37"/>
  <c r="K689" i="94" s="1"/>
  <c r="J70" i="37"/>
  <c r="J689" i="94" s="1"/>
  <c r="I70" i="37"/>
  <c r="I689" i="94" s="1"/>
  <c r="H70" i="37"/>
  <c r="H689" i="94" s="1"/>
  <c r="G70" i="37"/>
  <c r="F70" i="37"/>
  <c r="F689" i="94" s="1"/>
  <c r="E70" i="37"/>
  <c r="D70" i="37"/>
  <c r="X69" i="37"/>
  <c r="R69" i="37"/>
  <c r="Q69" i="37"/>
  <c r="P69" i="37"/>
  <c r="L69" i="37"/>
  <c r="L675" i="94" s="1"/>
  <c r="K69" i="37"/>
  <c r="K675" i="94" s="1"/>
  <c r="J69" i="37"/>
  <c r="H69" i="37"/>
  <c r="F69" i="37"/>
  <c r="F675" i="94" s="1"/>
  <c r="E69" i="37"/>
  <c r="E675" i="94" s="1"/>
  <c r="D69" i="37"/>
  <c r="X68" i="37"/>
  <c r="R68" i="37"/>
  <c r="Q68" i="37"/>
  <c r="P68" i="37"/>
  <c r="L68" i="37"/>
  <c r="L661" i="94" s="1"/>
  <c r="K68" i="37"/>
  <c r="K661" i="94" s="1"/>
  <c r="J68" i="37"/>
  <c r="J661" i="94" s="1"/>
  <c r="I68" i="37"/>
  <c r="I661" i="94" s="1"/>
  <c r="H68" i="37"/>
  <c r="H661" i="94" s="1"/>
  <c r="G68" i="37"/>
  <c r="F68" i="37"/>
  <c r="E68" i="37"/>
  <c r="D68" i="37"/>
  <c r="X67" i="37"/>
  <c r="R67" i="37"/>
  <c r="Q67" i="37"/>
  <c r="P67" i="37"/>
  <c r="L67" i="37"/>
  <c r="L647" i="94" s="1"/>
  <c r="K67" i="37"/>
  <c r="K647" i="94" s="1"/>
  <c r="J67" i="37"/>
  <c r="J647" i="94" s="1"/>
  <c r="I67" i="37"/>
  <c r="H67" i="37"/>
  <c r="H647" i="94" s="1"/>
  <c r="G67" i="37"/>
  <c r="G647" i="94" s="1"/>
  <c r="F67" i="37"/>
  <c r="D44" i="36" s="1"/>
  <c r="E67" i="37"/>
  <c r="D67" i="37"/>
  <c r="X66" i="37"/>
  <c r="R66" i="37"/>
  <c r="Q66" i="37"/>
  <c r="P66" i="37"/>
  <c r="L66" i="37"/>
  <c r="L633" i="94" s="1"/>
  <c r="K66" i="37"/>
  <c r="K633" i="94" s="1"/>
  <c r="J66" i="37"/>
  <c r="I66" i="37"/>
  <c r="I633" i="94" s="1"/>
  <c r="H66" i="37"/>
  <c r="H633" i="94" s="1"/>
  <c r="G66" i="37"/>
  <c r="F66" i="37"/>
  <c r="E66" i="37"/>
  <c r="D66" i="37"/>
  <c r="D633" i="94" s="1"/>
  <c r="X65" i="37"/>
  <c r="R65" i="37"/>
  <c r="Q65" i="37"/>
  <c r="P65" i="37"/>
  <c r="L65" i="37"/>
  <c r="L619" i="94" s="1"/>
  <c r="K65" i="37"/>
  <c r="K619" i="94" s="1"/>
  <c r="J65" i="37"/>
  <c r="J619" i="94" s="1"/>
  <c r="I65" i="37"/>
  <c r="I619" i="94" s="1"/>
  <c r="H65" i="37"/>
  <c r="H619" i="94" s="1"/>
  <c r="G65" i="37"/>
  <c r="G619" i="94" s="1"/>
  <c r="F65" i="37"/>
  <c r="E65" i="37"/>
  <c r="E619" i="94" s="1"/>
  <c r="D65" i="37"/>
  <c r="D619" i="94" s="1"/>
  <c r="L576" i="94"/>
  <c r="K576" i="94"/>
  <c r="J576" i="94"/>
  <c r="G576" i="94"/>
  <c r="J548" i="94"/>
  <c r="I548" i="94"/>
  <c r="G548" i="94"/>
  <c r="E548" i="94"/>
  <c r="J534" i="94"/>
  <c r="D534" i="94"/>
  <c r="L520" i="94"/>
  <c r="K520" i="94"/>
  <c r="G520" i="94"/>
  <c r="J506" i="94"/>
  <c r="I506" i="94"/>
  <c r="F490" i="94"/>
  <c r="D490" i="94"/>
  <c r="I474" i="94"/>
  <c r="H474" i="94"/>
  <c r="G474" i="94"/>
  <c r="F474" i="94"/>
  <c r="D474" i="94"/>
  <c r="K458" i="94"/>
  <c r="H458" i="94"/>
  <c r="E458" i="94"/>
  <c r="D458" i="94"/>
  <c r="G413" i="94"/>
  <c r="L399" i="94"/>
  <c r="I399" i="94"/>
  <c r="G399" i="94"/>
  <c r="D399" i="94"/>
  <c r="J385" i="94"/>
  <c r="H385" i="94"/>
  <c r="G385" i="94"/>
  <c r="K371" i="94"/>
  <c r="I371" i="94"/>
  <c r="H371" i="94"/>
  <c r="K357" i="94"/>
  <c r="I357" i="94"/>
  <c r="D357" i="94"/>
  <c r="L35" i="37"/>
  <c r="L329" i="94" s="1"/>
  <c r="K35" i="37"/>
  <c r="J35" i="37"/>
  <c r="I35" i="37"/>
  <c r="I329" i="94" s="1"/>
  <c r="H35" i="37"/>
  <c r="H329" i="94" s="1"/>
  <c r="G35" i="37"/>
  <c r="G329" i="94" s="1"/>
  <c r="F35" i="37"/>
  <c r="E35" i="37"/>
  <c r="E329" i="94" s="1"/>
  <c r="D35" i="37"/>
  <c r="D329" i="94" s="1"/>
  <c r="R34" i="37"/>
  <c r="L114" i="37" s="1"/>
  <c r="J34" i="37"/>
  <c r="I34" i="37"/>
  <c r="I315" i="94" s="1"/>
  <c r="H34" i="37"/>
  <c r="G34" i="37"/>
  <c r="G315" i="94" s="1"/>
  <c r="F34" i="37"/>
  <c r="E34" i="37"/>
  <c r="E315" i="94" s="1"/>
  <c r="D34" i="37"/>
  <c r="D315" i="94" s="1"/>
  <c r="L33" i="37"/>
  <c r="K33" i="37"/>
  <c r="K301" i="94" s="1"/>
  <c r="J33" i="37"/>
  <c r="J301" i="94" s="1"/>
  <c r="I33" i="37"/>
  <c r="I301" i="94" s="1"/>
  <c r="H33" i="37"/>
  <c r="H301" i="94" s="1"/>
  <c r="G33" i="37"/>
  <c r="G301" i="94" s="1"/>
  <c r="F33" i="37"/>
  <c r="E33" i="37"/>
  <c r="E301" i="94" s="1"/>
  <c r="D33" i="37"/>
  <c r="Q32" i="37"/>
  <c r="L113" i="37" s="1"/>
  <c r="L32" i="37"/>
  <c r="L287" i="94" s="1"/>
  <c r="J32" i="37"/>
  <c r="J287" i="94" s="1"/>
  <c r="I32" i="37"/>
  <c r="H32" i="37"/>
  <c r="H287" i="94" s="1"/>
  <c r="G32" i="37"/>
  <c r="G287" i="94" s="1"/>
  <c r="F32" i="37"/>
  <c r="F287" i="94" s="1"/>
  <c r="E32" i="37"/>
  <c r="D32" i="37"/>
  <c r="J244" i="94"/>
  <c r="G244" i="94"/>
  <c r="J230" i="94"/>
  <c r="H230" i="94"/>
  <c r="G230" i="94"/>
  <c r="I216" i="94"/>
  <c r="K202" i="94"/>
  <c r="J202" i="94"/>
  <c r="H202" i="94"/>
  <c r="L188" i="94"/>
  <c r="I188" i="94"/>
  <c r="H174" i="94"/>
  <c r="L22" i="37"/>
  <c r="L160" i="94" s="1"/>
  <c r="K22" i="37"/>
  <c r="K160" i="94" s="1"/>
  <c r="J22" i="37"/>
  <c r="J160" i="94" s="1"/>
  <c r="H22" i="37"/>
  <c r="G22" i="37"/>
  <c r="F22" i="37"/>
  <c r="F160" i="94" s="1"/>
  <c r="E22" i="37"/>
  <c r="E160" i="94" s="1"/>
  <c r="D22" i="37"/>
  <c r="D160" i="94" s="1"/>
  <c r="L21" i="37"/>
  <c r="L146" i="94" s="1"/>
  <c r="K21" i="37"/>
  <c r="K146" i="94" s="1"/>
  <c r="J21" i="37"/>
  <c r="J146" i="94" s="1"/>
  <c r="I21" i="37"/>
  <c r="H21" i="37"/>
  <c r="H146" i="94" s="1"/>
  <c r="G21" i="37"/>
  <c r="F21" i="37"/>
  <c r="F146" i="94" s="1"/>
  <c r="E21" i="37"/>
  <c r="E146" i="94" s="1"/>
  <c r="D21" i="37"/>
  <c r="L20" i="37"/>
  <c r="I20" i="37"/>
  <c r="I132" i="94" s="1"/>
  <c r="H20" i="37"/>
  <c r="H132" i="94" s="1"/>
  <c r="G20" i="37"/>
  <c r="G132" i="94" s="1"/>
  <c r="F20" i="37"/>
  <c r="F132" i="94" s="1"/>
  <c r="E20" i="37"/>
  <c r="J19" i="37"/>
  <c r="H19" i="37"/>
  <c r="H118" i="94" s="1"/>
  <c r="G19" i="37"/>
  <c r="G118" i="94" s="1"/>
  <c r="F19" i="37"/>
  <c r="E19" i="37"/>
  <c r="D19" i="37"/>
  <c r="D118" i="94"/>
  <c r="K74" i="94"/>
  <c r="J60" i="94"/>
  <c r="D46" i="94"/>
  <c r="L32" i="94"/>
  <c r="I32" i="94"/>
  <c r="H32" i="94"/>
  <c r="G32" i="94"/>
  <c r="H18" i="94"/>
  <c r="D10" i="36"/>
  <c r="R103" i="32"/>
  <c r="R15" i="74" s="1"/>
  <c r="P103" i="32"/>
  <c r="L97" i="32"/>
  <c r="L985" i="94" s="1"/>
  <c r="K97" i="32"/>
  <c r="K985" i="94" s="1"/>
  <c r="I97" i="32"/>
  <c r="I985" i="94" s="1"/>
  <c r="H97" i="32"/>
  <c r="H985" i="94" s="1"/>
  <c r="G97" i="32"/>
  <c r="G985" i="94" s="1"/>
  <c r="F97" i="32"/>
  <c r="F985" i="94" s="1"/>
  <c r="E97" i="32"/>
  <c r="E985" i="94" s="1"/>
  <c r="D97" i="32"/>
  <c r="D985" i="94" s="1"/>
  <c r="L96" i="32"/>
  <c r="L971" i="94" s="1"/>
  <c r="K96" i="32"/>
  <c r="K971" i="94" s="1"/>
  <c r="J96" i="32"/>
  <c r="J971" i="94" s="1"/>
  <c r="I96" i="32"/>
  <c r="I971" i="94" s="1"/>
  <c r="H96" i="32"/>
  <c r="H971" i="94" s="1"/>
  <c r="G96" i="32"/>
  <c r="E96" i="32"/>
  <c r="E971" i="94" s="1"/>
  <c r="D96" i="32"/>
  <c r="D971" i="94"/>
  <c r="L95" i="32"/>
  <c r="L957" i="94" s="1"/>
  <c r="J95" i="32"/>
  <c r="J957" i="94" s="1"/>
  <c r="H95" i="32"/>
  <c r="H957" i="94" s="1"/>
  <c r="G95" i="32"/>
  <c r="F95" i="32"/>
  <c r="E95" i="32"/>
  <c r="E957" i="94" s="1"/>
  <c r="D95" i="32"/>
  <c r="D957" i="94" s="1"/>
  <c r="L94" i="32"/>
  <c r="L943" i="94" s="1"/>
  <c r="K94" i="32"/>
  <c r="K943" i="94" s="1"/>
  <c r="I94" i="32"/>
  <c r="I943" i="94" s="1"/>
  <c r="H94" i="32"/>
  <c r="H943" i="94" s="1"/>
  <c r="G94" i="32"/>
  <c r="E94" i="32"/>
  <c r="E943" i="94" s="1"/>
  <c r="D94" i="32"/>
  <c r="L93" i="32"/>
  <c r="L929" i="94" s="1"/>
  <c r="K93" i="32"/>
  <c r="K929" i="94" s="1"/>
  <c r="J93" i="32"/>
  <c r="J929" i="94" s="1"/>
  <c r="I93" i="32"/>
  <c r="I929" i="94" s="1"/>
  <c r="H93" i="32"/>
  <c r="H929" i="94" s="1"/>
  <c r="G93" i="32"/>
  <c r="G929" i="94" s="1"/>
  <c r="F93" i="32"/>
  <c r="F929" i="94" s="1"/>
  <c r="E93" i="32"/>
  <c r="E929" i="94" s="1"/>
  <c r="D93" i="32"/>
  <c r="L88" i="32"/>
  <c r="L885" i="94" s="1"/>
  <c r="K88" i="32"/>
  <c r="K885" i="94" s="1"/>
  <c r="J88" i="32"/>
  <c r="I88" i="32"/>
  <c r="I885" i="94" s="1"/>
  <c r="H88" i="32"/>
  <c r="H885" i="94" s="1"/>
  <c r="G88" i="32"/>
  <c r="G885" i="94" s="1"/>
  <c r="F88" i="32"/>
  <c r="F885" i="94" s="1"/>
  <c r="E88" i="32"/>
  <c r="E885" i="94" s="1"/>
  <c r="D88" i="32"/>
  <c r="S87" i="32"/>
  <c r="L121" i="32" s="1"/>
  <c r="L87" i="32"/>
  <c r="K87" i="32"/>
  <c r="K871" i="94" s="1"/>
  <c r="J87" i="32"/>
  <c r="J871" i="94" s="1"/>
  <c r="I87" i="32"/>
  <c r="H87" i="32"/>
  <c r="H871" i="94" s="1"/>
  <c r="G87" i="32"/>
  <c r="G871" i="94" s="1"/>
  <c r="F87" i="32"/>
  <c r="D64" i="31" s="1"/>
  <c r="E87" i="32"/>
  <c r="D87" i="32"/>
  <c r="D871" i="94" s="1"/>
  <c r="S84" i="32"/>
  <c r="B17" i="33" s="1"/>
  <c r="L83" i="32"/>
  <c r="L841" i="94" s="1"/>
  <c r="K83" i="32"/>
  <c r="J83" i="32"/>
  <c r="J841" i="94" s="1"/>
  <c r="I83" i="32"/>
  <c r="I841" i="94" s="1"/>
  <c r="H83" i="32"/>
  <c r="G83" i="32"/>
  <c r="G841" i="94" s="1"/>
  <c r="F83" i="32"/>
  <c r="E83" i="32"/>
  <c r="D83" i="32"/>
  <c r="L82" i="32"/>
  <c r="L827" i="94" s="1"/>
  <c r="K82" i="32"/>
  <c r="J82" i="32"/>
  <c r="J827" i="94" s="1"/>
  <c r="I82" i="32"/>
  <c r="H82" i="32"/>
  <c r="G82" i="32"/>
  <c r="G827" i="94" s="1"/>
  <c r="F82" i="32"/>
  <c r="F827" i="94" s="1"/>
  <c r="E82" i="32"/>
  <c r="D82" i="32"/>
  <c r="L81" i="32"/>
  <c r="K81" i="32"/>
  <c r="J81" i="32"/>
  <c r="J813" i="94" s="1"/>
  <c r="I81" i="32"/>
  <c r="I813" i="94" s="1"/>
  <c r="H81" i="32"/>
  <c r="H813" i="94" s="1"/>
  <c r="G81" i="32"/>
  <c r="E81" i="32"/>
  <c r="E813" i="94" s="1"/>
  <c r="D81" i="32"/>
  <c r="L80" i="32"/>
  <c r="L799" i="94" s="1"/>
  <c r="K80" i="32"/>
  <c r="K799" i="94" s="1"/>
  <c r="J80" i="32"/>
  <c r="I80" i="32"/>
  <c r="I799" i="94" s="1"/>
  <c r="H80" i="32"/>
  <c r="H799" i="94" s="1"/>
  <c r="G80" i="32"/>
  <c r="G799" i="94" s="1"/>
  <c r="F80" i="32"/>
  <c r="F799" i="94" s="1"/>
  <c r="E80" i="32"/>
  <c r="E799" i="94" s="1"/>
  <c r="D80" i="32"/>
  <c r="S77" i="32"/>
  <c r="S76" i="32"/>
  <c r="L76" i="32"/>
  <c r="L769" i="94" s="1"/>
  <c r="K76" i="32"/>
  <c r="K769" i="94" s="1"/>
  <c r="J76" i="32"/>
  <c r="J769" i="94" s="1"/>
  <c r="H76" i="32"/>
  <c r="H769" i="94" s="1"/>
  <c r="G76" i="32"/>
  <c r="F76" i="32"/>
  <c r="F769" i="94" s="1"/>
  <c r="E76" i="32"/>
  <c r="E769" i="94" s="1"/>
  <c r="D76" i="32"/>
  <c r="L75" i="32"/>
  <c r="L755" i="94" s="1"/>
  <c r="K75" i="32"/>
  <c r="K755" i="94" s="1"/>
  <c r="J75" i="32"/>
  <c r="J755" i="94" s="1"/>
  <c r="I75" i="32"/>
  <c r="I755" i="94" s="1"/>
  <c r="H75" i="32"/>
  <c r="H755" i="94" s="1"/>
  <c r="G75" i="32"/>
  <c r="G755" i="94" s="1"/>
  <c r="F75" i="32"/>
  <c r="F755" i="94" s="1"/>
  <c r="E75" i="32"/>
  <c r="D75" i="32"/>
  <c r="X74" i="32"/>
  <c r="P74" i="32"/>
  <c r="L74" i="32"/>
  <c r="L741" i="94" s="1"/>
  <c r="K74" i="32"/>
  <c r="K741" i="94" s="1"/>
  <c r="J74" i="32"/>
  <c r="J741" i="94" s="1"/>
  <c r="I74" i="32"/>
  <c r="H74" i="32"/>
  <c r="H741" i="94" s="1"/>
  <c r="G74" i="32"/>
  <c r="G741" i="94" s="1"/>
  <c r="F74" i="32"/>
  <c r="E74" i="32"/>
  <c r="D74" i="32"/>
  <c r="X73" i="32"/>
  <c r="R73" i="32"/>
  <c r="Q73" i="32"/>
  <c r="P73" i="32"/>
  <c r="L73" i="32"/>
  <c r="L727" i="94" s="1"/>
  <c r="K73" i="32"/>
  <c r="K727" i="94" s="1"/>
  <c r="J73" i="32"/>
  <c r="J727" i="94" s="1"/>
  <c r="I73" i="32"/>
  <c r="H73" i="32"/>
  <c r="H727" i="94" s="1"/>
  <c r="G73" i="32"/>
  <c r="G727" i="94" s="1"/>
  <c r="F73" i="32"/>
  <c r="F727" i="94" s="1"/>
  <c r="E73" i="32"/>
  <c r="E727" i="94" s="1"/>
  <c r="D73" i="32"/>
  <c r="D727" i="94" s="1"/>
  <c r="X72" i="32"/>
  <c r="R72" i="32"/>
  <c r="Q72" i="32"/>
  <c r="P72" i="32"/>
  <c r="K72" i="32"/>
  <c r="I72" i="32"/>
  <c r="I713" i="94" s="1"/>
  <c r="H72" i="32"/>
  <c r="G72" i="32"/>
  <c r="G713" i="94" s="1"/>
  <c r="F72" i="32"/>
  <c r="F713" i="94"/>
  <c r="E72" i="32"/>
  <c r="X71" i="32"/>
  <c r="R71" i="32"/>
  <c r="Q71" i="32"/>
  <c r="P71" i="32"/>
  <c r="L71" i="32"/>
  <c r="L699" i="94" s="1"/>
  <c r="K71" i="32"/>
  <c r="K699" i="94" s="1"/>
  <c r="J71" i="32"/>
  <c r="J699" i="94" s="1"/>
  <c r="I71" i="32"/>
  <c r="I699" i="94" s="1"/>
  <c r="H71" i="32"/>
  <c r="H699" i="94" s="1"/>
  <c r="G71" i="32"/>
  <c r="G699" i="94" s="1"/>
  <c r="F71" i="32"/>
  <c r="D48" i="31" s="1"/>
  <c r="E71" i="32"/>
  <c r="D71" i="32"/>
  <c r="X70" i="32"/>
  <c r="R70" i="32"/>
  <c r="Q70" i="32"/>
  <c r="P70" i="32"/>
  <c r="L70" i="32"/>
  <c r="L685" i="94" s="1"/>
  <c r="K70" i="32"/>
  <c r="J70" i="32"/>
  <c r="J685" i="94" s="1"/>
  <c r="I70" i="32"/>
  <c r="H70" i="32"/>
  <c r="H685" i="94"/>
  <c r="G70" i="32"/>
  <c r="G685" i="94" s="1"/>
  <c r="F70" i="32"/>
  <c r="D47" i="31" s="1"/>
  <c r="E70" i="32"/>
  <c r="D70" i="32"/>
  <c r="X69" i="32"/>
  <c r="R69" i="32"/>
  <c r="Q69" i="32"/>
  <c r="Q65" i="32"/>
  <c r="Q66" i="32"/>
  <c r="Q67" i="32"/>
  <c r="Q68" i="32"/>
  <c r="P69" i="32"/>
  <c r="L69" i="32"/>
  <c r="L671" i="94" s="1"/>
  <c r="K69" i="32"/>
  <c r="K671" i="94" s="1"/>
  <c r="J69" i="32"/>
  <c r="H69" i="32"/>
  <c r="H671" i="94" s="1"/>
  <c r="F69" i="32"/>
  <c r="E69" i="32"/>
  <c r="D69" i="32"/>
  <c r="O69" i="32" s="1"/>
  <c r="S69" i="32" s="1"/>
  <c r="X68" i="32"/>
  <c r="R68" i="32"/>
  <c r="P68" i="32"/>
  <c r="E13" i="95" s="1"/>
  <c r="L68" i="32"/>
  <c r="L657" i="94" s="1"/>
  <c r="K68" i="32"/>
  <c r="K657" i="94" s="1"/>
  <c r="J68" i="32"/>
  <c r="J657" i="94" s="1"/>
  <c r="I68" i="32"/>
  <c r="I657" i="94" s="1"/>
  <c r="H68" i="32"/>
  <c r="G68" i="32"/>
  <c r="G657" i="94" s="1"/>
  <c r="F68" i="32"/>
  <c r="E68" i="32"/>
  <c r="E657" i="94" s="1"/>
  <c r="D68" i="32"/>
  <c r="X67" i="32"/>
  <c r="R67" i="32"/>
  <c r="P67" i="32"/>
  <c r="L67" i="32"/>
  <c r="K67" i="32"/>
  <c r="K643" i="94" s="1"/>
  <c r="J67" i="32"/>
  <c r="J643" i="94"/>
  <c r="I67" i="32"/>
  <c r="I643" i="94" s="1"/>
  <c r="H67" i="32"/>
  <c r="H643" i="94" s="1"/>
  <c r="D67" i="32"/>
  <c r="E67" i="32"/>
  <c r="F67" i="32"/>
  <c r="D44" i="31" s="1"/>
  <c r="G67" i="32"/>
  <c r="X66" i="32"/>
  <c r="R66" i="32"/>
  <c r="P66" i="32"/>
  <c r="P65" i="32"/>
  <c r="L66" i="32"/>
  <c r="L629" i="94" s="1"/>
  <c r="K66" i="32"/>
  <c r="J66" i="32"/>
  <c r="J629" i="94" s="1"/>
  <c r="I66" i="32"/>
  <c r="I629" i="94" s="1"/>
  <c r="H66" i="32"/>
  <c r="H629" i="94" s="1"/>
  <c r="G66" i="32"/>
  <c r="G629" i="94" s="1"/>
  <c r="F66" i="32"/>
  <c r="F629" i="94" s="1"/>
  <c r="E66" i="32"/>
  <c r="E629" i="94" s="1"/>
  <c r="D66" i="32"/>
  <c r="X65" i="32"/>
  <c r="R65" i="32"/>
  <c r="L65" i="32"/>
  <c r="K65" i="32"/>
  <c r="K615" i="94" s="1"/>
  <c r="J65" i="32"/>
  <c r="I65" i="32"/>
  <c r="H65" i="32"/>
  <c r="H615" i="94" s="1"/>
  <c r="G65" i="32"/>
  <c r="F65" i="32"/>
  <c r="E65" i="32"/>
  <c r="E615" i="94" s="1"/>
  <c r="D65" i="32"/>
  <c r="D615" i="94" s="1"/>
  <c r="L572" i="94"/>
  <c r="I572" i="94"/>
  <c r="E572" i="94"/>
  <c r="I558" i="94"/>
  <c r="D558" i="94"/>
  <c r="K544" i="94"/>
  <c r="D35" i="31"/>
  <c r="D544" i="94"/>
  <c r="G530" i="94"/>
  <c r="J516" i="94"/>
  <c r="H516" i="94"/>
  <c r="E516" i="94"/>
  <c r="E502" i="94"/>
  <c r="K486" i="94"/>
  <c r="J486" i="94"/>
  <c r="K470" i="94"/>
  <c r="H470" i="94"/>
  <c r="I454" i="94"/>
  <c r="E454" i="94"/>
  <c r="J395" i="94"/>
  <c r="J381" i="94"/>
  <c r="K367" i="94"/>
  <c r="L339" i="94"/>
  <c r="K339" i="94"/>
  <c r="H339" i="94"/>
  <c r="G339" i="94"/>
  <c r="L35" i="32"/>
  <c r="L325" i="94" s="1"/>
  <c r="K35" i="32"/>
  <c r="J35" i="32"/>
  <c r="J325" i="94" s="1"/>
  <c r="I35" i="32"/>
  <c r="I325" i="94" s="1"/>
  <c r="H35" i="32"/>
  <c r="H325" i="94" s="1"/>
  <c r="G35" i="32"/>
  <c r="G325" i="94" s="1"/>
  <c r="F35" i="32"/>
  <c r="F325" i="94" s="1"/>
  <c r="E35" i="32"/>
  <c r="D35" i="32"/>
  <c r="D325" i="94" s="1"/>
  <c r="R34" i="32"/>
  <c r="L114" i="32" s="1"/>
  <c r="J34" i="32"/>
  <c r="J311" i="94" s="1"/>
  <c r="I34" i="32"/>
  <c r="H34" i="32"/>
  <c r="H311" i="94" s="1"/>
  <c r="G34" i="32"/>
  <c r="G311" i="94" s="1"/>
  <c r="F34" i="32"/>
  <c r="F311" i="94" s="1"/>
  <c r="E34" i="32"/>
  <c r="D34" i="32"/>
  <c r="D311" i="94" s="1"/>
  <c r="L33" i="32"/>
  <c r="L297" i="94" s="1"/>
  <c r="K33" i="32"/>
  <c r="K297" i="94" s="1"/>
  <c r="J33" i="32"/>
  <c r="J297" i="94" s="1"/>
  <c r="I33" i="32"/>
  <c r="I297" i="94" s="1"/>
  <c r="H33" i="32"/>
  <c r="H297" i="94" s="1"/>
  <c r="G33" i="32"/>
  <c r="F33" i="32"/>
  <c r="E33" i="32"/>
  <c r="E297" i="94" s="1"/>
  <c r="D33" i="32"/>
  <c r="D297" i="94" s="1"/>
  <c r="Q32" i="32"/>
  <c r="L113" i="32" s="1"/>
  <c r="L32" i="32"/>
  <c r="J32" i="32"/>
  <c r="J283" i="94" s="1"/>
  <c r="I32" i="32"/>
  <c r="I283" i="94" s="1"/>
  <c r="H32" i="32"/>
  <c r="H283" i="94" s="1"/>
  <c r="G32" i="32"/>
  <c r="G283" i="94" s="1"/>
  <c r="F32" i="32"/>
  <c r="E32" i="32"/>
  <c r="E283" i="94" s="1"/>
  <c r="D32" i="32"/>
  <c r="D283" i="94" s="1"/>
  <c r="K240" i="94"/>
  <c r="J240" i="94"/>
  <c r="H240" i="94"/>
  <c r="G240" i="94"/>
  <c r="L226" i="94"/>
  <c r="H226" i="94"/>
  <c r="G226" i="94"/>
  <c r="L212" i="94"/>
  <c r="I212" i="94"/>
  <c r="F212" i="94"/>
  <c r="I198" i="94"/>
  <c r="G198" i="94"/>
  <c r="F198" i="94"/>
  <c r="E198" i="94"/>
  <c r="K184" i="94"/>
  <c r="G184" i="94"/>
  <c r="F184" i="94"/>
  <c r="L22" i="32"/>
  <c r="L156" i="94" s="1"/>
  <c r="K22" i="32"/>
  <c r="K156" i="94" s="1"/>
  <c r="J22" i="32"/>
  <c r="J156" i="94" s="1"/>
  <c r="H22" i="32"/>
  <c r="H156" i="94" s="1"/>
  <c r="G22" i="32"/>
  <c r="G156" i="94" s="1"/>
  <c r="F22" i="32"/>
  <c r="F156" i="94" s="1"/>
  <c r="E22" i="32"/>
  <c r="E156" i="94" s="1"/>
  <c r="D22" i="32"/>
  <c r="L21" i="32"/>
  <c r="L142" i="94" s="1"/>
  <c r="K21" i="32"/>
  <c r="K142" i="94" s="1"/>
  <c r="J21" i="32"/>
  <c r="J142" i="94" s="1"/>
  <c r="I21" i="32"/>
  <c r="I142" i="94" s="1"/>
  <c r="H21" i="32"/>
  <c r="H142" i="94" s="1"/>
  <c r="G21" i="32"/>
  <c r="F21" i="32"/>
  <c r="E21" i="32"/>
  <c r="E142" i="94" s="1"/>
  <c r="D21" i="32"/>
  <c r="D142" i="94" s="1"/>
  <c r="L20" i="32"/>
  <c r="L128" i="94" s="1"/>
  <c r="I20" i="32"/>
  <c r="I128" i="94" s="1"/>
  <c r="H20" i="32"/>
  <c r="H128" i="94" s="1"/>
  <c r="G20" i="32"/>
  <c r="F20" i="32"/>
  <c r="E20" i="32"/>
  <c r="J19" i="32"/>
  <c r="J114" i="94" s="1"/>
  <c r="H19" i="32"/>
  <c r="H114" i="94" s="1"/>
  <c r="G19" i="32"/>
  <c r="G114" i="94" s="1"/>
  <c r="F19" i="32"/>
  <c r="E19" i="32"/>
  <c r="E114" i="94" s="1"/>
  <c r="D19" i="32"/>
  <c r="J70" i="94"/>
  <c r="G70" i="94"/>
  <c r="I56" i="94"/>
  <c r="H56" i="94"/>
  <c r="G56" i="94"/>
  <c r="D13" i="31"/>
  <c r="D42" i="94"/>
  <c r="I28" i="94"/>
  <c r="L14" i="94"/>
  <c r="H14" i="94"/>
  <c r="D14" i="94"/>
  <c r="R103" i="27"/>
  <c r="P103" i="27"/>
  <c r="AD14" i="100" s="1"/>
  <c r="L97" i="27"/>
  <c r="L983" i="94" s="1"/>
  <c r="K97" i="27"/>
  <c r="K983" i="94" s="1"/>
  <c r="I97" i="27"/>
  <c r="I983" i="94" s="1"/>
  <c r="H97" i="27"/>
  <c r="H983" i="94" s="1"/>
  <c r="G97" i="27"/>
  <c r="G983" i="94" s="1"/>
  <c r="F97" i="27"/>
  <c r="E97" i="27"/>
  <c r="D97" i="27"/>
  <c r="D983" i="94" s="1"/>
  <c r="L96" i="27"/>
  <c r="K96" i="27"/>
  <c r="K969" i="94" s="1"/>
  <c r="J96" i="27"/>
  <c r="J969" i="94" s="1"/>
  <c r="I96" i="27"/>
  <c r="I969" i="94" s="1"/>
  <c r="H96" i="27"/>
  <c r="H969" i="94" s="1"/>
  <c r="G96" i="27"/>
  <c r="G969" i="94" s="1"/>
  <c r="E96" i="27"/>
  <c r="E969" i="94" s="1"/>
  <c r="D96" i="27"/>
  <c r="L95" i="27"/>
  <c r="L955" i="94" s="1"/>
  <c r="J95" i="27"/>
  <c r="J955" i="94" s="1"/>
  <c r="H95" i="27"/>
  <c r="H955" i="94" s="1"/>
  <c r="G95" i="27"/>
  <c r="F95" i="27"/>
  <c r="F955" i="94" s="1"/>
  <c r="E95" i="27"/>
  <c r="E955" i="94" s="1"/>
  <c r="D95" i="27"/>
  <c r="D955" i="94" s="1"/>
  <c r="L94" i="27"/>
  <c r="L941" i="94" s="1"/>
  <c r="K94" i="27"/>
  <c r="I94" i="27"/>
  <c r="I941" i="94" s="1"/>
  <c r="H94" i="27"/>
  <c r="H941" i="94" s="1"/>
  <c r="G94" i="27"/>
  <c r="G941" i="94" s="1"/>
  <c r="E94" i="27"/>
  <c r="E941" i="94" s="1"/>
  <c r="D94" i="27"/>
  <c r="L93" i="27"/>
  <c r="L927" i="94" s="1"/>
  <c r="K93" i="27"/>
  <c r="K927" i="94" s="1"/>
  <c r="J93" i="27"/>
  <c r="J927" i="94" s="1"/>
  <c r="I93" i="27"/>
  <c r="I927" i="94" s="1"/>
  <c r="H93" i="27"/>
  <c r="H927" i="94" s="1"/>
  <c r="G93" i="27"/>
  <c r="F93" i="27"/>
  <c r="F927" i="94" s="1"/>
  <c r="E93" i="27"/>
  <c r="D93" i="27"/>
  <c r="D927" i="94" s="1"/>
  <c r="L88" i="27"/>
  <c r="L883" i="94" s="1"/>
  <c r="K88" i="27"/>
  <c r="J88" i="27"/>
  <c r="I88" i="27"/>
  <c r="I883" i="94" s="1"/>
  <c r="H88" i="27"/>
  <c r="H883" i="94" s="1"/>
  <c r="G88" i="27"/>
  <c r="G883" i="94" s="1"/>
  <c r="F88" i="27"/>
  <c r="D65" i="26" s="1"/>
  <c r="F883" i="94"/>
  <c r="E88" i="27"/>
  <c r="D88" i="27"/>
  <c r="S87" i="27"/>
  <c r="L87" i="27"/>
  <c r="L869" i="94" s="1"/>
  <c r="K87" i="27"/>
  <c r="K869" i="94" s="1"/>
  <c r="J87" i="27"/>
  <c r="I87" i="27"/>
  <c r="H87" i="27"/>
  <c r="G87" i="27"/>
  <c r="G869" i="94"/>
  <c r="F87" i="27"/>
  <c r="E87" i="27"/>
  <c r="E869" i="94" s="1"/>
  <c r="D87" i="27"/>
  <c r="D869" i="94" s="1"/>
  <c r="S84" i="27"/>
  <c r="L83" i="27"/>
  <c r="L839" i="94" s="1"/>
  <c r="K83" i="27"/>
  <c r="K839" i="94" s="1"/>
  <c r="J83" i="27"/>
  <c r="I83" i="27"/>
  <c r="H83" i="27"/>
  <c r="H839" i="94" s="1"/>
  <c r="G83" i="27"/>
  <c r="G839" i="94" s="1"/>
  <c r="F83" i="27"/>
  <c r="F839" i="94" s="1"/>
  <c r="E83" i="27"/>
  <c r="E839" i="94" s="1"/>
  <c r="D83" i="27"/>
  <c r="L82" i="27"/>
  <c r="L825" i="94" s="1"/>
  <c r="K82" i="27"/>
  <c r="J82" i="27"/>
  <c r="J825" i="94" s="1"/>
  <c r="I82" i="27"/>
  <c r="I825" i="94" s="1"/>
  <c r="H82" i="27"/>
  <c r="H825" i="94" s="1"/>
  <c r="G82" i="27"/>
  <c r="G825" i="94" s="1"/>
  <c r="F82" i="27"/>
  <c r="E82" i="27"/>
  <c r="E825" i="94" s="1"/>
  <c r="D82" i="27"/>
  <c r="L81" i="27"/>
  <c r="L811" i="94" s="1"/>
  <c r="K81" i="27"/>
  <c r="K811" i="94" s="1"/>
  <c r="J81" i="27"/>
  <c r="I81" i="27"/>
  <c r="I811" i="94" s="1"/>
  <c r="H81" i="27"/>
  <c r="H811" i="94" s="1"/>
  <c r="G81" i="27"/>
  <c r="G811" i="94" s="1"/>
  <c r="E81" i="27"/>
  <c r="D81" i="27"/>
  <c r="L80" i="27"/>
  <c r="K80" i="27"/>
  <c r="J80" i="27"/>
  <c r="J797" i="94" s="1"/>
  <c r="I80" i="27"/>
  <c r="I797" i="94" s="1"/>
  <c r="H80" i="27"/>
  <c r="G80" i="27"/>
  <c r="G797" i="94"/>
  <c r="F80" i="27"/>
  <c r="E80" i="27"/>
  <c r="E797" i="94" s="1"/>
  <c r="D80" i="27"/>
  <c r="S77" i="27"/>
  <c r="S76" i="27"/>
  <c r="L76" i="27"/>
  <c r="L767" i="94" s="1"/>
  <c r="K76" i="27"/>
  <c r="K767" i="94" s="1"/>
  <c r="J76" i="27"/>
  <c r="J767" i="94" s="1"/>
  <c r="H76" i="27"/>
  <c r="H767" i="94" s="1"/>
  <c r="G76" i="27"/>
  <c r="G767" i="94" s="1"/>
  <c r="F76" i="27"/>
  <c r="E76" i="27"/>
  <c r="E767" i="94" s="1"/>
  <c r="D76" i="27"/>
  <c r="D767" i="94" s="1"/>
  <c r="L75" i="27"/>
  <c r="L753" i="94" s="1"/>
  <c r="K75" i="27"/>
  <c r="K753" i="94" s="1"/>
  <c r="J75" i="27"/>
  <c r="J753" i="94" s="1"/>
  <c r="I75" i="27"/>
  <c r="I753" i="94" s="1"/>
  <c r="H75" i="27"/>
  <c r="G75" i="27"/>
  <c r="G753" i="94" s="1"/>
  <c r="F75" i="27"/>
  <c r="F753" i="94" s="1"/>
  <c r="E75" i="27"/>
  <c r="E753" i="94" s="1"/>
  <c r="D75" i="27"/>
  <c r="X74" i="27"/>
  <c r="P74" i="27"/>
  <c r="L74" i="27"/>
  <c r="K74" i="27"/>
  <c r="J74" i="27"/>
  <c r="J739" i="94" s="1"/>
  <c r="I74" i="27"/>
  <c r="I739" i="94" s="1"/>
  <c r="H74" i="27"/>
  <c r="H739" i="94" s="1"/>
  <c r="G74" i="27"/>
  <c r="G739" i="94" s="1"/>
  <c r="F74" i="27"/>
  <c r="F739" i="94" s="1"/>
  <c r="E74" i="27"/>
  <c r="E739" i="94" s="1"/>
  <c r="D74" i="27"/>
  <c r="D739" i="94" s="1"/>
  <c r="X73" i="27"/>
  <c r="R73" i="27"/>
  <c r="Q73" i="27"/>
  <c r="P73" i="27"/>
  <c r="L73" i="27"/>
  <c r="L725" i="94" s="1"/>
  <c r="K73" i="27"/>
  <c r="K725" i="94" s="1"/>
  <c r="J73" i="27"/>
  <c r="J725" i="94" s="1"/>
  <c r="I73" i="27"/>
  <c r="H73" i="27"/>
  <c r="H725" i="94" s="1"/>
  <c r="G73" i="27"/>
  <c r="F73" i="27"/>
  <c r="D50" i="26" s="1"/>
  <c r="F725" i="94"/>
  <c r="E73" i="27"/>
  <c r="E725" i="94" s="1"/>
  <c r="D73" i="27"/>
  <c r="D725" i="94" s="1"/>
  <c r="X72" i="27"/>
  <c r="R72" i="27"/>
  <c r="Q72" i="27"/>
  <c r="P72" i="27"/>
  <c r="K72" i="27"/>
  <c r="K711" i="94" s="1"/>
  <c r="I72" i="27"/>
  <c r="I711" i="94" s="1"/>
  <c r="H72" i="27"/>
  <c r="G72" i="27"/>
  <c r="F72" i="27"/>
  <c r="E72" i="27"/>
  <c r="E711" i="94" s="1"/>
  <c r="X71" i="27"/>
  <c r="R71" i="27"/>
  <c r="Q71" i="27"/>
  <c r="P71" i="27"/>
  <c r="L71" i="27"/>
  <c r="L697" i="94" s="1"/>
  <c r="K71" i="27"/>
  <c r="K697" i="94" s="1"/>
  <c r="J71" i="27"/>
  <c r="J697" i="94" s="1"/>
  <c r="I71" i="27"/>
  <c r="I697" i="94" s="1"/>
  <c r="H71" i="27"/>
  <c r="H697" i="94" s="1"/>
  <c r="G71" i="27"/>
  <c r="F71" i="27"/>
  <c r="E71" i="27"/>
  <c r="E697" i="94" s="1"/>
  <c r="D71" i="27"/>
  <c r="X70" i="27"/>
  <c r="R70" i="27"/>
  <c r="Q70" i="27"/>
  <c r="P70" i="27"/>
  <c r="L70" i="27"/>
  <c r="K70" i="27"/>
  <c r="J70" i="27"/>
  <c r="J683" i="94" s="1"/>
  <c r="I70" i="27"/>
  <c r="I683" i="94" s="1"/>
  <c r="H70" i="27"/>
  <c r="H683" i="94" s="1"/>
  <c r="G70" i="27"/>
  <c r="G683" i="94" s="1"/>
  <c r="F70" i="27"/>
  <c r="E70" i="27"/>
  <c r="D70" i="27"/>
  <c r="X69" i="27"/>
  <c r="R69" i="27"/>
  <c r="Q69" i="27"/>
  <c r="P69" i="27"/>
  <c r="L69" i="27"/>
  <c r="L669" i="94" s="1"/>
  <c r="K69" i="27"/>
  <c r="K669" i="94" s="1"/>
  <c r="J69" i="27"/>
  <c r="J669" i="94" s="1"/>
  <c r="H69" i="27"/>
  <c r="H669" i="94" s="1"/>
  <c r="F69" i="27"/>
  <c r="E69" i="27"/>
  <c r="E669" i="94" s="1"/>
  <c r="D69" i="27"/>
  <c r="D669" i="94" s="1"/>
  <c r="X68" i="27"/>
  <c r="R68" i="27"/>
  <c r="Q68" i="27"/>
  <c r="P68" i="27"/>
  <c r="E12" i="95" s="1"/>
  <c r="L68" i="27"/>
  <c r="L655" i="94" s="1"/>
  <c r="K68" i="27"/>
  <c r="K655" i="94"/>
  <c r="J68" i="27"/>
  <c r="J655" i="94" s="1"/>
  <c r="I68" i="27"/>
  <c r="I655" i="94" s="1"/>
  <c r="H68" i="27"/>
  <c r="H655" i="94" s="1"/>
  <c r="G68" i="27"/>
  <c r="F68" i="27"/>
  <c r="E68" i="27"/>
  <c r="E655" i="94" s="1"/>
  <c r="D68" i="27"/>
  <c r="D655" i="94" s="1"/>
  <c r="X67" i="27"/>
  <c r="R67" i="27"/>
  <c r="Q67" i="27"/>
  <c r="P67" i="27"/>
  <c r="L67" i="27"/>
  <c r="L641" i="94" s="1"/>
  <c r="K67" i="27"/>
  <c r="J67" i="27"/>
  <c r="J641" i="94" s="1"/>
  <c r="I67" i="27"/>
  <c r="I641" i="94" s="1"/>
  <c r="H67" i="27"/>
  <c r="H641" i="94" s="1"/>
  <c r="G67" i="27"/>
  <c r="G641" i="94"/>
  <c r="F67" i="27"/>
  <c r="F641" i="94"/>
  <c r="E67" i="27"/>
  <c r="D67" i="27"/>
  <c r="D641" i="94" s="1"/>
  <c r="X66" i="27"/>
  <c r="R66" i="27"/>
  <c r="Q66" i="27"/>
  <c r="P66" i="27"/>
  <c r="L66" i="27"/>
  <c r="L627" i="94" s="1"/>
  <c r="K66" i="27"/>
  <c r="K627" i="94" s="1"/>
  <c r="J66" i="27"/>
  <c r="J627" i="94" s="1"/>
  <c r="I66" i="27"/>
  <c r="H66" i="27"/>
  <c r="H627" i="94" s="1"/>
  <c r="G66" i="27"/>
  <c r="F66" i="27"/>
  <c r="E66" i="27"/>
  <c r="E627" i="94" s="1"/>
  <c r="D66" i="27"/>
  <c r="D627" i="94" s="1"/>
  <c r="X65" i="27"/>
  <c r="R65" i="27"/>
  <c r="Q65" i="27"/>
  <c r="P65" i="27"/>
  <c r="L65" i="27"/>
  <c r="L613" i="94" s="1"/>
  <c r="K65" i="27"/>
  <c r="K613" i="94" s="1"/>
  <c r="J65" i="27"/>
  <c r="J613" i="94"/>
  <c r="I65" i="27"/>
  <c r="I613" i="94" s="1"/>
  <c r="H65" i="27"/>
  <c r="H613" i="94" s="1"/>
  <c r="G65" i="27"/>
  <c r="G613" i="94" s="1"/>
  <c r="F65" i="27"/>
  <c r="F613" i="94"/>
  <c r="E65" i="27"/>
  <c r="E613" i="94" s="1"/>
  <c r="D65" i="27"/>
  <c r="E570" i="94"/>
  <c r="J556" i="94"/>
  <c r="H556" i="94"/>
  <c r="J542" i="94"/>
  <c r="H542" i="94"/>
  <c r="K528" i="94"/>
  <c r="J528" i="94"/>
  <c r="H528" i="94"/>
  <c r="E528" i="94"/>
  <c r="K514" i="94"/>
  <c r="J514" i="94"/>
  <c r="K500" i="94"/>
  <c r="J500" i="94"/>
  <c r="G500" i="94"/>
  <c r="D32" i="26"/>
  <c r="I484" i="94"/>
  <c r="G484" i="94"/>
  <c r="E484" i="94"/>
  <c r="J468" i="94"/>
  <c r="J452" i="94"/>
  <c r="H452" i="94"/>
  <c r="D452" i="94"/>
  <c r="L407" i="94"/>
  <c r="J393" i="94"/>
  <c r="D393" i="94"/>
  <c r="J365" i="94"/>
  <c r="L337" i="94"/>
  <c r="K337" i="94"/>
  <c r="J337" i="94"/>
  <c r="D337" i="94"/>
  <c r="L35" i="27"/>
  <c r="L323" i="94" s="1"/>
  <c r="K35" i="27"/>
  <c r="K323" i="94" s="1"/>
  <c r="J35" i="27"/>
  <c r="J323" i="94" s="1"/>
  <c r="I35" i="27"/>
  <c r="I323" i="94" s="1"/>
  <c r="H35" i="27"/>
  <c r="G35" i="27"/>
  <c r="F35" i="27"/>
  <c r="F323" i="94" s="1"/>
  <c r="E35" i="27"/>
  <c r="D35" i="27"/>
  <c r="R34" i="27"/>
  <c r="L114" i="27" s="1"/>
  <c r="J34" i="27"/>
  <c r="J309" i="94" s="1"/>
  <c r="I34" i="27"/>
  <c r="I309" i="94" s="1"/>
  <c r="H34" i="27"/>
  <c r="H309" i="94" s="1"/>
  <c r="G34" i="27"/>
  <c r="G309" i="94" s="1"/>
  <c r="F34" i="27"/>
  <c r="E34" i="27"/>
  <c r="E309" i="94" s="1"/>
  <c r="D34" i="27"/>
  <c r="D309" i="94" s="1"/>
  <c r="L33" i="27"/>
  <c r="L295" i="94" s="1"/>
  <c r="K33" i="27"/>
  <c r="J33" i="27"/>
  <c r="I33" i="27"/>
  <c r="I295" i="94"/>
  <c r="H33" i="27"/>
  <c r="H295" i="94" s="1"/>
  <c r="G33" i="27"/>
  <c r="G295" i="94" s="1"/>
  <c r="F33" i="27"/>
  <c r="F295" i="94" s="1"/>
  <c r="E33" i="27"/>
  <c r="E295" i="94" s="1"/>
  <c r="D33" i="27"/>
  <c r="Q32" i="27"/>
  <c r="L113" i="27" s="1"/>
  <c r="L32" i="27"/>
  <c r="J32" i="27"/>
  <c r="J281" i="94" s="1"/>
  <c r="I32" i="27"/>
  <c r="I281" i="94" s="1"/>
  <c r="H32" i="27"/>
  <c r="G32" i="27"/>
  <c r="G281" i="94" s="1"/>
  <c r="F32" i="27"/>
  <c r="F281" i="94" s="1"/>
  <c r="E32" i="27"/>
  <c r="D32" i="27"/>
  <c r="G238" i="94"/>
  <c r="L224" i="94"/>
  <c r="H224" i="94"/>
  <c r="D224" i="94"/>
  <c r="I210" i="94"/>
  <c r="E210" i="94"/>
  <c r="J196" i="94"/>
  <c r="I196" i="94"/>
  <c r="G196" i="94"/>
  <c r="F196" i="94"/>
  <c r="K182" i="94"/>
  <c r="J182" i="94"/>
  <c r="I182" i="94"/>
  <c r="G182" i="94"/>
  <c r="L168" i="94"/>
  <c r="F168" i="94"/>
  <c r="E168" i="94"/>
  <c r="L22" i="27"/>
  <c r="L154" i="94" s="1"/>
  <c r="K22" i="27"/>
  <c r="K154" i="94" s="1"/>
  <c r="J22" i="27"/>
  <c r="H22" i="27"/>
  <c r="G22" i="27"/>
  <c r="G154" i="94" s="1"/>
  <c r="F22" i="27"/>
  <c r="F154" i="94" s="1"/>
  <c r="E22" i="27"/>
  <c r="E154" i="94" s="1"/>
  <c r="D22" i="27"/>
  <c r="D154" i="94" s="1"/>
  <c r="L21" i="27"/>
  <c r="L140" i="94" s="1"/>
  <c r="K21" i="27"/>
  <c r="K140" i="94" s="1"/>
  <c r="J21" i="27"/>
  <c r="I21" i="27"/>
  <c r="I140" i="94" s="1"/>
  <c r="H21" i="27"/>
  <c r="H140" i="94" s="1"/>
  <c r="G21" i="27"/>
  <c r="G140" i="94" s="1"/>
  <c r="F21" i="27"/>
  <c r="F140" i="94" s="1"/>
  <c r="E21" i="27"/>
  <c r="E140" i="94" s="1"/>
  <c r="D21" i="27"/>
  <c r="D140" i="94" s="1"/>
  <c r="L20" i="27"/>
  <c r="I20" i="27"/>
  <c r="I126" i="94" s="1"/>
  <c r="H20" i="27"/>
  <c r="G20" i="27"/>
  <c r="G126" i="94" s="1"/>
  <c r="F20" i="27"/>
  <c r="F126" i="94" s="1"/>
  <c r="E20" i="27"/>
  <c r="E126" i="94" s="1"/>
  <c r="J19" i="27"/>
  <c r="J112" i="94" s="1"/>
  <c r="H19" i="27"/>
  <c r="H112" i="94" s="1"/>
  <c r="G19" i="27"/>
  <c r="F19" i="27"/>
  <c r="E19" i="27"/>
  <c r="D19" i="27"/>
  <c r="D112" i="94"/>
  <c r="J68" i="94"/>
  <c r="I68" i="94"/>
  <c r="K54" i="94"/>
  <c r="J54" i="94"/>
  <c r="H54" i="94"/>
  <c r="G54" i="94"/>
  <c r="D40" i="94"/>
  <c r="K26" i="94"/>
  <c r="J26" i="94"/>
  <c r="K12" i="94"/>
  <c r="R103" i="22"/>
  <c r="P103" i="22"/>
  <c r="H12" i="78" s="1"/>
  <c r="L97" i="22"/>
  <c r="L982" i="94" s="1"/>
  <c r="K97" i="22"/>
  <c r="K982" i="94" s="1"/>
  <c r="I97" i="22"/>
  <c r="I982" i="94" s="1"/>
  <c r="H97" i="22"/>
  <c r="H982" i="94" s="1"/>
  <c r="G97" i="22"/>
  <c r="G982" i="94" s="1"/>
  <c r="F97" i="22"/>
  <c r="F982" i="94" s="1"/>
  <c r="E97" i="22"/>
  <c r="E982" i="94" s="1"/>
  <c r="D97" i="22"/>
  <c r="D982" i="94" s="1"/>
  <c r="L96" i="22"/>
  <c r="L968" i="94" s="1"/>
  <c r="K96" i="22"/>
  <c r="K968" i="94" s="1"/>
  <c r="J96" i="22"/>
  <c r="I96" i="22"/>
  <c r="I968" i="94" s="1"/>
  <c r="H96" i="22"/>
  <c r="H968" i="94" s="1"/>
  <c r="G96" i="22"/>
  <c r="G968" i="94" s="1"/>
  <c r="E96" i="22"/>
  <c r="D96" i="22"/>
  <c r="D968" i="94" s="1"/>
  <c r="L95" i="22"/>
  <c r="L954" i="94" s="1"/>
  <c r="J95" i="22"/>
  <c r="J954" i="94" s="1"/>
  <c r="H95" i="22"/>
  <c r="H954" i="94" s="1"/>
  <c r="G95" i="22"/>
  <c r="F95" i="22"/>
  <c r="F954" i="94" s="1"/>
  <c r="E95" i="22"/>
  <c r="E954" i="94" s="1"/>
  <c r="D95" i="22"/>
  <c r="D954" i="94" s="1"/>
  <c r="L94" i="22"/>
  <c r="L940" i="94" s="1"/>
  <c r="K94" i="22"/>
  <c r="I94" i="22"/>
  <c r="I940" i="94" s="1"/>
  <c r="H94" i="22"/>
  <c r="H940" i="94" s="1"/>
  <c r="G94" i="22"/>
  <c r="E94" i="22"/>
  <c r="D94" i="22"/>
  <c r="D940" i="94" s="1"/>
  <c r="L93" i="22"/>
  <c r="L926" i="94" s="1"/>
  <c r="K93" i="22"/>
  <c r="K926" i="94" s="1"/>
  <c r="J93" i="22"/>
  <c r="J926" i="94" s="1"/>
  <c r="I93" i="22"/>
  <c r="H93" i="22"/>
  <c r="G93" i="22"/>
  <c r="G926" i="94" s="1"/>
  <c r="F93" i="22"/>
  <c r="F926" i="94" s="1"/>
  <c r="E93" i="22"/>
  <c r="D93" i="22"/>
  <c r="D926" i="94" s="1"/>
  <c r="L88" i="22"/>
  <c r="K88" i="22"/>
  <c r="K882" i="94" s="1"/>
  <c r="J88" i="22"/>
  <c r="J882" i="94" s="1"/>
  <c r="I88" i="22"/>
  <c r="I882" i="94" s="1"/>
  <c r="H88" i="22"/>
  <c r="H882" i="94" s="1"/>
  <c r="G88" i="22"/>
  <c r="G882" i="94" s="1"/>
  <c r="F88" i="22"/>
  <c r="D65" i="21" s="1"/>
  <c r="E88" i="22"/>
  <c r="E882" i="94" s="1"/>
  <c r="D88" i="22"/>
  <c r="D882" i="94" s="1"/>
  <c r="S87" i="22"/>
  <c r="L87" i="22"/>
  <c r="L868" i="94"/>
  <c r="K87" i="22"/>
  <c r="J87" i="22"/>
  <c r="I87" i="22"/>
  <c r="H87" i="22"/>
  <c r="H868" i="94" s="1"/>
  <c r="G87" i="22"/>
  <c r="F87" i="22"/>
  <c r="D64" i="21" s="1"/>
  <c r="E87" i="22"/>
  <c r="D87" i="22"/>
  <c r="S84" i="22"/>
  <c r="L120" i="22" s="1"/>
  <c r="L83" i="22"/>
  <c r="L838" i="94" s="1"/>
  <c r="K83" i="22"/>
  <c r="K838" i="94" s="1"/>
  <c r="J83" i="22"/>
  <c r="J838" i="94" s="1"/>
  <c r="I83" i="22"/>
  <c r="I838" i="94" s="1"/>
  <c r="H83" i="22"/>
  <c r="H838" i="94" s="1"/>
  <c r="G83" i="22"/>
  <c r="G838" i="94" s="1"/>
  <c r="F83" i="22"/>
  <c r="E83" i="22"/>
  <c r="E838" i="94" s="1"/>
  <c r="D83" i="22"/>
  <c r="L82" i="22"/>
  <c r="L824" i="94" s="1"/>
  <c r="K82" i="22"/>
  <c r="K824" i="94" s="1"/>
  <c r="J82" i="22"/>
  <c r="I82" i="22"/>
  <c r="I824" i="94" s="1"/>
  <c r="H82" i="22"/>
  <c r="H824" i="94" s="1"/>
  <c r="G82" i="22"/>
  <c r="G824" i="94"/>
  <c r="F82" i="22"/>
  <c r="E82" i="22"/>
  <c r="D82" i="22"/>
  <c r="D824" i="94" s="1"/>
  <c r="L81" i="22"/>
  <c r="L810" i="94" s="1"/>
  <c r="K81" i="22"/>
  <c r="K810" i="94" s="1"/>
  <c r="J81" i="22"/>
  <c r="J810" i="94" s="1"/>
  <c r="I81" i="22"/>
  <c r="H81" i="22"/>
  <c r="G81" i="22"/>
  <c r="E81" i="22"/>
  <c r="D81" i="22"/>
  <c r="D810" i="94" s="1"/>
  <c r="L80" i="22"/>
  <c r="K80" i="22"/>
  <c r="J80" i="22"/>
  <c r="J796" i="94" s="1"/>
  <c r="I80" i="22"/>
  <c r="I796" i="94" s="1"/>
  <c r="H80" i="22"/>
  <c r="G80" i="22"/>
  <c r="F80" i="22"/>
  <c r="E80" i="22"/>
  <c r="E796" i="94" s="1"/>
  <c r="D80" i="22"/>
  <c r="S77" i="22"/>
  <c r="S76" i="22"/>
  <c r="L76" i="22"/>
  <c r="L766" i="94" s="1"/>
  <c r="K76" i="22"/>
  <c r="K766" i="94" s="1"/>
  <c r="J76" i="22"/>
  <c r="J766" i="94" s="1"/>
  <c r="H76" i="22"/>
  <c r="H766" i="94" s="1"/>
  <c r="G76" i="22"/>
  <c r="G766" i="94" s="1"/>
  <c r="F76" i="22"/>
  <c r="E76" i="22"/>
  <c r="E766" i="94" s="1"/>
  <c r="D76" i="22"/>
  <c r="D766" i="94" s="1"/>
  <c r="L75" i="22"/>
  <c r="L752" i="94" s="1"/>
  <c r="K75" i="22"/>
  <c r="K752" i="94" s="1"/>
  <c r="J75" i="22"/>
  <c r="I75" i="22"/>
  <c r="H75" i="22"/>
  <c r="H752" i="94" s="1"/>
  <c r="G75" i="22"/>
  <c r="F75" i="22"/>
  <c r="F752" i="94" s="1"/>
  <c r="E75" i="22"/>
  <c r="D75" i="22"/>
  <c r="D752" i="94" s="1"/>
  <c r="X74" i="22"/>
  <c r="P74" i="22"/>
  <c r="L74" i="22"/>
  <c r="K74" i="22"/>
  <c r="K738" i="94" s="1"/>
  <c r="J74" i="22"/>
  <c r="J738" i="94" s="1"/>
  <c r="I74" i="22"/>
  <c r="I738" i="94" s="1"/>
  <c r="H74" i="22"/>
  <c r="G74" i="22"/>
  <c r="G738" i="94" s="1"/>
  <c r="F74" i="22"/>
  <c r="D73" i="21"/>
  <c r="E74" i="22"/>
  <c r="E738" i="94" s="1"/>
  <c r="D74" i="22"/>
  <c r="D738" i="94" s="1"/>
  <c r="X73" i="22"/>
  <c r="R73" i="22"/>
  <c r="Q73" i="22"/>
  <c r="P73" i="22"/>
  <c r="L73" i="22"/>
  <c r="L724" i="94" s="1"/>
  <c r="K73" i="22"/>
  <c r="K724" i="94" s="1"/>
  <c r="J73" i="22"/>
  <c r="I73" i="22"/>
  <c r="I724" i="94" s="1"/>
  <c r="H73" i="22"/>
  <c r="H724" i="94" s="1"/>
  <c r="G73" i="22"/>
  <c r="G724" i="94" s="1"/>
  <c r="F73" i="22"/>
  <c r="F724" i="94" s="1"/>
  <c r="E73" i="22"/>
  <c r="E724" i="94" s="1"/>
  <c r="D73" i="22"/>
  <c r="X72" i="22"/>
  <c r="R72" i="22"/>
  <c r="Q72" i="22"/>
  <c r="P72" i="22"/>
  <c r="K72" i="22"/>
  <c r="K710" i="94" s="1"/>
  <c r="I72" i="22"/>
  <c r="I710" i="94" s="1"/>
  <c r="H72" i="22"/>
  <c r="G72" i="22"/>
  <c r="G710" i="94" s="1"/>
  <c r="F72" i="22"/>
  <c r="E72" i="22"/>
  <c r="E710" i="94" s="1"/>
  <c r="X71" i="22"/>
  <c r="R71" i="22"/>
  <c r="Q71" i="22"/>
  <c r="P71" i="22"/>
  <c r="L71" i="22"/>
  <c r="L696" i="94" s="1"/>
  <c r="K71" i="22"/>
  <c r="K696" i="94" s="1"/>
  <c r="J71" i="22"/>
  <c r="J696" i="94" s="1"/>
  <c r="I71" i="22"/>
  <c r="H71" i="22"/>
  <c r="G71" i="22"/>
  <c r="F71" i="22"/>
  <c r="E71" i="22"/>
  <c r="E696" i="94" s="1"/>
  <c r="D71" i="22"/>
  <c r="D696" i="94" s="1"/>
  <c r="X70" i="22"/>
  <c r="R70" i="22"/>
  <c r="Q70" i="22"/>
  <c r="P70" i="22"/>
  <c r="L70" i="22"/>
  <c r="L682" i="94" s="1"/>
  <c r="K70" i="22"/>
  <c r="K682" i="94" s="1"/>
  <c r="J70" i="22"/>
  <c r="J682" i="94" s="1"/>
  <c r="I70" i="22"/>
  <c r="I682" i="94" s="1"/>
  <c r="H70" i="22"/>
  <c r="H682" i="94" s="1"/>
  <c r="G70" i="22"/>
  <c r="F70" i="22"/>
  <c r="E70" i="22"/>
  <c r="E682" i="94" s="1"/>
  <c r="D70" i="22"/>
  <c r="X69" i="22"/>
  <c r="R69" i="22"/>
  <c r="Q69" i="22"/>
  <c r="P69" i="22"/>
  <c r="L69" i="22"/>
  <c r="L668" i="94" s="1"/>
  <c r="K69" i="22"/>
  <c r="J69" i="22"/>
  <c r="J668" i="94" s="1"/>
  <c r="H69" i="22"/>
  <c r="H668" i="94" s="1"/>
  <c r="F69" i="22"/>
  <c r="F668" i="94" s="1"/>
  <c r="E69" i="22"/>
  <c r="D69" i="22"/>
  <c r="D668" i="94" s="1"/>
  <c r="X68" i="22"/>
  <c r="R68" i="22"/>
  <c r="Q68" i="22"/>
  <c r="P68" i="22"/>
  <c r="E11" i="95" s="1"/>
  <c r="L68" i="22"/>
  <c r="L654" i="94" s="1"/>
  <c r="K68" i="22"/>
  <c r="J68" i="22"/>
  <c r="I68" i="22"/>
  <c r="I654" i="94" s="1"/>
  <c r="H68" i="22"/>
  <c r="H654" i="94" s="1"/>
  <c r="G68" i="22"/>
  <c r="G654" i="94" s="1"/>
  <c r="F68" i="22"/>
  <c r="E68" i="22"/>
  <c r="E654" i="94" s="1"/>
  <c r="D68" i="22"/>
  <c r="D654" i="94" s="1"/>
  <c r="X67" i="22"/>
  <c r="R67" i="22"/>
  <c r="Q67" i="22"/>
  <c r="P67" i="22"/>
  <c r="L67" i="22"/>
  <c r="L640" i="94" s="1"/>
  <c r="K67" i="22"/>
  <c r="K640" i="94" s="1"/>
  <c r="J67" i="22"/>
  <c r="J640" i="94" s="1"/>
  <c r="I67" i="22"/>
  <c r="H67" i="22"/>
  <c r="G67" i="22"/>
  <c r="G640" i="94" s="1"/>
  <c r="F67" i="22"/>
  <c r="E67" i="22"/>
  <c r="D67" i="22"/>
  <c r="D640" i="94" s="1"/>
  <c r="X66" i="22"/>
  <c r="R66" i="22"/>
  <c r="Q66" i="22"/>
  <c r="P66" i="22"/>
  <c r="L66" i="22"/>
  <c r="K66" i="22"/>
  <c r="K626" i="94" s="1"/>
  <c r="J66" i="22"/>
  <c r="I66" i="22"/>
  <c r="I626" i="94" s="1"/>
  <c r="H66" i="22"/>
  <c r="G66" i="22"/>
  <c r="G626" i="94" s="1"/>
  <c r="F66" i="22"/>
  <c r="F626" i="94" s="1"/>
  <c r="E66" i="22"/>
  <c r="D66" i="22"/>
  <c r="X65" i="22"/>
  <c r="R65" i="22"/>
  <c r="Q65" i="22"/>
  <c r="P65" i="22"/>
  <c r="L65" i="22"/>
  <c r="K65" i="22"/>
  <c r="K612" i="94" s="1"/>
  <c r="J65" i="22"/>
  <c r="I65" i="22"/>
  <c r="I612" i="94" s="1"/>
  <c r="H65" i="22"/>
  <c r="G65" i="22"/>
  <c r="G612" i="94" s="1"/>
  <c r="F65" i="22"/>
  <c r="F612" i="94" s="1"/>
  <c r="E65" i="22"/>
  <c r="E612" i="94" s="1"/>
  <c r="D65" i="22"/>
  <c r="D612" i="94" s="1"/>
  <c r="K569" i="94"/>
  <c r="I569" i="94"/>
  <c r="H569" i="94"/>
  <c r="E569" i="94"/>
  <c r="L555" i="94"/>
  <c r="G555" i="94"/>
  <c r="D555" i="94"/>
  <c r="K541" i="94"/>
  <c r="I541" i="94"/>
  <c r="H541" i="94"/>
  <c r="G541" i="94"/>
  <c r="E541" i="94"/>
  <c r="L527" i="94"/>
  <c r="H527" i="94"/>
  <c r="G527" i="94"/>
  <c r="J513" i="94"/>
  <c r="E513" i="94"/>
  <c r="K499" i="94"/>
  <c r="J499" i="94"/>
  <c r="L483" i="94"/>
  <c r="K467" i="94"/>
  <c r="I467" i="94"/>
  <c r="F467" i="94"/>
  <c r="K451" i="94"/>
  <c r="J451" i="94"/>
  <c r="G451" i="94"/>
  <c r="L406" i="94"/>
  <c r="J406" i="94"/>
  <c r="G406" i="94"/>
  <c r="I392" i="94"/>
  <c r="H392" i="94"/>
  <c r="G392" i="94"/>
  <c r="D392" i="94"/>
  <c r="J378" i="94"/>
  <c r="H378" i="94"/>
  <c r="E378" i="94"/>
  <c r="K364" i="94"/>
  <c r="J364" i="94"/>
  <c r="I364" i="94"/>
  <c r="G364" i="94"/>
  <c r="K350" i="94"/>
  <c r="J350" i="94"/>
  <c r="H350" i="94"/>
  <c r="D350" i="94"/>
  <c r="J336" i="94"/>
  <c r="I336" i="94"/>
  <c r="G336" i="94"/>
  <c r="L35" i="22"/>
  <c r="K35" i="22"/>
  <c r="K322" i="94" s="1"/>
  <c r="J35" i="22"/>
  <c r="J322" i="94" s="1"/>
  <c r="I35" i="22"/>
  <c r="I322" i="94" s="1"/>
  <c r="H35" i="22"/>
  <c r="G35" i="22"/>
  <c r="F35" i="22"/>
  <c r="F322" i="94" s="1"/>
  <c r="E35" i="22"/>
  <c r="E322" i="94" s="1"/>
  <c r="D35" i="22"/>
  <c r="R34" i="22"/>
  <c r="L114" i="22" s="1"/>
  <c r="J34" i="22"/>
  <c r="J308" i="94" s="1"/>
  <c r="I34" i="22"/>
  <c r="I308" i="94" s="1"/>
  <c r="H34" i="22"/>
  <c r="H308" i="94" s="1"/>
  <c r="G34" i="22"/>
  <c r="G308" i="94" s="1"/>
  <c r="F34" i="22"/>
  <c r="F308" i="94" s="1"/>
  <c r="E34" i="22"/>
  <c r="D34" i="22"/>
  <c r="D308" i="94" s="1"/>
  <c r="L33" i="22"/>
  <c r="L294" i="94" s="1"/>
  <c r="K33" i="22"/>
  <c r="J33" i="22"/>
  <c r="I33" i="22"/>
  <c r="H33" i="22"/>
  <c r="H294" i="94" s="1"/>
  <c r="G33" i="22"/>
  <c r="G294" i="94" s="1"/>
  <c r="F33" i="22"/>
  <c r="F294" i="94" s="1"/>
  <c r="E33" i="22"/>
  <c r="E294" i="94" s="1"/>
  <c r="D33" i="22"/>
  <c r="Q32" i="22"/>
  <c r="L113" i="22" s="1"/>
  <c r="L32" i="22"/>
  <c r="L280" i="94" s="1"/>
  <c r="J32" i="22"/>
  <c r="J280" i="94" s="1"/>
  <c r="I32" i="22"/>
  <c r="I280" i="94" s="1"/>
  <c r="H32" i="22"/>
  <c r="G32" i="22"/>
  <c r="F32" i="22"/>
  <c r="F280" i="94" s="1"/>
  <c r="E32" i="22"/>
  <c r="E280" i="94" s="1"/>
  <c r="D32" i="22"/>
  <c r="D280" i="94" s="1"/>
  <c r="D237" i="94"/>
  <c r="D223" i="94"/>
  <c r="K209" i="94"/>
  <c r="J209" i="94"/>
  <c r="I195" i="94"/>
  <c r="H195" i="94"/>
  <c r="G195" i="94"/>
  <c r="J181" i="94"/>
  <c r="F181" i="94"/>
  <c r="E181" i="94"/>
  <c r="H167" i="94"/>
  <c r="G167" i="94"/>
  <c r="L22" i="22"/>
  <c r="L153" i="94" s="1"/>
  <c r="K22" i="22"/>
  <c r="J22" i="22"/>
  <c r="J153" i="94" s="1"/>
  <c r="H22" i="22"/>
  <c r="H153" i="94" s="1"/>
  <c r="G22" i="22"/>
  <c r="F22" i="22"/>
  <c r="E22" i="22"/>
  <c r="E153" i="94" s="1"/>
  <c r="D22" i="22"/>
  <c r="D153" i="94" s="1"/>
  <c r="L21" i="22"/>
  <c r="L139" i="94" s="1"/>
  <c r="K21" i="22"/>
  <c r="K139" i="94" s="1"/>
  <c r="J21" i="22"/>
  <c r="J139" i="94" s="1"/>
  <c r="I21" i="22"/>
  <c r="H21" i="22"/>
  <c r="H139" i="94" s="1"/>
  <c r="G21" i="22"/>
  <c r="G139" i="94" s="1"/>
  <c r="F21" i="22"/>
  <c r="F139" i="94" s="1"/>
  <c r="E21" i="22"/>
  <c r="E139" i="94" s="1"/>
  <c r="D21" i="22"/>
  <c r="D139" i="94" s="1"/>
  <c r="L20" i="22"/>
  <c r="L125" i="94" s="1"/>
  <c r="I20" i="22"/>
  <c r="I125" i="94" s="1"/>
  <c r="H20" i="22"/>
  <c r="G20" i="22"/>
  <c r="G125" i="94" s="1"/>
  <c r="F20" i="22"/>
  <c r="F125" i="94" s="1"/>
  <c r="E20" i="22"/>
  <c r="E125" i="94" s="1"/>
  <c r="J19" i="22"/>
  <c r="J111" i="94" s="1"/>
  <c r="H19" i="22"/>
  <c r="G19" i="22"/>
  <c r="G111" i="94" s="1"/>
  <c r="F19" i="22"/>
  <c r="F111" i="94" s="1"/>
  <c r="E19" i="22"/>
  <c r="E111" i="94" s="1"/>
  <c r="D19" i="22"/>
  <c r="K67" i="94"/>
  <c r="I67" i="94"/>
  <c r="E67" i="94"/>
  <c r="J53" i="94"/>
  <c r="D39" i="94"/>
  <c r="H25" i="94"/>
  <c r="G25" i="94"/>
  <c r="E25" i="94"/>
  <c r="L11" i="94"/>
  <c r="H11" i="94"/>
  <c r="G11" i="94"/>
  <c r="D10" i="21"/>
  <c r="R103" i="17"/>
  <c r="P103" i="17"/>
  <c r="T12" i="73" s="1"/>
  <c r="L97" i="17"/>
  <c r="L984" i="94" s="1"/>
  <c r="K97" i="17"/>
  <c r="K984" i="94" s="1"/>
  <c r="I97" i="17"/>
  <c r="I984" i="94" s="1"/>
  <c r="H97" i="17"/>
  <c r="H984" i="94" s="1"/>
  <c r="G97" i="17"/>
  <c r="F97" i="17"/>
  <c r="F984" i="94" s="1"/>
  <c r="E97" i="17"/>
  <c r="E984" i="94" s="1"/>
  <c r="D97" i="17"/>
  <c r="L96" i="17"/>
  <c r="L970" i="94" s="1"/>
  <c r="K96" i="17"/>
  <c r="K970" i="94" s="1"/>
  <c r="J96" i="17"/>
  <c r="J970" i="94"/>
  <c r="I96" i="17"/>
  <c r="I970" i="94" s="1"/>
  <c r="H96" i="17"/>
  <c r="H970" i="94" s="1"/>
  <c r="G96" i="17"/>
  <c r="G970" i="94" s="1"/>
  <c r="E96" i="17"/>
  <c r="D96" i="17"/>
  <c r="L95" i="17"/>
  <c r="L956" i="94" s="1"/>
  <c r="J95" i="17"/>
  <c r="H95" i="17"/>
  <c r="H956" i="94" s="1"/>
  <c r="G95" i="17"/>
  <c r="G956" i="94" s="1"/>
  <c r="F95" i="17"/>
  <c r="F956" i="94" s="1"/>
  <c r="E95" i="17"/>
  <c r="E956" i="94" s="1"/>
  <c r="D95" i="17"/>
  <c r="D956" i="94" s="1"/>
  <c r="L94" i="17"/>
  <c r="L942" i="94" s="1"/>
  <c r="K94" i="17"/>
  <c r="K942" i="94" s="1"/>
  <c r="I94" i="17"/>
  <c r="H94" i="17"/>
  <c r="H942" i="94" s="1"/>
  <c r="G94" i="17"/>
  <c r="G942" i="94" s="1"/>
  <c r="E94" i="17"/>
  <c r="D94" i="17"/>
  <c r="D942" i="94" s="1"/>
  <c r="L93" i="17"/>
  <c r="K93" i="17"/>
  <c r="K928" i="94" s="1"/>
  <c r="J93" i="17"/>
  <c r="J928" i="94" s="1"/>
  <c r="I93" i="17"/>
  <c r="I928" i="94" s="1"/>
  <c r="H93" i="17"/>
  <c r="H928" i="94" s="1"/>
  <c r="G93" i="17"/>
  <c r="G928" i="94" s="1"/>
  <c r="F93" i="17"/>
  <c r="F928" i="94" s="1"/>
  <c r="E93" i="17"/>
  <c r="D93" i="17"/>
  <c r="D928" i="94" s="1"/>
  <c r="L88" i="17"/>
  <c r="K88" i="17"/>
  <c r="J88" i="17"/>
  <c r="I88" i="17"/>
  <c r="I884" i="94" s="1"/>
  <c r="H88" i="17"/>
  <c r="H884" i="94" s="1"/>
  <c r="G88" i="17"/>
  <c r="F88" i="17"/>
  <c r="E88" i="17"/>
  <c r="E884" i="94" s="1"/>
  <c r="D88" i="17"/>
  <c r="D884" i="94" s="1"/>
  <c r="S87" i="17"/>
  <c r="L121" i="17" s="1"/>
  <c r="L87" i="17"/>
  <c r="K87" i="17"/>
  <c r="J87" i="17"/>
  <c r="J870" i="94" s="1"/>
  <c r="I87" i="17"/>
  <c r="H87" i="17"/>
  <c r="G87" i="17"/>
  <c r="G870" i="94" s="1"/>
  <c r="F87" i="17"/>
  <c r="E87" i="17"/>
  <c r="D87" i="17"/>
  <c r="S84" i="17"/>
  <c r="L120" i="17" s="1"/>
  <c r="L83" i="17"/>
  <c r="L840" i="94" s="1"/>
  <c r="K83" i="17"/>
  <c r="K840" i="94" s="1"/>
  <c r="J83" i="17"/>
  <c r="I83" i="17"/>
  <c r="H83" i="17"/>
  <c r="H840" i="94" s="1"/>
  <c r="G83" i="17"/>
  <c r="G840" i="94"/>
  <c r="F83" i="17"/>
  <c r="D60" i="16" s="1"/>
  <c r="E83" i="17"/>
  <c r="E840" i="94" s="1"/>
  <c r="D83" i="17"/>
  <c r="D840" i="94" s="1"/>
  <c r="L82" i="17"/>
  <c r="L826" i="94" s="1"/>
  <c r="K82" i="17"/>
  <c r="K826" i="94" s="1"/>
  <c r="J82" i="17"/>
  <c r="I82" i="17"/>
  <c r="H82" i="17"/>
  <c r="H826" i="94" s="1"/>
  <c r="G82" i="17"/>
  <c r="G826" i="94" s="1"/>
  <c r="F82" i="17"/>
  <c r="E82" i="17"/>
  <c r="E826" i="94" s="1"/>
  <c r="D82" i="17"/>
  <c r="D826" i="94" s="1"/>
  <c r="L81" i="17"/>
  <c r="K81" i="17"/>
  <c r="J81" i="17"/>
  <c r="J812" i="94" s="1"/>
  <c r="I81" i="17"/>
  <c r="I812" i="94" s="1"/>
  <c r="H81" i="17"/>
  <c r="G81" i="17"/>
  <c r="G812" i="94" s="1"/>
  <c r="E81" i="17"/>
  <c r="E812" i="94" s="1"/>
  <c r="D81" i="17"/>
  <c r="L80" i="17"/>
  <c r="L798" i="94" s="1"/>
  <c r="K80" i="17"/>
  <c r="K798" i="94" s="1"/>
  <c r="J80" i="17"/>
  <c r="J798" i="94" s="1"/>
  <c r="I80" i="17"/>
  <c r="I798" i="94" s="1"/>
  <c r="H80" i="17"/>
  <c r="G80" i="17"/>
  <c r="G798" i="94" s="1"/>
  <c r="F80" i="17"/>
  <c r="E80" i="17"/>
  <c r="E798" i="94" s="1"/>
  <c r="D80" i="17"/>
  <c r="S77" i="17"/>
  <c r="L116" i="17" s="1"/>
  <c r="S76" i="17"/>
  <c r="L76" i="17"/>
  <c r="L768" i="94" s="1"/>
  <c r="K76" i="17"/>
  <c r="J76" i="17"/>
  <c r="H76" i="17"/>
  <c r="G76" i="17"/>
  <c r="G768" i="94" s="1"/>
  <c r="F76" i="17"/>
  <c r="D53" i="16" s="1"/>
  <c r="E76" i="17"/>
  <c r="E768" i="94" s="1"/>
  <c r="D76" i="17"/>
  <c r="D768" i="94" s="1"/>
  <c r="L75" i="17"/>
  <c r="K75" i="17"/>
  <c r="K754" i="94" s="1"/>
  <c r="J75" i="17"/>
  <c r="J754" i="94" s="1"/>
  <c r="I75" i="17"/>
  <c r="I754" i="94" s="1"/>
  <c r="H75" i="17"/>
  <c r="G75" i="17"/>
  <c r="G754" i="94" s="1"/>
  <c r="F75" i="17"/>
  <c r="E75" i="17"/>
  <c r="E754" i="94" s="1"/>
  <c r="D75" i="17"/>
  <c r="X74" i="17"/>
  <c r="P74" i="17"/>
  <c r="L74" i="17"/>
  <c r="L740" i="94" s="1"/>
  <c r="K74" i="17"/>
  <c r="K740" i="94" s="1"/>
  <c r="J74" i="17"/>
  <c r="I74" i="17"/>
  <c r="H74" i="17"/>
  <c r="G74" i="17"/>
  <c r="G740" i="94"/>
  <c r="F74" i="17"/>
  <c r="D73" i="16" s="1"/>
  <c r="E74" i="17"/>
  <c r="E740" i="94" s="1"/>
  <c r="D74" i="17"/>
  <c r="X73" i="17"/>
  <c r="R73" i="17"/>
  <c r="Q73" i="17"/>
  <c r="P73" i="17"/>
  <c r="L73" i="17"/>
  <c r="K73" i="17"/>
  <c r="K726" i="94" s="1"/>
  <c r="J73" i="17"/>
  <c r="J726" i="94" s="1"/>
  <c r="I73" i="17"/>
  <c r="I726" i="94" s="1"/>
  <c r="H73" i="17"/>
  <c r="H726" i="94" s="1"/>
  <c r="G73" i="17"/>
  <c r="F73" i="17"/>
  <c r="D50" i="16" s="1"/>
  <c r="E73" i="17"/>
  <c r="D73" i="17"/>
  <c r="X72" i="17"/>
  <c r="R72" i="17"/>
  <c r="Q72" i="17"/>
  <c r="P72" i="17"/>
  <c r="K72" i="17"/>
  <c r="K712" i="94" s="1"/>
  <c r="I72" i="17"/>
  <c r="H72" i="17"/>
  <c r="G72" i="17"/>
  <c r="F72" i="17"/>
  <c r="E72" i="17"/>
  <c r="E712" i="94" s="1"/>
  <c r="X71" i="17"/>
  <c r="R71" i="17"/>
  <c r="Q71" i="17"/>
  <c r="P71" i="17"/>
  <c r="L71" i="17"/>
  <c r="L698" i="94" s="1"/>
  <c r="K71" i="17"/>
  <c r="K698" i="94" s="1"/>
  <c r="J71" i="17"/>
  <c r="I71" i="17"/>
  <c r="I698" i="94" s="1"/>
  <c r="H71" i="17"/>
  <c r="H698" i="94" s="1"/>
  <c r="G71" i="17"/>
  <c r="G698" i="94" s="1"/>
  <c r="F71" i="17"/>
  <c r="E71" i="17"/>
  <c r="E698" i="94" s="1"/>
  <c r="D71" i="17"/>
  <c r="D698" i="94" s="1"/>
  <c r="X70" i="17"/>
  <c r="R70" i="17"/>
  <c r="Q70" i="17"/>
  <c r="P70" i="17"/>
  <c r="L70" i="17"/>
  <c r="K70" i="17"/>
  <c r="K684" i="94" s="1"/>
  <c r="J70" i="17"/>
  <c r="J684" i="94" s="1"/>
  <c r="I70" i="17"/>
  <c r="I684" i="94" s="1"/>
  <c r="H70" i="17"/>
  <c r="H684" i="94" s="1"/>
  <c r="G70" i="17"/>
  <c r="F70" i="17"/>
  <c r="E70" i="17"/>
  <c r="E684" i="94" s="1"/>
  <c r="D70" i="17"/>
  <c r="D684" i="94" s="1"/>
  <c r="X69" i="17"/>
  <c r="R69" i="17"/>
  <c r="Q69" i="17"/>
  <c r="P69" i="17"/>
  <c r="L69" i="17"/>
  <c r="L670" i="94" s="1"/>
  <c r="K69" i="17"/>
  <c r="K670" i="94" s="1"/>
  <c r="J69" i="17"/>
  <c r="H69" i="17"/>
  <c r="H670" i="94" s="1"/>
  <c r="F69" i="17"/>
  <c r="E69" i="17"/>
  <c r="D69" i="17"/>
  <c r="D670" i="94" s="1"/>
  <c r="X68" i="17"/>
  <c r="R68" i="17"/>
  <c r="Q68" i="17"/>
  <c r="P68" i="17"/>
  <c r="E10" i="95" s="1"/>
  <c r="L68" i="17"/>
  <c r="L656" i="94" s="1"/>
  <c r="K68" i="17"/>
  <c r="K656" i="94" s="1"/>
  <c r="J68" i="17"/>
  <c r="J656" i="94" s="1"/>
  <c r="I68" i="17"/>
  <c r="I656" i="94" s="1"/>
  <c r="H68" i="17"/>
  <c r="H656" i="94" s="1"/>
  <c r="G68" i="17"/>
  <c r="G656" i="94" s="1"/>
  <c r="F68" i="17"/>
  <c r="E68" i="17"/>
  <c r="D68" i="17"/>
  <c r="X67" i="17"/>
  <c r="R67" i="17"/>
  <c r="Q67" i="17"/>
  <c r="P67" i="17"/>
  <c r="L67" i="17"/>
  <c r="L642" i="94" s="1"/>
  <c r="K67" i="17"/>
  <c r="J67" i="17"/>
  <c r="J642" i="94" s="1"/>
  <c r="I67" i="17"/>
  <c r="I642" i="94" s="1"/>
  <c r="H67" i="17"/>
  <c r="G67" i="17"/>
  <c r="G642" i="94" s="1"/>
  <c r="F67" i="17"/>
  <c r="E67" i="17"/>
  <c r="E642" i="94"/>
  <c r="D67" i="17"/>
  <c r="X66" i="17"/>
  <c r="R66" i="17"/>
  <c r="Q66" i="17"/>
  <c r="P66" i="17"/>
  <c r="L66" i="17"/>
  <c r="L628" i="94" s="1"/>
  <c r="K66" i="17"/>
  <c r="K628" i="94" s="1"/>
  <c r="J66" i="17"/>
  <c r="J628" i="94" s="1"/>
  <c r="I66" i="17"/>
  <c r="I628" i="94" s="1"/>
  <c r="H66" i="17"/>
  <c r="H628" i="94" s="1"/>
  <c r="G66" i="17"/>
  <c r="G628" i="94" s="1"/>
  <c r="F66" i="17"/>
  <c r="F628" i="94" s="1"/>
  <c r="E66" i="17"/>
  <c r="O66" i="17" s="1"/>
  <c r="D66" i="17"/>
  <c r="D628" i="94" s="1"/>
  <c r="X65" i="17"/>
  <c r="R65" i="17"/>
  <c r="Q65" i="17"/>
  <c r="P65" i="17"/>
  <c r="L65" i="17"/>
  <c r="L614" i="94" s="1"/>
  <c r="K65" i="17"/>
  <c r="K614" i="94" s="1"/>
  <c r="J65" i="17"/>
  <c r="J614" i="94" s="1"/>
  <c r="I65" i="17"/>
  <c r="H65" i="17"/>
  <c r="H614" i="94" s="1"/>
  <c r="G65" i="17"/>
  <c r="G614" i="94" s="1"/>
  <c r="F65" i="17"/>
  <c r="E65" i="17"/>
  <c r="E614" i="94" s="1"/>
  <c r="D65" i="17"/>
  <c r="J571" i="94"/>
  <c r="H571" i="94"/>
  <c r="G571" i="94"/>
  <c r="D571" i="94"/>
  <c r="K557" i="94"/>
  <c r="H557" i="94"/>
  <c r="G557" i="94"/>
  <c r="E557" i="94"/>
  <c r="D557" i="94"/>
  <c r="J543" i="94"/>
  <c r="I543" i="94"/>
  <c r="H543" i="94"/>
  <c r="E543" i="94"/>
  <c r="D543" i="94"/>
  <c r="L529" i="94"/>
  <c r="K529" i="94"/>
  <c r="J529" i="94"/>
  <c r="H529" i="94"/>
  <c r="G529" i="94"/>
  <c r="D529" i="94"/>
  <c r="K515" i="94"/>
  <c r="J515" i="94"/>
  <c r="I515" i="94"/>
  <c r="H515" i="94"/>
  <c r="G515" i="94"/>
  <c r="L501" i="94"/>
  <c r="J501" i="94"/>
  <c r="E501" i="94"/>
  <c r="D501" i="94"/>
  <c r="L485" i="94"/>
  <c r="K485" i="94"/>
  <c r="G485" i="94"/>
  <c r="E485" i="94"/>
  <c r="L469" i="94"/>
  <c r="K469" i="94"/>
  <c r="E469" i="94"/>
  <c r="D469" i="94"/>
  <c r="J453" i="94"/>
  <c r="I453" i="94"/>
  <c r="H453" i="94"/>
  <c r="G453" i="94"/>
  <c r="E453" i="94"/>
  <c r="J408" i="94"/>
  <c r="L394" i="94"/>
  <c r="I394" i="94"/>
  <c r="H394" i="94"/>
  <c r="G394" i="94"/>
  <c r="D394" i="94"/>
  <c r="K380" i="94"/>
  <c r="H380" i="94"/>
  <c r="E380" i="94"/>
  <c r="K366" i="94"/>
  <c r="J366" i="94"/>
  <c r="G366" i="94"/>
  <c r="E366" i="94"/>
  <c r="D366" i="94"/>
  <c r="K352" i="94"/>
  <c r="H352" i="94"/>
  <c r="G352" i="94"/>
  <c r="F338" i="94"/>
  <c r="E338" i="94"/>
  <c r="D338" i="94"/>
  <c r="L35" i="17"/>
  <c r="L324" i="94" s="1"/>
  <c r="K35" i="17"/>
  <c r="K324" i="94" s="1"/>
  <c r="J35" i="17"/>
  <c r="J324" i="94" s="1"/>
  <c r="I35" i="17"/>
  <c r="I324" i="94" s="1"/>
  <c r="H35" i="17"/>
  <c r="H324" i="94" s="1"/>
  <c r="G35" i="17"/>
  <c r="G324" i="94" s="1"/>
  <c r="F35" i="17"/>
  <c r="F324" i="94" s="1"/>
  <c r="E35" i="17"/>
  <c r="D35" i="17"/>
  <c r="R34" i="17"/>
  <c r="L114" i="17" s="1"/>
  <c r="J34" i="17"/>
  <c r="J310" i="94" s="1"/>
  <c r="I34" i="17"/>
  <c r="I310" i="94" s="1"/>
  <c r="H34" i="17"/>
  <c r="H310" i="94" s="1"/>
  <c r="G34" i="17"/>
  <c r="G310" i="94" s="1"/>
  <c r="F34" i="17"/>
  <c r="E34" i="17"/>
  <c r="D34" i="17"/>
  <c r="D310" i="94" s="1"/>
  <c r="L33" i="17"/>
  <c r="L296" i="94" s="1"/>
  <c r="K33" i="17"/>
  <c r="K296" i="94" s="1"/>
  <c r="J33" i="17"/>
  <c r="J296" i="94" s="1"/>
  <c r="I33" i="17"/>
  <c r="H33" i="17"/>
  <c r="H296" i="94" s="1"/>
  <c r="G33" i="17"/>
  <c r="F33" i="17"/>
  <c r="F296" i="94" s="1"/>
  <c r="E33" i="17"/>
  <c r="E296" i="94" s="1"/>
  <c r="D33" i="17"/>
  <c r="D296" i="94" s="1"/>
  <c r="Q32" i="17"/>
  <c r="L113" i="17"/>
  <c r="L32" i="17"/>
  <c r="L282" i="94" s="1"/>
  <c r="J32" i="17"/>
  <c r="J282" i="94"/>
  <c r="I32" i="17"/>
  <c r="H32" i="17"/>
  <c r="H282" i="94" s="1"/>
  <c r="G32" i="17"/>
  <c r="F32" i="17"/>
  <c r="F282" i="94" s="1"/>
  <c r="E32" i="17"/>
  <c r="E282" i="94" s="1"/>
  <c r="D32" i="17"/>
  <c r="D282" i="94" s="1"/>
  <c r="K239" i="94"/>
  <c r="J239" i="94"/>
  <c r="H239" i="94"/>
  <c r="G239" i="94"/>
  <c r="D239" i="94"/>
  <c r="L225" i="94"/>
  <c r="K225" i="94"/>
  <c r="J225" i="94"/>
  <c r="F225" i="94"/>
  <c r="D225" i="94"/>
  <c r="K211" i="94"/>
  <c r="J211" i="94"/>
  <c r="E211" i="94"/>
  <c r="K197" i="94"/>
  <c r="J197" i="94"/>
  <c r="H197" i="94"/>
  <c r="G197" i="94"/>
  <c r="F197" i="94"/>
  <c r="I183" i="94"/>
  <c r="H183" i="94"/>
  <c r="G183" i="94"/>
  <c r="D183" i="94"/>
  <c r="L169" i="94"/>
  <c r="K169" i="94"/>
  <c r="J169" i="94"/>
  <c r="H169" i="94"/>
  <c r="D169" i="94"/>
  <c r="L22" i="17"/>
  <c r="L155" i="94" s="1"/>
  <c r="K22" i="17"/>
  <c r="K155" i="94"/>
  <c r="J22" i="17"/>
  <c r="J155" i="94" s="1"/>
  <c r="H22" i="17"/>
  <c r="H155" i="94" s="1"/>
  <c r="G22" i="17"/>
  <c r="G155" i="94" s="1"/>
  <c r="F22" i="17"/>
  <c r="F155" i="94" s="1"/>
  <c r="E22" i="17"/>
  <c r="E155" i="94" s="1"/>
  <c r="D22" i="17"/>
  <c r="L21" i="17"/>
  <c r="L141" i="94" s="1"/>
  <c r="K21" i="17"/>
  <c r="K141" i="94" s="1"/>
  <c r="J21" i="17"/>
  <c r="J141" i="94" s="1"/>
  <c r="I21" i="17"/>
  <c r="I141" i="94" s="1"/>
  <c r="H21" i="17"/>
  <c r="H141" i="94" s="1"/>
  <c r="G21" i="17"/>
  <c r="F21" i="17"/>
  <c r="F141" i="94" s="1"/>
  <c r="E21" i="17"/>
  <c r="E141" i="94" s="1"/>
  <c r="D21" i="17"/>
  <c r="D141" i="94" s="1"/>
  <c r="L20" i="17"/>
  <c r="I20" i="17"/>
  <c r="I127" i="94" s="1"/>
  <c r="H20" i="17"/>
  <c r="H127" i="94" s="1"/>
  <c r="G20" i="17"/>
  <c r="G127" i="94" s="1"/>
  <c r="F20" i="17"/>
  <c r="E20" i="17"/>
  <c r="E127" i="94" s="1"/>
  <c r="J19" i="17"/>
  <c r="H19" i="17"/>
  <c r="G19" i="17"/>
  <c r="G113" i="94" s="1"/>
  <c r="F19" i="17"/>
  <c r="E19" i="17"/>
  <c r="E113" i="94" s="1"/>
  <c r="D19" i="17"/>
  <c r="L69" i="94"/>
  <c r="J69" i="94"/>
  <c r="E69" i="94"/>
  <c r="H55" i="94"/>
  <c r="G55" i="94"/>
  <c r="D41" i="94"/>
  <c r="L27" i="94"/>
  <c r="K27" i="94"/>
  <c r="J27" i="94"/>
  <c r="E27" i="94"/>
  <c r="H13" i="94"/>
  <c r="G13" i="94"/>
  <c r="V103" i="47"/>
  <c r="K20" i="47"/>
  <c r="K136" i="94" s="1"/>
  <c r="J20" i="47"/>
  <c r="J136" i="94" s="1"/>
  <c r="L19" i="47"/>
  <c r="K19" i="47"/>
  <c r="I19" i="47"/>
  <c r="I122" i="94" s="1"/>
  <c r="L50" i="94"/>
  <c r="K50" i="94"/>
  <c r="J50" i="94"/>
  <c r="I50" i="94"/>
  <c r="H50" i="94"/>
  <c r="G50" i="94"/>
  <c r="F50" i="94"/>
  <c r="E50" i="94"/>
  <c r="V103" i="42"/>
  <c r="K20" i="42"/>
  <c r="J20" i="42"/>
  <c r="L19" i="42"/>
  <c r="K19" i="42"/>
  <c r="I19" i="42"/>
  <c r="I117" i="94" s="1"/>
  <c r="L45" i="94"/>
  <c r="K45" i="94"/>
  <c r="J45" i="94"/>
  <c r="I45" i="94"/>
  <c r="H45" i="94"/>
  <c r="G45" i="94"/>
  <c r="F45" i="94"/>
  <c r="E45" i="94"/>
  <c r="V103" i="37"/>
  <c r="K20" i="37"/>
  <c r="K132" i="94" s="1"/>
  <c r="J20" i="37"/>
  <c r="J132" i="94" s="1"/>
  <c r="L19" i="37"/>
  <c r="L118" i="94" s="1"/>
  <c r="K19" i="37"/>
  <c r="K118" i="94" s="1"/>
  <c r="I19" i="37"/>
  <c r="L46" i="94"/>
  <c r="K46" i="94"/>
  <c r="J46" i="94"/>
  <c r="I46" i="94"/>
  <c r="H46" i="94"/>
  <c r="G46" i="94"/>
  <c r="F46" i="94"/>
  <c r="E46" i="94"/>
  <c r="V103" i="32"/>
  <c r="K20" i="32"/>
  <c r="K128" i="94" s="1"/>
  <c r="J20" i="32"/>
  <c r="L19" i="32"/>
  <c r="L114" i="94" s="1"/>
  <c r="K19" i="32"/>
  <c r="K114" i="94" s="1"/>
  <c r="I19" i="32"/>
  <c r="L42" i="94"/>
  <c r="K42" i="94"/>
  <c r="J42" i="94"/>
  <c r="I42" i="94"/>
  <c r="H42" i="94"/>
  <c r="G42" i="94"/>
  <c r="F42" i="94"/>
  <c r="E42" i="94"/>
  <c r="V103" i="22"/>
  <c r="K20" i="22"/>
  <c r="K125" i="94" s="1"/>
  <c r="J20" i="22"/>
  <c r="J125" i="94" s="1"/>
  <c r="L19" i="22"/>
  <c r="K19" i="22"/>
  <c r="K111" i="94" s="1"/>
  <c r="I19" i="22"/>
  <c r="I111" i="94" s="1"/>
  <c r="L39" i="94"/>
  <c r="K39" i="94"/>
  <c r="J39" i="94"/>
  <c r="I39" i="94"/>
  <c r="H39" i="94"/>
  <c r="G39" i="94"/>
  <c r="F39" i="94"/>
  <c r="E39" i="94"/>
  <c r="V103" i="17"/>
  <c r="K20" i="17"/>
  <c r="J20" i="17"/>
  <c r="J127" i="94" s="1"/>
  <c r="L19" i="17"/>
  <c r="L113" i="94" s="1"/>
  <c r="K19" i="17"/>
  <c r="K113" i="94" s="1"/>
  <c r="I19" i="17"/>
  <c r="I113" i="94" s="1"/>
  <c r="L41" i="94"/>
  <c r="K41" i="94"/>
  <c r="J41" i="94"/>
  <c r="I41" i="94"/>
  <c r="H41" i="94"/>
  <c r="G41" i="94"/>
  <c r="E41" i="94"/>
  <c r="V103" i="27"/>
  <c r="K20" i="27"/>
  <c r="K126" i="94" s="1"/>
  <c r="J20" i="27"/>
  <c r="J126" i="94" s="1"/>
  <c r="L19" i="27"/>
  <c r="L112" i="94" s="1"/>
  <c r="K19" i="27"/>
  <c r="I19" i="27"/>
  <c r="L40" i="94"/>
  <c r="K40" i="94"/>
  <c r="J40" i="94"/>
  <c r="I40" i="94"/>
  <c r="H40" i="94"/>
  <c r="G40" i="94"/>
  <c r="F40" i="94"/>
  <c r="E40" i="94"/>
  <c r="L97" i="14"/>
  <c r="L987" i="94" s="1"/>
  <c r="K97" i="14"/>
  <c r="K987" i="94" s="1"/>
  <c r="I97" i="14"/>
  <c r="H97" i="14"/>
  <c r="H987" i="94" s="1"/>
  <c r="G97" i="14"/>
  <c r="G987" i="94" s="1"/>
  <c r="F97" i="14"/>
  <c r="F987" i="94" s="1"/>
  <c r="E97" i="14"/>
  <c r="E987" i="94" s="1"/>
  <c r="D97" i="14"/>
  <c r="D987" i="94" s="1"/>
  <c r="L96" i="14"/>
  <c r="L973" i="94" s="1"/>
  <c r="K96" i="14"/>
  <c r="K973" i="94" s="1"/>
  <c r="J96" i="14"/>
  <c r="J973" i="94" s="1"/>
  <c r="I96" i="14"/>
  <c r="H96" i="14"/>
  <c r="H973" i="94" s="1"/>
  <c r="G96" i="14"/>
  <c r="G973" i="94" s="1"/>
  <c r="E96" i="14"/>
  <c r="E973" i="94" s="1"/>
  <c r="D96" i="14"/>
  <c r="L95" i="14"/>
  <c r="L959" i="94" s="1"/>
  <c r="J95" i="14"/>
  <c r="J959" i="94" s="1"/>
  <c r="H95" i="14"/>
  <c r="H959" i="94" s="1"/>
  <c r="G95" i="14"/>
  <c r="G959" i="94" s="1"/>
  <c r="F95" i="14"/>
  <c r="F959" i="94" s="1"/>
  <c r="E95" i="14"/>
  <c r="E959" i="94" s="1"/>
  <c r="D95" i="14"/>
  <c r="L94" i="14"/>
  <c r="L945" i="94" s="1"/>
  <c r="K94" i="14"/>
  <c r="K945" i="94" s="1"/>
  <c r="I94" i="14"/>
  <c r="I945" i="94" s="1"/>
  <c r="H94" i="14"/>
  <c r="H945" i="94" s="1"/>
  <c r="G94" i="14"/>
  <c r="G945" i="94" s="1"/>
  <c r="E94" i="14"/>
  <c r="D94" i="14"/>
  <c r="L93" i="14"/>
  <c r="L931" i="94" s="1"/>
  <c r="K93" i="14"/>
  <c r="K931" i="94" s="1"/>
  <c r="J93" i="14"/>
  <c r="J931" i="94" s="1"/>
  <c r="I93" i="14"/>
  <c r="I931" i="94" s="1"/>
  <c r="H93" i="14"/>
  <c r="G93" i="14"/>
  <c r="G931" i="94" s="1"/>
  <c r="F93" i="14"/>
  <c r="F931" i="94" s="1"/>
  <c r="E93" i="14"/>
  <c r="E931" i="94" s="1"/>
  <c r="D93" i="14"/>
  <c r="D931" i="94" s="1"/>
  <c r="L88" i="14"/>
  <c r="K88" i="14"/>
  <c r="J88" i="14"/>
  <c r="I88" i="14"/>
  <c r="I887" i="94" s="1"/>
  <c r="H88" i="14"/>
  <c r="H887" i="94" s="1"/>
  <c r="G88" i="14"/>
  <c r="G887" i="94" s="1"/>
  <c r="F88" i="14"/>
  <c r="E88" i="14"/>
  <c r="D88" i="14"/>
  <c r="D887" i="94" s="1"/>
  <c r="L87" i="14"/>
  <c r="L873" i="94" s="1"/>
  <c r="K87" i="14"/>
  <c r="K873" i="94" s="1"/>
  <c r="J87" i="14"/>
  <c r="J873" i="94" s="1"/>
  <c r="I87" i="14"/>
  <c r="H87" i="14"/>
  <c r="G87" i="14"/>
  <c r="G873" i="94" s="1"/>
  <c r="F87" i="14"/>
  <c r="D64" i="2" s="1"/>
  <c r="E87" i="14"/>
  <c r="E873" i="94" s="1"/>
  <c r="D87" i="14"/>
  <c r="D873" i="94" s="1"/>
  <c r="L83" i="14"/>
  <c r="L843" i="94" s="1"/>
  <c r="K83" i="14"/>
  <c r="J83" i="14"/>
  <c r="J843" i="94" s="1"/>
  <c r="I83" i="14"/>
  <c r="I843" i="94" s="1"/>
  <c r="H83" i="14"/>
  <c r="G83" i="14"/>
  <c r="G843" i="94" s="1"/>
  <c r="F83" i="14"/>
  <c r="D60" i="2" s="1"/>
  <c r="E83" i="14"/>
  <c r="E843" i="94" s="1"/>
  <c r="D83" i="14"/>
  <c r="D843" i="94" s="1"/>
  <c r="L82" i="14"/>
  <c r="L829" i="94" s="1"/>
  <c r="K82" i="14"/>
  <c r="K829" i="94" s="1"/>
  <c r="J82" i="14"/>
  <c r="J829" i="94" s="1"/>
  <c r="I82" i="14"/>
  <c r="I829" i="94" s="1"/>
  <c r="H82" i="14"/>
  <c r="G82" i="14"/>
  <c r="G829" i="94" s="1"/>
  <c r="F82" i="14"/>
  <c r="E82" i="14"/>
  <c r="D82" i="14"/>
  <c r="D829" i="94" s="1"/>
  <c r="L81" i="14"/>
  <c r="L815" i="94" s="1"/>
  <c r="K81" i="14"/>
  <c r="J81" i="14"/>
  <c r="J815" i="94" s="1"/>
  <c r="I81" i="14"/>
  <c r="H81" i="14"/>
  <c r="H815" i="94" s="1"/>
  <c r="G81" i="14"/>
  <c r="G815" i="94" s="1"/>
  <c r="E81" i="14"/>
  <c r="D81" i="14"/>
  <c r="D815" i="94" s="1"/>
  <c r="L80" i="14"/>
  <c r="K80" i="14"/>
  <c r="K801" i="94" s="1"/>
  <c r="J80" i="14"/>
  <c r="J801" i="94" s="1"/>
  <c r="I80" i="14"/>
  <c r="H80" i="14"/>
  <c r="H801" i="94" s="1"/>
  <c r="G80" i="14"/>
  <c r="F80" i="14"/>
  <c r="F801" i="94" s="1"/>
  <c r="E80" i="14"/>
  <c r="D80" i="14"/>
  <c r="L76" i="14"/>
  <c r="L771" i="94" s="1"/>
  <c r="K76" i="14"/>
  <c r="J76" i="14"/>
  <c r="J771" i="94" s="1"/>
  <c r="H76" i="14"/>
  <c r="H771" i="94" s="1"/>
  <c r="G76" i="14"/>
  <c r="G771" i="94" s="1"/>
  <c r="F76" i="14"/>
  <c r="E76" i="14"/>
  <c r="E771" i="94" s="1"/>
  <c r="D76" i="14"/>
  <c r="D771" i="94" s="1"/>
  <c r="L75" i="14"/>
  <c r="L757" i="94" s="1"/>
  <c r="K75" i="14"/>
  <c r="K757" i="94" s="1"/>
  <c r="J75" i="14"/>
  <c r="J757" i="94" s="1"/>
  <c r="I75" i="14"/>
  <c r="I757" i="94" s="1"/>
  <c r="H75" i="14"/>
  <c r="H757" i="94" s="1"/>
  <c r="G75" i="14"/>
  <c r="G757" i="94" s="1"/>
  <c r="F75" i="14"/>
  <c r="E75" i="14"/>
  <c r="E757" i="94" s="1"/>
  <c r="D75" i="14"/>
  <c r="D757" i="94" s="1"/>
  <c r="L74" i="14"/>
  <c r="L743" i="94" s="1"/>
  <c r="K74" i="14"/>
  <c r="J74" i="14"/>
  <c r="J743" i="94" s="1"/>
  <c r="I74" i="14"/>
  <c r="I743" i="94" s="1"/>
  <c r="H74" i="14"/>
  <c r="H743" i="94" s="1"/>
  <c r="G74" i="14"/>
  <c r="F74" i="14"/>
  <c r="F743" i="94" s="1"/>
  <c r="E74" i="14"/>
  <c r="E743" i="94" s="1"/>
  <c r="D74" i="14"/>
  <c r="D743" i="94" s="1"/>
  <c r="L73" i="14"/>
  <c r="L729" i="94" s="1"/>
  <c r="K73" i="14"/>
  <c r="K729" i="94" s="1"/>
  <c r="J73" i="14"/>
  <c r="I73" i="14"/>
  <c r="I729" i="94" s="1"/>
  <c r="H73" i="14"/>
  <c r="H729" i="94" s="1"/>
  <c r="G73" i="14"/>
  <c r="F73" i="14"/>
  <c r="E73" i="14"/>
  <c r="D73" i="14"/>
  <c r="D729" i="94" s="1"/>
  <c r="K72" i="14"/>
  <c r="K715" i="94" s="1"/>
  <c r="I72" i="14"/>
  <c r="I715" i="94" s="1"/>
  <c r="H72" i="14"/>
  <c r="H715" i="94" s="1"/>
  <c r="G72" i="14"/>
  <c r="G715" i="94" s="1"/>
  <c r="F72" i="14"/>
  <c r="E72" i="14"/>
  <c r="E715" i="94" s="1"/>
  <c r="L71" i="14"/>
  <c r="L701" i="94" s="1"/>
  <c r="K71" i="14"/>
  <c r="K701" i="94" s="1"/>
  <c r="J71" i="14"/>
  <c r="J701" i="94" s="1"/>
  <c r="I71" i="14"/>
  <c r="I701" i="94" s="1"/>
  <c r="H71" i="14"/>
  <c r="H701" i="94" s="1"/>
  <c r="G71" i="14"/>
  <c r="F71" i="14"/>
  <c r="F701" i="94" s="1"/>
  <c r="E71" i="14"/>
  <c r="E701" i="94" s="1"/>
  <c r="D71" i="14"/>
  <c r="L70" i="14"/>
  <c r="L687" i="94" s="1"/>
  <c r="K70" i="14"/>
  <c r="K687" i="94" s="1"/>
  <c r="J70" i="14"/>
  <c r="J687" i="94" s="1"/>
  <c r="I70" i="14"/>
  <c r="I687" i="94" s="1"/>
  <c r="H70" i="14"/>
  <c r="G70" i="14"/>
  <c r="F70" i="14"/>
  <c r="F687" i="94" s="1"/>
  <c r="E70" i="14"/>
  <c r="E687" i="94" s="1"/>
  <c r="D70" i="14"/>
  <c r="D687" i="94" s="1"/>
  <c r="L69" i="14"/>
  <c r="L673" i="94" s="1"/>
  <c r="K69" i="14"/>
  <c r="K673" i="94" s="1"/>
  <c r="J69" i="14"/>
  <c r="J673" i="94" s="1"/>
  <c r="H69" i="14"/>
  <c r="H673" i="94" s="1"/>
  <c r="F69" i="14"/>
  <c r="E69" i="14"/>
  <c r="E673" i="94" s="1"/>
  <c r="D69" i="14"/>
  <c r="D673" i="94" s="1"/>
  <c r="L68" i="14"/>
  <c r="L659" i="94" s="1"/>
  <c r="K68" i="14"/>
  <c r="K659" i="94" s="1"/>
  <c r="J68" i="14"/>
  <c r="J659" i="94" s="1"/>
  <c r="I68" i="14"/>
  <c r="I659" i="94" s="1"/>
  <c r="H68" i="14"/>
  <c r="G68" i="14"/>
  <c r="G659" i="94" s="1"/>
  <c r="F68" i="14"/>
  <c r="E68" i="14"/>
  <c r="D68" i="14"/>
  <c r="L67" i="14"/>
  <c r="L645" i="94" s="1"/>
  <c r="K67" i="14"/>
  <c r="K645" i="94" s="1"/>
  <c r="J67" i="14"/>
  <c r="J645" i="94" s="1"/>
  <c r="I67" i="14"/>
  <c r="I645" i="94" s="1"/>
  <c r="H67" i="14"/>
  <c r="H645" i="94" s="1"/>
  <c r="G67" i="14"/>
  <c r="F67" i="14"/>
  <c r="F645" i="94" s="1"/>
  <c r="E67" i="14"/>
  <c r="D67" i="14"/>
  <c r="D645" i="94" s="1"/>
  <c r="L66" i="14"/>
  <c r="K66" i="14"/>
  <c r="J66" i="14"/>
  <c r="J631" i="94" s="1"/>
  <c r="I66" i="14"/>
  <c r="I631" i="94" s="1"/>
  <c r="H66" i="14"/>
  <c r="H631" i="94" s="1"/>
  <c r="G66" i="14"/>
  <c r="G631" i="94" s="1"/>
  <c r="F66" i="14"/>
  <c r="E66" i="14"/>
  <c r="D66" i="14"/>
  <c r="L65" i="14"/>
  <c r="K65" i="14"/>
  <c r="K617" i="94" s="1"/>
  <c r="F56" i="94"/>
  <c r="F41" i="94"/>
  <c r="D29" i="26"/>
  <c r="D58" i="26"/>
  <c r="D23" i="36"/>
  <c r="D32" i="41"/>
  <c r="D33" i="41"/>
  <c r="D52" i="21"/>
  <c r="D43" i="36"/>
  <c r="D42" i="26"/>
  <c r="D32" i="36"/>
  <c r="D59" i="36"/>
  <c r="D52" i="51"/>
  <c r="D49" i="46"/>
  <c r="D34" i="46"/>
  <c r="M46" i="94"/>
  <c r="M39" i="94"/>
  <c r="M50" i="94"/>
  <c r="M42" i="94"/>
  <c r="M40" i="94"/>
  <c r="M45" i="94"/>
  <c r="M47" i="94"/>
  <c r="M41" i="94"/>
  <c r="J65" i="14"/>
  <c r="J617" i="94" s="1"/>
  <c r="I65" i="14"/>
  <c r="I617" i="94" s="1"/>
  <c r="H65" i="14"/>
  <c r="H617" i="94" s="1"/>
  <c r="G65" i="14"/>
  <c r="F65" i="14"/>
  <c r="E65" i="14"/>
  <c r="D65" i="14"/>
  <c r="D617" i="94" s="1"/>
  <c r="J574" i="94"/>
  <c r="H574" i="94"/>
  <c r="E574" i="94"/>
  <c r="D574" i="94"/>
  <c r="D560" i="94"/>
  <c r="K546" i="94"/>
  <c r="J546" i="94"/>
  <c r="E546" i="94"/>
  <c r="D546" i="94"/>
  <c r="L532" i="94"/>
  <c r="K532" i="94"/>
  <c r="H532" i="94"/>
  <c r="G532" i="94"/>
  <c r="G518" i="94"/>
  <c r="E518" i="94"/>
  <c r="K472" i="94"/>
  <c r="H472" i="94"/>
  <c r="D472" i="94"/>
  <c r="L456" i="94"/>
  <c r="I456" i="94"/>
  <c r="H456" i="94"/>
  <c r="D456" i="94"/>
  <c r="L411" i="94"/>
  <c r="J397" i="94"/>
  <c r="F397" i="94"/>
  <c r="J383" i="94"/>
  <c r="H369" i="94"/>
  <c r="E369" i="94"/>
  <c r="D369" i="94"/>
  <c r="D355" i="94"/>
  <c r="G341" i="94"/>
  <c r="L35" i="14"/>
  <c r="L327" i="94" s="1"/>
  <c r="K35" i="14"/>
  <c r="K327" i="94" s="1"/>
  <c r="J35" i="14"/>
  <c r="J327" i="94" s="1"/>
  <c r="I35" i="14"/>
  <c r="I327" i="94" s="1"/>
  <c r="H35" i="14"/>
  <c r="G35" i="14"/>
  <c r="F35" i="14"/>
  <c r="F327" i="94" s="1"/>
  <c r="E35" i="14"/>
  <c r="D35" i="14"/>
  <c r="J34" i="14"/>
  <c r="J313" i="94" s="1"/>
  <c r="I34" i="14"/>
  <c r="H34" i="14"/>
  <c r="H313" i="94" s="1"/>
  <c r="G34" i="14"/>
  <c r="G313" i="94" s="1"/>
  <c r="F34" i="14"/>
  <c r="F313" i="94" s="1"/>
  <c r="E34" i="14"/>
  <c r="E313" i="94" s="1"/>
  <c r="D34" i="14"/>
  <c r="L33" i="14"/>
  <c r="L299" i="94" s="1"/>
  <c r="K33" i="14"/>
  <c r="K299" i="94" s="1"/>
  <c r="J33" i="14"/>
  <c r="J299" i="94" s="1"/>
  <c r="I33" i="14"/>
  <c r="I299" i="94" s="1"/>
  <c r="H33" i="14"/>
  <c r="G33" i="14"/>
  <c r="F33" i="14"/>
  <c r="F299" i="94" s="1"/>
  <c r="E33" i="14"/>
  <c r="E299" i="94" s="1"/>
  <c r="D33" i="14"/>
  <c r="L32" i="14"/>
  <c r="L285" i="94" s="1"/>
  <c r="J32" i="14"/>
  <c r="J285" i="94" s="1"/>
  <c r="I32" i="14"/>
  <c r="H32" i="14"/>
  <c r="H285" i="94" s="1"/>
  <c r="G32" i="14"/>
  <c r="G285" i="94" s="1"/>
  <c r="F32" i="14"/>
  <c r="E32" i="14"/>
  <c r="D32" i="14"/>
  <c r="J242" i="94"/>
  <c r="L228" i="94"/>
  <c r="G228" i="94"/>
  <c r="L214" i="94"/>
  <c r="I214" i="94"/>
  <c r="J200" i="94"/>
  <c r="I200" i="94"/>
  <c r="J186" i="94"/>
  <c r="H186" i="94"/>
  <c r="G186" i="94"/>
  <c r="F186" i="94"/>
  <c r="L22" i="14"/>
  <c r="K22" i="14"/>
  <c r="J22" i="14"/>
  <c r="H22" i="14"/>
  <c r="G22" i="14"/>
  <c r="G158" i="94" s="1"/>
  <c r="F22" i="14"/>
  <c r="F158" i="94" s="1"/>
  <c r="E22" i="14"/>
  <c r="E158" i="94" s="1"/>
  <c r="D22" i="14"/>
  <c r="D158" i="94" s="1"/>
  <c r="L21" i="14"/>
  <c r="L144" i="94" s="1"/>
  <c r="K21" i="14"/>
  <c r="K144" i="94" s="1"/>
  <c r="J21" i="14"/>
  <c r="J144" i="94" s="1"/>
  <c r="I21" i="14"/>
  <c r="H21" i="14"/>
  <c r="H144" i="94" s="1"/>
  <c r="G21" i="14"/>
  <c r="G144" i="94" s="1"/>
  <c r="F21" i="14"/>
  <c r="E21" i="14"/>
  <c r="E144" i="94" s="1"/>
  <c r="D21" i="14"/>
  <c r="D144" i="94" s="1"/>
  <c r="L20" i="14"/>
  <c r="L130" i="94" s="1"/>
  <c r="K20" i="14"/>
  <c r="K130" i="94" s="1"/>
  <c r="J20" i="14"/>
  <c r="J130" i="94" s="1"/>
  <c r="I20" i="14"/>
  <c r="I130" i="94" s="1"/>
  <c r="H20" i="14"/>
  <c r="G20" i="14"/>
  <c r="G130" i="94" s="1"/>
  <c r="F20" i="14"/>
  <c r="F130" i="94" s="1"/>
  <c r="E20" i="14"/>
  <c r="E130" i="94" s="1"/>
  <c r="L19" i="14"/>
  <c r="K19" i="14"/>
  <c r="J19" i="14"/>
  <c r="J116" i="94" s="1"/>
  <c r="I19" i="14"/>
  <c r="I116" i="94" s="1"/>
  <c r="H19" i="14"/>
  <c r="H116" i="94" s="1"/>
  <c r="G19" i="14"/>
  <c r="F19" i="14"/>
  <c r="F116" i="94" s="1"/>
  <c r="E19" i="14"/>
  <c r="E116" i="94" s="1"/>
  <c r="D19" i="14"/>
  <c r="I72" i="94"/>
  <c r="J58" i="94"/>
  <c r="G58" i="94"/>
  <c r="D44" i="94"/>
  <c r="L44" i="94"/>
  <c r="K44" i="94"/>
  <c r="J44" i="94"/>
  <c r="I44" i="94"/>
  <c r="H44" i="94"/>
  <c r="G44" i="94"/>
  <c r="F44" i="94"/>
  <c r="E44" i="94"/>
  <c r="H30" i="94"/>
  <c r="E30" i="94"/>
  <c r="G16" i="94"/>
  <c r="D10" i="2"/>
  <c r="D16" i="94"/>
  <c r="X74" i="14"/>
  <c r="X73" i="14"/>
  <c r="X72" i="14"/>
  <c r="X71" i="14"/>
  <c r="X70" i="14"/>
  <c r="X69" i="14"/>
  <c r="X68" i="14"/>
  <c r="X67" i="14"/>
  <c r="X66" i="14"/>
  <c r="X65" i="14"/>
  <c r="R103" i="14"/>
  <c r="P103" i="14"/>
  <c r="Q11" i="74" s="1"/>
  <c r="S87" i="14"/>
  <c r="L121" i="14" s="1"/>
  <c r="S84" i="14"/>
  <c r="S77" i="14"/>
  <c r="S76" i="14"/>
  <c r="P74" i="14"/>
  <c r="R73" i="14"/>
  <c r="Q73" i="14"/>
  <c r="P73" i="14"/>
  <c r="R72" i="14"/>
  <c r="Q72" i="14"/>
  <c r="P72" i="14"/>
  <c r="R71" i="14"/>
  <c r="Q71" i="14"/>
  <c r="P71" i="14"/>
  <c r="R70" i="14"/>
  <c r="Q70" i="14"/>
  <c r="P70" i="14"/>
  <c r="R69" i="14"/>
  <c r="Q69" i="14"/>
  <c r="P69" i="14"/>
  <c r="R68" i="14"/>
  <c r="Q68" i="14"/>
  <c r="P68" i="14"/>
  <c r="E9" i="95" s="1"/>
  <c r="R67" i="14"/>
  <c r="Q67" i="14"/>
  <c r="P67" i="14"/>
  <c r="R66" i="14"/>
  <c r="Q66" i="14"/>
  <c r="P66" i="14"/>
  <c r="R65" i="14"/>
  <c r="Q65" i="14"/>
  <c r="P65" i="14"/>
  <c r="R34" i="14"/>
  <c r="L114" i="14" s="1"/>
  <c r="Q32" i="14"/>
  <c r="L113" i="14" s="1"/>
  <c r="B21" i="43"/>
  <c r="V103" i="14"/>
  <c r="A24" i="70"/>
  <c r="A5" i="65"/>
  <c r="A3" i="65"/>
  <c r="A2" i="65"/>
  <c r="B1" i="53"/>
  <c r="B1" i="48"/>
  <c r="B1" i="43"/>
  <c r="B1" i="38"/>
  <c r="B1" i="33"/>
  <c r="B1" i="28"/>
  <c r="B1" i="23"/>
  <c r="B1" i="18"/>
  <c r="B1" i="6"/>
  <c r="B1" i="58"/>
  <c r="B2" i="58"/>
  <c r="B2" i="6"/>
  <c r="B3" i="18"/>
  <c r="B3" i="23"/>
  <c r="B3" i="28"/>
  <c r="B3" i="33"/>
  <c r="B3" i="38"/>
  <c r="B3" i="43"/>
  <c r="B4" i="48"/>
  <c r="B3" i="53"/>
  <c r="B2" i="18"/>
  <c r="B2" i="23"/>
  <c r="B2" i="28"/>
  <c r="B2" i="33"/>
  <c r="B2" i="38"/>
  <c r="B2" i="43"/>
  <c r="B3" i="48"/>
  <c r="B2" i="53"/>
  <c r="A1" i="51"/>
  <c r="G2" i="51" s="1"/>
  <c r="I8" i="51" s="1"/>
  <c r="H19" i="98" s="1"/>
  <c r="A1" i="46"/>
  <c r="R4" i="65" s="1"/>
  <c r="A1" i="41"/>
  <c r="G2" i="41" s="1"/>
  <c r="A1" i="36"/>
  <c r="A1" i="31"/>
  <c r="G2" i="31" s="1"/>
  <c r="A1" i="26"/>
  <c r="G2" i="26" s="1"/>
  <c r="A1" i="21"/>
  <c r="G2" i="21" s="1"/>
  <c r="A1" i="16"/>
  <c r="G2" i="16" s="1"/>
  <c r="A3" i="15"/>
  <c r="A3" i="20"/>
  <c r="A3" i="25"/>
  <c r="A3" i="30"/>
  <c r="A3" i="35"/>
  <c r="A3" i="40"/>
  <c r="A4" i="45"/>
  <c r="A3" i="50"/>
  <c r="A3" i="1"/>
  <c r="B3" i="6" s="1"/>
  <c r="A2" i="15"/>
  <c r="A2" i="20"/>
  <c r="A2" i="25"/>
  <c r="A2" i="30"/>
  <c r="A2" i="35"/>
  <c r="A2" i="40"/>
  <c r="A3" i="45"/>
  <c r="A2" i="50"/>
  <c r="A2" i="1"/>
  <c r="I2" i="14"/>
  <c r="B2" i="17"/>
  <c r="P13" i="17" s="1"/>
  <c r="B2" i="22"/>
  <c r="B982" i="94" s="1"/>
  <c r="B2" i="27"/>
  <c r="B753" i="94" s="1"/>
  <c r="B2" i="32"/>
  <c r="B56" i="94" s="1"/>
  <c r="B2" i="37"/>
  <c r="B458" i="94" s="1"/>
  <c r="B2" i="42"/>
  <c r="B772" i="94" s="1"/>
  <c r="B2" i="47"/>
  <c r="B907" i="94" s="1"/>
  <c r="B2" i="62"/>
  <c r="B274" i="94" s="1"/>
  <c r="B4" i="62"/>
  <c r="B3" i="62"/>
  <c r="B5" i="47"/>
  <c r="B4" i="47"/>
  <c r="B4" i="42"/>
  <c r="B3" i="42"/>
  <c r="B4" i="37"/>
  <c r="B3" i="37"/>
  <c r="B4" i="32"/>
  <c r="B3" i="32"/>
  <c r="B4" i="27"/>
  <c r="B3" i="27"/>
  <c r="B4" i="22"/>
  <c r="B3" i="22"/>
  <c r="B4" i="17"/>
  <c r="B3" i="17"/>
  <c r="B4" i="14"/>
  <c r="B3" i="14"/>
  <c r="M7" i="14"/>
  <c r="M7" i="17"/>
  <c r="M7" i="22"/>
  <c r="M7" i="27"/>
  <c r="M7" i="32"/>
  <c r="M7" i="37"/>
  <c r="M7" i="42"/>
  <c r="M7" i="47"/>
  <c r="M7" i="62"/>
  <c r="B6" i="14"/>
  <c r="B6" i="17"/>
  <c r="B6" i="22"/>
  <c r="B6" i="27"/>
  <c r="B6" i="32"/>
  <c r="B6" i="37"/>
  <c r="B6" i="42"/>
  <c r="B6" i="47"/>
  <c r="B6" i="62"/>
  <c r="A1" i="57"/>
  <c r="A5" i="57"/>
  <c r="A3" i="57"/>
  <c r="A2" i="57"/>
  <c r="A110" i="57" s="1"/>
  <c r="A3" i="16"/>
  <c r="A3" i="21"/>
  <c r="A3" i="26"/>
  <c r="A3" i="31"/>
  <c r="A3" i="36"/>
  <c r="A3" i="41"/>
  <c r="A3" i="46"/>
  <c r="A3" i="51"/>
  <c r="A3" i="2"/>
  <c r="A2" i="16"/>
  <c r="A2" i="21"/>
  <c r="A2" i="26"/>
  <c r="A2" i="31"/>
  <c r="A2" i="36"/>
  <c r="A2" i="41"/>
  <c r="A2" i="46"/>
  <c r="A2" i="51"/>
  <c r="A2" i="2"/>
  <c r="A5" i="16"/>
  <c r="A5" i="21"/>
  <c r="A5" i="26"/>
  <c r="A5" i="31"/>
  <c r="A5" i="36"/>
  <c r="A5" i="41"/>
  <c r="A5" i="46"/>
  <c r="A5" i="51"/>
  <c r="A5" i="2"/>
  <c r="B802" i="94"/>
  <c r="B356" i="94"/>
  <c r="B394" i="94"/>
  <c r="B305" i="94"/>
  <c r="B216" i="94"/>
  <c r="B188" i="94"/>
  <c r="B669" i="94"/>
  <c r="B436" i="94"/>
  <c r="B210" i="94"/>
  <c r="B182" i="94"/>
  <c r="B154" i="94"/>
  <c r="B767" i="94"/>
  <c r="B570" i="94"/>
  <c r="A8" i="57"/>
  <c r="B697" i="94"/>
  <c r="B839" i="94"/>
  <c r="B627" i="94"/>
  <c r="B224" i="94"/>
  <c r="B82" i="94"/>
  <c r="B379" i="94"/>
  <c r="B584" i="94"/>
  <c r="B196" i="94"/>
  <c r="B67" i="94"/>
  <c r="B451" i="94"/>
  <c r="M44" i="94"/>
  <c r="B114" i="57"/>
  <c r="O36" i="65"/>
  <c r="O33" i="65"/>
  <c r="O30" i="65"/>
  <c r="D4" i="65"/>
  <c r="M15" i="65"/>
  <c r="M16" i="65" s="1"/>
  <c r="M30" i="65"/>
  <c r="M33" i="65"/>
  <c r="M36" i="65"/>
  <c r="O60" i="65"/>
  <c r="O61" i="65" s="1"/>
  <c r="O15" i="65"/>
  <c r="O16" i="65" s="1"/>
  <c r="M61" i="65"/>
  <c r="M75" i="65"/>
  <c r="O75" i="65"/>
  <c r="J15" i="64"/>
  <c r="B15" i="64"/>
  <c r="B102" i="63"/>
  <c r="B73" i="63"/>
  <c r="B44" i="63"/>
  <c r="B89" i="63"/>
  <c r="B60" i="63"/>
  <c r="B31" i="63"/>
  <c r="B134" i="63"/>
  <c r="B120" i="63"/>
  <c r="F11" i="63"/>
  <c r="F10" i="63"/>
  <c r="B15" i="63"/>
  <c r="P126" i="63"/>
  <c r="F30" i="63"/>
  <c r="C56" i="56"/>
  <c r="C14" i="56"/>
  <c r="C13" i="56"/>
  <c r="C12" i="56"/>
  <c r="C11" i="56"/>
  <c r="C56" i="50"/>
  <c r="C14" i="50"/>
  <c r="C13" i="50"/>
  <c r="C12" i="50"/>
  <c r="C11" i="50"/>
  <c r="C56" i="45"/>
  <c r="C14" i="45"/>
  <c r="C13" i="45"/>
  <c r="C12" i="45"/>
  <c r="C11" i="45"/>
  <c r="F29" i="63"/>
  <c r="C56" i="40"/>
  <c r="C14" i="40"/>
  <c r="C13" i="40"/>
  <c r="C12" i="40"/>
  <c r="C11" i="40"/>
  <c r="F28" i="63"/>
  <c r="C56" i="35"/>
  <c r="C14" i="35"/>
  <c r="C13" i="35"/>
  <c r="C12" i="35"/>
  <c r="C11" i="35"/>
  <c r="F27" i="63"/>
  <c r="C56" i="30"/>
  <c r="C14" i="30"/>
  <c r="C13" i="30"/>
  <c r="C12" i="30"/>
  <c r="C11" i="30"/>
  <c r="F26" i="63"/>
  <c r="C56" i="25"/>
  <c r="C14" i="25"/>
  <c r="C13" i="25"/>
  <c r="C12" i="25"/>
  <c r="C11" i="25"/>
  <c r="F25" i="63"/>
  <c r="K36" i="65"/>
  <c r="C56" i="20"/>
  <c r="C14" i="20"/>
  <c r="C13" i="20"/>
  <c r="C12" i="20"/>
  <c r="C11" i="20"/>
  <c r="F24" i="63"/>
  <c r="C56" i="15"/>
  <c r="C14" i="15"/>
  <c r="C13" i="15"/>
  <c r="C12" i="15"/>
  <c r="C11" i="15"/>
  <c r="F23" i="63"/>
  <c r="C11" i="1"/>
  <c r="C12" i="1"/>
  <c r="C13" i="1"/>
  <c r="C14" i="1"/>
  <c r="C56" i="1"/>
  <c r="F22" i="63"/>
  <c r="U14" i="73"/>
  <c r="D42" i="83"/>
  <c r="D36" i="36"/>
  <c r="D64" i="36"/>
  <c r="D58" i="91"/>
  <c r="L122" i="17"/>
  <c r="B628" i="94"/>
  <c r="B798" i="94"/>
  <c r="B437" i="94"/>
  <c r="D49" i="31"/>
  <c r="O26" i="65"/>
  <c r="O27" i="65" s="1"/>
  <c r="I8" i="86"/>
  <c r="B469" i="94"/>
  <c r="F89" i="42"/>
  <c r="F902" i="94" s="1"/>
  <c r="B422" i="94"/>
  <c r="B140" i="94"/>
  <c r="B542" i="94"/>
  <c r="B897" i="94"/>
  <c r="B352" i="94"/>
  <c r="B898" i="94"/>
  <c r="D64" i="41"/>
  <c r="B715" i="94"/>
  <c r="B41" i="94"/>
  <c r="B613" i="94"/>
  <c r="B220" i="94"/>
  <c r="B693" i="94"/>
  <c r="B253" i="94"/>
  <c r="B928" i="94"/>
  <c r="B998" i="94"/>
  <c r="B984" i="94"/>
  <c r="B310" i="94"/>
  <c r="D23" i="41"/>
  <c r="B485" i="94"/>
  <c r="F800" i="94"/>
  <c r="P13" i="27"/>
  <c r="B295" i="94"/>
  <c r="B238" i="94"/>
  <c r="B683" i="94"/>
  <c r="B514" i="94"/>
  <c r="B68" i="94"/>
  <c r="B528" i="94"/>
  <c r="B556" i="94"/>
  <c r="B309" i="94"/>
  <c r="B54" i="94"/>
  <c r="B26" i="94"/>
  <c r="B825" i="94"/>
  <c r="B452" i="94"/>
  <c r="B281" i="94"/>
  <c r="B12" i="94"/>
  <c r="B337" i="94"/>
  <c r="B941" i="94"/>
  <c r="B641" i="94"/>
  <c r="B869" i="94"/>
  <c r="B421" i="94"/>
  <c r="B853" i="94"/>
  <c r="I2" i="27"/>
  <c r="B468" i="94"/>
  <c r="B407" i="94"/>
  <c r="B983" i="94"/>
  <c r="B912" i="94"/>
  <c r="B999" i="94"/>
  <c r="D14" i="26"/>
  <c r="B781" i="94"/>
  <c r="D57" i="2"/>
  <c r="F845" i="94"/>
  <c r="D60" i="36"/>
  <c r="I889" i="94"/>
  <c r="I89" i="37"/>
  <c r="I903" i="94" s="1"/>
  <c r="L122" i="22"/>
  <c r="B711" i="94"/>
  <c r="B655" i="94"/>
  <c r="B598" i="94"/>
  <c r="B797" i="94"/>
  <c r="B997" i="94"/>
  <c r="B725" i="94"/>
  <c r="D43" i="16"/>
  <c r="AD16" i="100"/>
  <c r="Y16" i="97"/>
  <c r="T16" i="73"/>
  <c r="B429" i="94"/>
  <c r="B1005" i="94"/>
  <c r="B106" i="94"/>
  <c r="B796" i="94"/>
  <c r="B927" i="94"/>
  <c r="B323" i="94"/>
  <c r="B811" i="94"/>
  <c r="B1017" i="94"/>
  <c r="B40" i="94"/>
  <c r="B739" i="94"/>
  <c r="B184" i="94"/>
  <c r="Q16" i="74"/>
  <c r="D58" i="2"/>
  <c r="K344" i="94"/>
  <c r="F472" i="94"/>
  <c r="D26" i="2"/>
  <c r="E76" i="2" s="1"/>
  <c r="F623" i="94"/>
  <c r="D42" i="46"/>
  <c r="D333" i="94"/>
  <c r="B267" i="94"/>
  <c r="B500" i="94"/>
  <c r="B838" i="94"/>
  <c r="B308" i="94"/>
  <c r="D879" i="94"/>
  <c r="H4" i="65"/>
  <c r="D34" i="91"/>
  <c r="F531" i="94"/>
  <c r="B392" i="94"/>
  <c r="L122" i="27"/>
  <c r="B252" i="94"/>
  <c r="B112" i="94"/>
  <c r="B365" i="94"/>
  <c r="B1031" i="94"/>
  <c r="B98" i="94"/>
  <c r="B955" i="94"/>
  <c r="B353" i="94"/>
  <c r="AE18" i="100"/>
  <c r="B17" i="53"/>
  <c r="B420" i="94"/>
  <c r="B393" i="94"/>
  <c r="B883" i="94"/>
  <c r="B168" i="94"/>
  <c r="B484" i="94"/>
  <c r="B351" i="94"/>
  <c r="B126" i="94"/>
  <c r="B969" i="94"/>
  <c r="B381" i="94"/>
  <c r="K60" i="94"/>
  <c r="Y12" i="97"/>
  <c r="E730" i="94"/>
  <c r="L112" i="17"/>
  <c r="M1018" i="94"/>
  <c r="B849" i="94"/>
  <c r="F824" i="94"/>
  <c r="D59" i="21"/>
  <c r="F657" i="94"/>
  <c r="D45" i="31"/>
  <c r="E31" i="94"/>
  <c r="U19" i="73"/>
  <c r="Z19" i="97"/>
  <c r="F471" i="94"/>
  <c r="L121" i="27"/>
  <c r="B21" i="28"/>
  <c r="AF17" i="100"/>
  <c r="AA17" i="97"/>
  <c r="D23" i="21"/>
  <c r="D49" i="36"/>
  <c r="E685" i="94"/>
  <c r="K89" i="32"/>
  <c r="K899" i="94"/>
  <c r="F893" i="94"/>
  <c r="D65" i="46"/>
  <c r="AE12" i="100"/>
  <c r="AE17" i="100"/>
  <c r="Z17" i="97"/>
  <c r="H89" i="47"/>
  <c r="H907" i="94" s="1"/>
  <c r="D23" i="83"/>
  <c r="B58" i="94"/>
  <c r="B299" i="94"/>
  <c r="B945" i="94"/>
  <c r="B341" i="94"/>
  <c r="B488" i="94"/>
  <c r="B815" i="94"/>
  <c r="B397" i="94"/>
  <c r="B228" i="94"/>
  <c r="B369" i="94"/>
  <c r="V4" i="65"/>
  <c r="F742" i="94"/>
  <c r="D73" i="91"/>
  <c r="AA11" i="97"/>
  <c r="D11" i="91"/>
  <c r="AF16" i="100"/>
  <c r="AA16" i="97"/>
  <c r="B298" i="94"/>
  <c r="B85" i="94"/>
  <c r="B573" i="94"/>
  <c r="B930" i="94"/>
  <c r="B503" i="94"/>
  <c r="Z20" i="97"/>
  <c r="AF20" i="100"/>
  <c r="AA20" i="97"/>
  <c r="S20" i="74"/>
  <c r="Z15" i="97"/>
  <c r="D11" i="83"/>
  <c r="V20" i="73"/>
  <c r="Q20" i="74"/>
  <c r="J19" i="78"/>
  <c r="D62" i="94"/>
  <c r="D49" i="83"/>
  <c r="D47" i="83"/>
  <c r="F42" i="92"/>
  <c r="R19" i="74"/>
  <c r="D53" i="51"/>
  <c r="D89" i="62"/>
  <c r="D904" i="94" s="1"/>
  <c r="D57" i="41"/>
  <c r="L89" i="42"/>
  <c r="L902" i="94" s="1"/>
  <c r="D35" i="41"/>
  <c r="U17" i="73"/>
  <c r="D13" i="41"/>
  <c r="V17" i="73"/>
  <c r="D36" i="41"/>
  <c r="J15" i="42"/>
  <c r="J87" i="94" s="1"/>
  <c r="S17" i="74"/>
  <c r="R17" i="74"/>
  <c r="E89" i="47"/>
  <c r="E907" i="94" s="1"/>
  <c r="G875" i="94"/>
  <c r="F120" i="94"/>
  <c r="D53" i="91"/>
  <c r="F770" i="94"/>
  <c r="I886" i="94"/>
  <c r="F15" i="22"/>
  <c r="F81" i="94" s="1"/>
  <c r="E660" i="94"/>
  <c r="M1016" i="94"/>
  <c r="L112" i="22"/>
  <c r="I34" i="94"/>
  <c r="E733" i="94"/>
  <c r="D14" i="41"/>
  <c r="E816" i="94"/>
  <c r="D26" i="83"/>
  <c r="E76" i="83" s="1"/>
  <c r="D663" i="94"/>
  <c r="O68" i="84"/>
  <c r="M1025" i="94"/>
  <c r="F616" i="94"/>
  <c r="D42" i="91"/>
  <c r="D42" i="21"/>
  <c r="I89" i="84"/>
  <c r="I905" i="94" s="1"/>
  <c r="B21" i="18"/>
  <c r="D34" i="21"/>
  <c r="D32" i="21"/>
  <c r="D32" i="83"/>
  <c r="E977" i="94"/>
  <c r="F644" i="94"/>
  <c r="D44" i="91"/>
  <c r="F891" i="94"/>
  <c r="D65" i="83"/>
  <c r="D341" i="94"/>
  <c r="I397" i="94"/>
  <c r="D44" i="2"/>
  <c r="G89" i="42"/>
  <c r="G902" i="94" s="1"/>
  <c r="D167" i="94"/>
  <c r="G689" i="94"/>
  <c r="H34" i="94"/>
  <c r="G949" i="94"/>
  <c r="D18" i="27"/>
  <c r="D98" i="94" s="1"/>
  <c r="AE19" i="100"/>
  <c r="I18" i="78"/>
  <c r="L112" i="42"/>
  <c r="M1022" i="94"/>
  <c r="L29" i="84"/>
  <c r="L260" i="94" s="1"/>
  <c r="L190" i="94"/>
  <c r="D747" i="94"/>
  <c r="H877" i="94"/>
  <c r="H89" i="84"/>
  <c r="H905" i="94" s="1"/>
  <c r="D742" i="94"/>
  <c r="L116" i="84"/>
  <c r="M1021" i="94"/>
  <c r="V21" i="73"/>
  <c r="J21" i="78"/>
  <c r="D23" i="91"/>
  <c r="E89" i="92"/>
  <c r="E900" i="94" s="1"/>
  <c r="U76" i="37"/>
  <c r="D803" i="94"/>
  <c r="G889" i="94"/>
  <c r="J15" i="78"/>
  <c r="V16" i="73"/>
  <c r="S16" i="74"/>
  <c r="D29" i="36"/>
  <c r="D34" i="36"/>
  <c r="D47" i="36"/>
  <c r="U69" i="37"/>
  <c r="D52" i="31"/>
  <c r="B21" i="33"/>
  <c r="S15" i="74"/>
  <c r="D32" i="31"/>
  <c r="E643" i="94"/>
  <c r="I15" i="27"/>
  <c r="I82" i="94" s="1"/>
  <c r="D168" i="94"/>
  <c r="D23" i="26"/>
  <c r="D73" i="26"/>
  <c r="D50" i="21"/>
  <c r="D36" i="21"/>
  <c r="B17" i="23"/>
  <c r="D62" i="17"/>
  <c r="D585" i="94" s="1"/>
  <c r="B17" i="18"/>
  <c r="D26" i="16"/>
  <c r="E76" i="16" s="1"/>
  <c r="O71" i="17"/>
  <c r="D13" i="2"/>
  <c r="D32" i="2"/>
  <c r="L528" i="94"/>
  <c r="H797" i="94"/>
  <c r="D959" i="94"/>
  <c r="F768" i="94"/>
  <c r="I74" i="94"/>
  <c r="I15" i="37"/>
  <c r="I88" i="94" s="1"/>
  <c r="H160" i="94"/>
  <c r="H18" i="37"/>
  <c r="H104" i="94" s="1"/>
  <c r="E188" i="94"/>
  <c r="I215" i="94"/>
  <c r="E342" i="94"/>
  <c r="E42" i="42"/>
  <c r="K164" i="94"/>
  <c r="H192" i="94"/>
  <c r="F990" i="94"/>
  <c r="D26" i="21"/>
  <c r="E76" i="21" s="1"/>
  <c r="E926" i="94"/>
  <c r="J154" i="94"/>
  <c r="K379" i="94"/>
  <c r="G468" i="94"/>
  <c r="D44" i="26"/>
  <c r="F655" i="94"/>
  <c r="D45" i="26"/>
  <c r="K827" i="94"/>
  <c r="E173" i="94"/>
  <c r="D187" i="94"/>
  <c r="E807" i="94"/>
  <c r="E560" i="94"/>
  <c r="I211" i="94"/>
  <c r="I25" i="94"/>
  <c r="H323" i="94"/>
  <c r="F190" i="94"/>
  <c r="D202" i="94"/>
  <c r="E355" i="94"/>
  <c r="D34" i="2"/>
  <c r="E661" i="94"/>
  <c r="D52" i="83"/>
  <c r="K642" i="94"/>
  <c r="H754" i="94"/>
  <c r="E16" i="94"/>
  <c r="D726" i="94"/>
  <c r="H483" i="94"/>
  <c r="L26" i="94"/>
  <c r="L15" i="27"/>
  <c r="L82" i="94" s="1"/>
  <c r="F711" i="94"/>
  <c r="D49" i="26"/>
  <c r="D629" i="94"/>
  <c r="I741" i="94"/>
  <c r="D841" i="94"/>
  <c r="J59" i="94"/>
  <c r="G117" i="94"/>
  <c r="H159" i="94"/>
  <c r="G350" i="94"/>
  <c r="F343" i="94"/>
  <c r="F84" i="37"/>
  <c r="F859" i="94" s="1"/>
  <c r="F803" i="94"/>
  <c r="E246" i="94"/>
  <c r="F289" i="94"/>
  <c r="G719" i="94"/>
  <c r="I452" i="94"/>
  <c r="I232" i="94"/>
  <c r="D303" i="94"/>
  <c r="E945" i="94"/>
  <c r="F696" i="94"/>
  <c r="D48" i="21"/>
  <c r="F738" i="94"/>
  <c r="E183" i="94"/>
  <c r="D874" i="94"/>
  <c r="D89" i="42"/>
  <c r="D902" i="94" s="1"/>
  <c r="J305" i="94"/>
  <c r="H651" i="94"/>
  <c r="L879" i="94"/>
  <c r="L338" i="94"/>
  <c r="D485" i="94"/>
  <c r="K62" i="17"/>
  <c r="K585" i="94" s="1"/>
  <c r="K501" i="94"/>
  <c r="K870" i="94"/>
  <c r="D365" i="94"/>
  <c r="E500" i="94"/>
  <c r="J62" i="27"/>
  <c r="J584" i="94" s="1"/>
  <c r="E70" i="94"/>
  <c r="I646" i="94"/>
  <c r="L20" i="94"/>
  <c r="I176" i="94"/>
  <c r="I29" i="84"/>
  <c r="I260" i="94" s="1"/>
  <c r="D536" i="94"/>
  <c r="I282" i="94"/>
  <c r="J352" i="94"/>
  <c r="G543" i="94"/>
  <c r="G20" i="94"/>
  <c r="E630" i="94"/>
  <c r="I728" i="94"/>
  <c r="I370" i="94"/>
  <c r="H344" i="94"/>
  <c r="G169" i="94"/>
  <c r="D683" i="94"/>
  <c r="E343" i="94"/>
  <c r="AE16" i="100"/>
  <c r="D13" i="21"/>
  <c r="F53" i="94"/>
  <c r="D883" i="94"/>
  <c r="D14" i="31"/>
  <c r="E375" i="94"/>
  <c r="F169" i="94"/>
  <c r="H835" i="94"/>
  <c r="I89" i="32"/>
  <c r="I899" i="94" s="1"/>
  <c r="E489" i="94"/>
  <c r="E637" i="94"/>
  <c r="J471" i="94"/>
  <c r="H561" i="94"/>
  <c r="E176" i="94"/>
  <c r="K171" i="94"/>
  <c r="E354" i="94"/>
  <c r="AD13" i="100"/>
  <c r="L112" i="32"/>
  <c r="M1019" i="94"/>
  <c r="H522" i="94"/>
  <c r="H62" i="84"/>
  <c r="H592" i="94" s="1"/>
  <c r="I814" i="94"/>
  <c r="F872" i="94"/>
  <c r="D886" i="94"/>
  <c r="H13" i="78"/>
  <c r="H15" i="78"/>
  <c r="I115" i="94"/>
  <c r="K819" i="94"/>
  <c r="E76" i="94"/>
  <c r="D677" i="94"/>
  <c r="D57" i="94"/>
  <c r="E672" i="94"/>
  <c r="K190" i="94"/>
  <c r="H649" i="94"/>
  <c r="G635" i="94"/>
  <c r="O66" i="84"/>
  <c r="L112" i="87"/>
  <c r="L289" i="94"/>
  <c r="H199" i="94"/>
  <c r="H886" i="94"/>
  <c r="H89" i="92"/>
  <c r="H900" i="94" s="1"/>
  <c r="J16" i="78"/>
  <c r="D36" i="91"/>
  <c r="B875" i="94"/>
  <c r="B647" i="94"/>
  <c r="B413" i="94"/>
  <c r="B60" i="94"/>
  <c r="B889" i="94"/>
  <c r="B74" i="94"/>
  <c r="B717" i="94"/>
  <c r="B918" i="94"/>
  <c r="I2" i="37"/>
  <c r="A14" i="57"/>
  <c r="B817" i="94"/>
  <c r="B590" i="94"/>
  <c r="B357" i="94"/>
  <c r="B230" i="94"/>
  <c r="B427" i="94"/>
  <c r="B18" i="94"/>
  <c r="B1037" i="94"/>
  <c r="B371" i="94"/>
  <c r="B961" i="94"/>
  <c r="B731" i="94"/>
  <c r="B506" i="94"/>
  <c r="B273" i="94"/>
  <c r="B146" i="94"/>
  <c r="B859" i="94"/>
  <c r="B160" i="94"/>
  <c r="B520" i="94"/>
  <c r="B1023" i="94"/>
  <c r="B675" i="94"/>
  <c r="B301" i="94"/>
  <c r="B32" i="94"/>
  <c r="B132" i="94"/>
  <c r="B745" i="94"/>
  <c r="B989" i="94"/>
  <c r="B619" i="94"/>
  <c r="B244" i="94"/>
  <c r="B604" i="94"/>
  <c r="B490" i="94"/>
  <c r="B933" i="94"/>
  <c r="B562" i="94"/>
  <c r="B1003" i="94"/>
  <c r="B258" i="94"/>
  <c r="B46" i="94"/>
  <c r="B343" i="94"/>
  <c r="B787" i="94"/>
  <c r="B442" i="94"/>
  <c r="B174" i="94"/>
  <c r="B661" i="94"/>
  <c r="L122" i="37"/>
  <c r="B759" i="94"/>
  <c r="B118" i="94"/>
  <c r="B287" i="94"/>
  <c r="B703" i="94"/>
  <c r="B88" i="94"/>
  <c r="B947" i="94"/>
  <c r="B534" i="94"/>
  <c r="B633" i="94"/>
  <c r="B803" i="94"/>
  <c r="B903" i="94"/>
  <c r="B975" i="94"/>
  <c r="F4" i="65"/>
  <c r="I10" i="78"/>
  <c r="B576" i="94"/>
  <c r="B845" i="94"/>
  <c r="J4" i="65"/>
  <c r="B399" i="94"/>
  <c r="F869" i="94"/>
  <c r="D64" i="26"/>
  <c r="D371" i="94"/>
  <c r="J520" i="94"/>
  <c r="D35" i="36"/>
  <c r="D562" i="94"/>
  <c r="F661" i="94"/>
  <c r="D45" i="36"/>
  <c r="E14" i="95"/>
  <c r="E243" i="94"/>
  <c r="D370" i="94"/>
  <c r="E505" i="94"/>
  <c r="K631" i="94"/>
  <c r="I868" i="94"/>
  <c r="I89" i="22"/>
  <c r="I896" i="94" s="1"/>
  <c r="B329" i="94"/>
  <c r="H518" i="94"/>
  <c r="T4" i="65"/>
  <c r="D14" i="2"/>
  <c r="B868" i="94"/>
  <c r="B280" i="94"/>
  <c r="B682" i="94"/>
  <c r="A7" i="57"/>
  <c r="B810" i="94"/>
  <c r="B350" i="94"/>
  <c r="B195" i="94"/>
  <c r="B724" i="94"/>
  <c r="B499" i="94"/>
  <c r="B654" i="94"/>
  <c r="B125" i="94"/>
  <c r="P13" i="22"/>
  <c r="B766" i="94"/>
  <c r="B852" i="94"/>
  <c r="B696" i="94"/>
  <c r="B513" i="94"/>
  <c r="B1016" i="94"/>
  <c r="B911" i="94"/>
  <c r="B167" i="94"/>
  <c r="B896" i="94"/>
  <c r="B940" i="94"/>
  <c r="L4" i="65"/>
  <c r="D228" i="94"/>
  <c r="F200" i="94"/>
  <c r="I574" i="94"/>
  <c r="I2" i="47"/>
  <c r="B206" i="94"/>
  <c r="B855" i="94"/>
  <c r="B629" i="94"/>
  <c r="B395" i="94"/>
  <c r="B470" i="94"/>
  <c r="B42" i="94"/>
  <c r="B325" i="94"/>
  <c r="B142" i="94"/>
  <c r="B409" i="94"/>
  <c r="B502" i="94"/>
  <c r="B1033" i="94"/>
  <c r="B799" i="94"/>
  <c r="B572" i="94"/>
  <c r="B339" i="94"/>
  <c r="B212" i="94"/>
  <c r="B985" i="94"/>
  <c r="A10" i="57"/>
  <c r="B84" i="94"/>
  <c r="B297" i="94"/>
  <c r="B615" i="94"/>
  <c r="B943" i="94"/>
  <c r="B713" i="94"/>
  <c r="B486" i="94"/>
  <c r="B254" i="94"/>
  <c r="B128" i="94"/>
  <c r="B1019" i="94"/>
  <c r="B226" i="94"/>
  <c r="B727" i="94"/>
  <c r="B438" i="94"/>
  <c r="I2" i="32"/>
  <c r="E285" i="94"/>
  <c r="B478" i="94"/>
  <c r="B642" i="94"/>
  <c r="B408" i="94"/>
  <c r="B543" i="94"/>
  <c r="B324" i="94"/>
  <c r="B970" i="94"/>
  <c r="B83" i="94"/>
  <c r="A9" i="57"/>
  <c r="B812" i="94"/>
  <c r="B338" i="94"/>
  <c r="B268" i="94"/>
  <c r="B225" i="94"/>
  <c r="B453" i="94"/>
  <c r="B239" i="94"/>
  <c r="B956" i="94"/>
  <c r="B726" i="94"/>
  <c r="B501" i="94"/>
  <c r="B155" i="94"/>
  <c r="B55" i="94"/>
  <c r="B141" i="94"/>
  <c r="B69" i="94"/>
  <c r="B651" i="94"/>
  <c r="B319" i="94"/>
  <c r="A17" i="57"/>
  <c r="B1041" i="94"/>
  <c r="B893" i="94"/>
  <c r="B665" i="94"/>
  <c r="B835" i="94"/>
  <c r="K30" i="94"/>
  <c r="D327" i="94"/>
  <c r="F172" i="94"/>
  <c r="K325" i="94"/>
  <c r="L454" i="94"/>
  <c r="I470" i="94"/>
  <c r="G534" i="94"/>
  <c r="H172" i="94"/>
  <c r="F670" i="94"/>
  <c r="D46" i="16"/>
  <c r="K739" i="94"/>
  <c r="K530" i="94"/>
  <c r="E74" i="94"/>
  <c r="L74" i="94"/>
  <c r="K216" i="94"/>
  <c r="I230" i="94"/>
  <c r="H244" i="94"/>
  <c r="G357" i="94"/>
  <c r="D385" i="94"/>
  <c r="L458" i="94"/>
  <c r="J651" i="94"/>
  <c r="K763" i="94"/>
  <c r="I11" i="78"/>
  <c r="K25" i="94"/>
  <c r="L181" i="94"/>
  <c r="D451" i="94"/>
  <c r="E555" i="94"/>
  <c r="J752" i="94"/>
  <c r="F128" i="94"/>
  <c r="I353" i="94"/>
  <c r="I488" i="94"/>
  <c r="D679" i="94"/>
  <c r="F777" i="94"/>
  <c r="F774" i="94"/>
  <c r="D53" i="46"/>
  <c r="J835" i="94"/>
  <c r="D186" i="94"/>
  <c r="D29" i="2"/>
  <c r="F488" i="94"/>
  <c r="G984" i="94"/>
  <c r="E237" i="94"/>
  <c r="D364" i="94"/>
  <c r="E499" i="94"/>
  <c r="J541" i="94"/>
  <c r="D626" i="94"/>
  <c r="G488" i="94"/>
  <c r="E462" i="94"/>
  <c r="H740" i="94"/>
  <c r="D812" i="94"/>
  <c r="G53" i="94"/>
  <c r="G322" i="94"/>
  <c r="L626" i="94"/>
  <c r="H696" i="94"/>
  <c r="I343" i="94"/>
  <c r="E371" i="94"/>
  <c r="G490" i="94"/>
  <c r="J633" i="94"/>
  <c r="D647" i="94"/>
  <c r="D190" i="94"/>
  <c r="F991" i="94"/>
  <c r="J840" i="94"/>
  <c r="K56" i="94"/>
  <c r="I170" i="94"/>
  <c r="K685" i="94"/>
  <c r="E871" i="94"/>
  <c r="E89" i="32"/>
  <c r="E899" i="94" s="1"/>
  <c r="J885" i="94"/>
  <c r="H188" i="94"/>
  <c r="E474" i="94"/>
  <c r="I547" i="94"/>
  <c r="L575" i="94"/>
  <c r="I150" i="94"/>
  <c r="L178" i="94"/>
  <c r="I524" i="94"/>
  <c r="K821" i="94"/>
  <c r="D211" i="94"/>
  <c r="G27" i="94"/>
  <c r="F684" i="94"/>
  <c r="H712" i="94"/>
  <c r="H812" i="94"/>
  <c r="H111" i="94"/>
  <c r="E350" i="94"/>
  <c r="J392" i="94"/>
  <c r="J42" i="22"/>
  <c r="J420" i="94" s="1"/>
  <c r="D29" i="21"/>
  <c r="K527" i="94"/>
  <c r="E810" i="94"/>
  <c r="H28" i="94"/>
  <c r="D114" i="94"/>
  <c r="E170" i="94"/>
  <c r="F297" i="94"/>
  <c r="G470" i="94"/>
  <c r="F118" i="94"/>
  <c r="F18" i="37"/>
  <c r="F104" i="94" s="1"/>
  <c r="J174" i="94"/>
  <c r="I59" i="94"/>
  <c r="G15" i="42"/>
  <c r="E215" i="94"/>
  <c r="E29" i="42"/>
  <c r="E257" i="94" s="1"/>
  <c r="G457" i="94"/>
  <c r="E473" i="94"/>
  <c r="D489" i="94"/>
  <c r="J547" i="94"/>
  <c r="J744" i="94"/>
  <c r="J122" i="94"/>
  <c r="I291" i="94"/>
  <c r="D319" i="94"/>
  <c r="J13" i="94"/>
  <c r="J15" i="17"/>
  <c r="J83" i="94" s="1"/>
  <c r="I712" i="94"/>
  <c r="D753" i="94"/>
  <c r="D57" i="26"/>
  <c r="F797" i="94"/>
  <c r="D941" i="94"/>
  <c r="I647" i="94"/>
  <c r="K173" i="94"/>
  <c r="L398" i="94"/>
  <c r="F473" i="94"/>
  <c r="D26" i="41"/>
  <c r="E76" i="41" s="1"/>
  <c r="D37" i="41"/>
  <c r="L807" i="94"/>
  <c r="G879" i="94"/>
  <c r="E308" i="94"/>
  <c r="E752" i="94"/>
  <c r="K381" i="94"/>
  <c r="D502" i="94"/>
  <c r="F615" i="94"/>
  <c r="D42" i="31"/>
  <c r="F329" i="94"/>
  <c r="D343" i="94"/>
  <c r="H357" i="94"/>
  <c r="E520" i="94"/>
  <c r="D576" i="94"/>
  <c r="J370" i="94"/>
  <c r="D946" i="94"/>
  <c r="L78" i="94"/>
  <c r="E535" i="94"/>
  <c r="L870" i="94"/>
  <c r="E940" i="94"/>
  <c r="F683" i="94"/>
  <c r="D47" i="26"/>
  <c r="L683" i="94"/>
  <c r="G697" i="94"/>
  <c r="G957" i="94"/>
  <c r="E18" i="94"/>
  <c r="I146" i="94"/>
  <c r="G160" i="94"/>
  <c r="K174" i="94"/>
  <c r="L301" i="94"/>
  <c r="J315" i="94"/>
  <c r="L343" i="94"/>
  <c r="L31" i="37"/>
  <c r="L273" i="94" s="1"/>
  <c r="G173" i="94"/>
  <c r="H229" i="94"/>
  <c r="F651" i="94"/>
  <c r="F62" i="94"/>
  <c r="J740" i="94"/>
  <c r="F336" i="94"/>
  <c r="I640" i="94"/>
  <c r="H26" i="94"/>
  <c r="D454" i="94"/>
  <c r="D769" i="94"/>
  <c r="H827" i="94"/>
  <c r="H59" i="94"/>
  <c r="I342" i="94"/>
  <c r="I18" i="42"/>
  <c r="I103" i="94" s="1"/>
  <c r="F870" i="94"/>
  <c r="D64" i="16"/>
  <c r="H280" i="94"/>
  <c r="H513" i="94"/>
  <c r="D569" i="94"/>
  <c r="E640" i="94"/>
  <c r="O67" i="22"/>
  <c r="G868" i="94"/>
  <c r="G89" i="22"/>
  <c r="G896" i="94" s="1"/>
  <c r="K797" i="94"/>
  <c r="D367" i="94"/>
  <c r="D827" i="94"/>
  <c r="L132" i="94"/>
  <c r="K506" i="94"/>
  <c r="I520" i="94"/>
  <c r="D548" i="94"/>
  <c r="E201" i="94"/>
  <c r="K575" i="94"/>
  <c r="D632" i="94"/>
  <c r="F888" i="94"/>
  <c r="D65" i="41"/>
  <c r="D178" i="94"/>
  <c r="D347" i="94"/>
  <c r="D735" i="94"/>
  <c r="D993" i="94"/>
  <c r="D372" i="94"/>
  <c r="D73" i="2"/>
  <c r="M26" i="65"/>
  <c r="M27" i="65" s="1"/>
  <c r="B729" i="94"/>
  <c r="B16" i="94"/>
  <c r="B602" i="94"/>
  <c r="P13" i="14"/>
  <c r="B327" i="94"/>
  <c r="B242" i="94"/>
  <c r="B260" i="94"/>
  <c r="B190" i="94"/>
  <c r="B905" i="94"/>
  <c r="B246" i="94"/>
  <c r="B963" i="94"/>
  <c r="B775" i="94"/>
  <c r="B564" i="94"/>
  <c r="B621" i="94"/>
  <c r="B120" i="94"/>
  <c r="P13" i="84"/>
  <c r="B891" i="94"/>
  <c r="B162" i="94"/>
  <c r="B691" i="94"/>
  <c r="B949" i="94"/>
  <c r="B847" i="94"/>
  <c r="B536" i="94"/>
  <c r="B331" i="94"/>
  <c r="B401" i="94"/>
  <c r="B62" i="94"/>
  <c r="B833" i="94"/>
  <c r="B649" i="94"/>
  <c r="B76" i="94"/>
  <c r="B444" i="94"/>
  <c r="B705" i="94"/>
  <c r="B747" i="94"/>
  <c r="B90" i="94"/>
  <c r="B176" i="94"/>
  <c r="B522" i="94"/>
  <c r="L122" i="84"/>
  <c r="B877" i="94"/>
  <c r="B20" i="94"/>
  <c r="B719" i="94"/>
  <c r="B1039" i="94"/>
  <c r="B789" i="94"/>
  <c r="B578" i="94"/>
  <c r="B663" i="94"/>
  <c r="B920" i="94"/>
  <c r="B492" i="94"/>
  <c r="B204" i="94"/>
  <c r="B991" i="94"/>
  <c r="B317" i="94"/>
  <c r="A16" i="57"/>
  <c r="B218" i="94"/>
  <c r="B387" i="94"/>
  <c r="B635" i="94"/>
  <c r="B550" i="94"/>
  <c r="B733" i="94"/>
  <c r="B606" i="94"/>
  <c r="B460" i="94"/>
  <c r="B359" i="94"/>
  <c r="B1025" i="94"/>
  <c r="B592" i="94"/>
  <c r="B373" i="94"/>
  <c r="B148" i="94"/>
  <c r="B761" i="94"/>
  <c r="B134" i="94"/>
  <c r="B476" i="94"/>
  <c r="B345" i="94"/>
  <c r="B48" i="94"/>
  <c r="B805" i="94"/>
  <c r="B677" i="94"/>
  <c r="B232" i="94"/>
  <c r="B289" i="94"/>
  <c r="B861" i="94"/>
  <c r="B819" i="94"/>
  <c r="B977" i="94"/>
  <c r="B275" i="94"/>
  <c r="B508" i="94"/>
  <c r="B34" i="94"/>
  <c r="B303" i="94"/>
  <c r="B415" i="94"/>
  <c r="J345" i="94"/>
  <c r="F401" i="94"/>
  <c r="K476" i="94"/>
  <c r="I492" i="94"/>
  <c r="K621" i="94"/>
  <c r="J635" i="94"/>
  <c r="D50" i="83"/>
  <c r="F733" i="94"/>
  <c r="I185" i="94"/>
  <c r="J312" i="94"/>
  <c r="G503" i="94"/>
  <c r="B518" i="94"/>
  <c r="B200" i="94"/>
  <c r="B829" i="94"/>
  <c r="B411" i="94"/>
  <c r="B659" i="94"/>
  <c r="B130" i="94"/>
  <c r="B44" i="94"/>
  <c r="B285" i="94"/>
  <c r="B916" i="94"/>
  <c r="B973" i="94"/>
  <c r="B801" i="94"/>
  <c r="B86" i="94"/>
  <c r="B873" i="94"/>
  <c r="B546" i="94"/>
  <c r="B687" i="94"/>
  <c r="B456" i="94"/>
  <c r="B959" i="94"/>
  <c r="B771" i="94"/>
  <c r="L122" i="14"/>
  <c r="B588" i="94"/>
  <c r="B843" i="94"/>
  <c r="B256" i="94"/>
  <c r="B472" i="94"/>
  <c r="B102" i="94"/>
  <c r="B425" i="94"/>
  <c r="B757" i="94"/>
  <c r="B172" i="94"/>
  <c r="B857" i="94"/>
  <c r="B440" i="94"/>
  <c r="B214" i="94"/>
  <c r="B673" i="94"/>
  <c r="B743" i="94"/>
  <c r="B144" i="94"/>
  <c r="B645" i="94"/>
  <c r="B383" i="94"/>
  <c r="B158" i="94"/>
  <c r="B701" i="94"/>
  <c r="B532" i="94"/>
  <c r="B116" i="94"/>
  <c r="B631" i="94"/>
  <c r="B931" i="94"/>
  <c r="B1021" i="94"/>
  <c r="B560" i="94"/>
  <c r="B1035" i="94"/>
  <c r="B30" i="94"/>
  <c r="B785" i="94"/>
  <c r="B186" i="94"/>
  <c r="B1001" i="94"/>
  <c r="B887" i="94"/>
  <c r="B504" i="94"/>
  <c r="B271" i="94"/>
  <c r="B574" i="94"/>
  <c r="I2" i="84"/>
  <c r="H545" i="94"/>
  <c r="E573" i="94"/>
  <c r="F714" i="94"/>
  <c r="D49" i="91"/>
  <c r="D46" i="83"/>
  <c r="F677" i="94"/>
  <c r="I719" i="94"/>
  <c r="L833" i="94"/>
  <c r="G289" i="94"/>
  <c r="L460" i="94"/>
  <c r="K522" i="94"/>
  <c r="D578" i="94"/>
  <c r="D775" i="94"/>
  <c r="D84" i="84"/>
  <c r="D833" i="94"/>
  <c r="E115" i="94"/>
  <c r="E18" i="92"/>
  <c r="E101" i="94" s="1"/>
  <c r="K213" i="94"/>
  <c r="G298" i="94"/>
  <c r="K559" i="94"/>
  <c r="D13" i="83"/>
  <c r="F15" i="84"/>
  <c r="F90" i="94" s="1"/>
  <c r="D176" i="94"/>
  <c r="D705" i="94"/>
  <c r="F877" i="94"/>
  <c r="D64" i="83"/>
  <c r="F89" i="84"/>
  <c r="F905" i="94" s="1"/>
  <c r="G930" i="94"/>
  <c r="E972" i="94"/>
  <c r="J20" i="94"/>
  <c r="G120" i="94"/>
  <c r="J805" i="94"/>
  <c r="F935" i="94"/>
  <c r="G57" i="94"/>
  <c r="H143" i="94"/>
  <c r="D199" i="94"/>
  <c r="D32" i="91"/>
  <c r="L531" i="94"/>
  <c r="H176" i="94"/>
  <c r="K387" i="94"/>
  <c r="I616" i="94"/>
  <c r="L686" i="94"/>
  <c r="I842" i="94"/>
  <c r="B1000" i="94"/>
  <c r="B770" i="94"/>
  <c r="B545" i="94"/>
  <c r="B312" i="94"/>
  <c r="B559" i="94"/>
  <c r="B171" i="94"/>
  <c r="B756" i="94"/>
  <c r="B255" i="94"/>
  <c r="B15" i="94"/>
  <c r="I2" i="92"/>
  <c r="B972" i="94"/>
  <c r="B742" i="94"/>
  <c r="B517" i="94"/>
  <c r="B958" i="94"/>
  <c r="B326" i="94"/>
  <c r="B143" i="94"/>
  <c r="B872" i="94"/>
  <c r="B213" i="94"/>
  <c r="B986" i="94"/>
  <c r="P13" i="92"/>
  <c r="B800" i="94"/>
  <c r="B455" i="94"/>
  <c r="B284" i="94"/>
  <c r="B199" i="94"/>
  <c r="B43" i="94"/>
  <c r="B185" i="94"/>
  <c r="B157" i="94"/>
  <c r="B714" i="94"/>
  <c r="B424" i="94"/>
  <c r="B1020" i="94"/>
  <c r="B115" i="94"/>
  <c r="B900" i="94"/>
  <c r="B129" i="94"/>
  <c r="B915" i="94"/>
  <c r="B630" i="94"/>
  <c r="B340" i="94"/>
  <c r="A11" i="57"/>
  <c r="B29" i="94"/>
  <c r="B644" i="94"/>
  <c r="B101" i="94"/>
  <c r="B658" i="94"/>
  <c r="B354" i="94"/>
  <c r="B842" i="94"/>
  <c r="B71" i="94"/>
  <c r="B601" i="94"/>
  <c r="B784" i="94"/>
  <c r="B616" i="94"/>
  <c r="B700" i="94"/>
  <c r="B886" i="94"/>
  <c r="B396" i="94"/>
  <c r="B587" i="94"/>
  <c r="B382" i="94"/>
  <c r="B672" i="94"/>
  <c r="D508" i="94"/>
  <c r="D35" i="83"/>
  <c r="J891" i="94"/>
  <c r="J89" i="84"/>
  <c r="J905" i="94" s="1"/>
  <c r="D10" i="83"/>
  <c r="J162" i="94"/>
  <c r="D246" i="94"/>
  <c r="E303" i="94"/>
  <c r="D373" i="94"/>
  <c r="K891" i="94"/>
  <c r="K89" i="84"/>
  <c r="J700" i="94"/>
  <c r="G129" i="94"/>
  <c r="F312" i="94"/>
  <c r="I359" i="94"/>
  <c r="L284" i="94"/>
  <c r="H340" i="94"/>
  <c r="E15" i="87"/>
  <c r="Z4" i="65"/>
  <c r="J18" i="92"/>
  <c r="J101" i="94" s="1"/>
  <c r="J171" i="94"/>
  <c r="K89" i="92"/>
  <c r="K900" i="94" s="1"/>
  <c r="D14" i="91"/>
  <c r="G157" i="94"/>
  <c r="D33" i="91"/>
  <c r="E770" i="94"/>
  <c r="D59" i="91"/>
  <c r="D61" i="91" s="1"/>
  <c r="E382" i="94"/>
  <c r="J410" i="94"/>
  <c r="L672" i="94"/>
  <c r="T21" i="73"/>
  <c r="R22" i="74"/>
  <c r="K42" i="92"/>
  <c r="K424" i="94" s="1"/>
  <c r="D15" i="32"/>
  <c r="U74" i="106"/>
  <c r="D89" i="47"/>
  <c r="D907" i="94" s="1"/>
  <c r="F84" i="92"/>
  <c r="F856" i="94" s="1"/>
  <c r="D43" i="91"/>
  <c r="K368" i="94"/>
  <c r="D29" i="91"/>
  <c r="D13" i="91"/>
  <c r="L89" i="92"/>
  <c r="L900" i="94" s="1"/>
  <c r="F819" i="94"/>
  <c r="J804" i="94"/>
  <c r="D42" i="51"/>
  <c r="F28" i="94"/>
  <c r="G89" i="32"/>
  <c r="G899" i="94" s="1"/>
  <c r="E311" i="94"/>
  <c r="K31" i="32"/>
  <c r="K269" i="94" s="1"/>
  <c r="J14" i="78"/>
  <c r="V15" i="73"/>
  <c r="D26" i="31"/>
  <c r="E76" i="31" s="1"/>
  <c r="O71" i="32"/>
  <c r="D37" i="31"/>
  <c r="L120" i="32"/>
  <c r="D23" i="31"/>
  <c r="D56" i="94"/>
  <c r="D699" i="94"/>
  <c r="AA15" i="97"/>
  <c r="L502" i="94"/>
  <c r="H89" i="32"/>
  <c r="H899" i="94" s="1"/>
  <c r="U70" i="32"/>
  <c r="J367" i="94"/>
  <c r="D31" i="32"/>
  <c r="D269" i="94"/>
  <c r="I367" i="94"/>
  <c r="D59" i="31"/>
  <c r="J89" i="32"/>
  <c r="J899" i="94" s="1"/>
  <c r="AA14" i="97"/>
  <c r="D60" i="26"/>
  <c r="AF14" i="100"/>
  <c r="L89" i="27"/>
  <c r="L897" i="94" s="1"/>
  <c r="V14" i="73"/>
  <c r="F210" i="94"/>
  <c r="J13" i="78"/>
  <c r="G62" i="22"/>
  <c r="G583" i="94" s="1"/>
  <c r="G378" i="94"/>
  <c r="G18" i="22"/>
  <c r="G97" i="94" s="1"/>
  <c r="U75" i="22"/>
  <c r="E15" i="22"/>
  <c r="E81" i="94" s="1"/>
  <c r="AF11" i="100"/>
  <c r="F214" i="94"/>
  <c r="L383" i="94"/>
  <c r="I186" i="94"/>
  <c r="J10" i="78"/>
  <c r="B21" i="6"/>
  <c r="V11" i="73"/>
  <c r="D47" i="2"/>
  <c r="D42" i="2"/>
  <c r="B269" i="94"/>
  <c r="B586" i="94"/>
  <c r="B454" i="94"/>
  <c r="B899" i="94"/>
  <c r="B367" i="94"/>
  <c r="B198" i="94"/>
  <c r="B741" i="94"/>
  <c r="B600" i="94"/>
  <c r="B671" i="94"/>
  <c r="B914" i="94"/>
  <c r="B643" i="94"/>
  <c r="B516" i="94"/>
  <c r="D408" i="94"/>
  <c r="L664" i="94"/>
  <c r="J878" i="94"/>
  <c r="J89" i="106"/>
  <c r="J906" i="94" s="1"/>
  <c r="I290" i="94"/>
  <c r="B957" i="94"/>
  <c r="B423" i="94"/>
  <c r="B170" i="94"/>
  <c r="B14" i="94"/>
  <c r="B783" i="94"/>
  <c r="B474" i="94"/>
  <c r="B169" i="94"/>
  <c r="J31" i="27"/>
  <c r="J267" i="94" s="1"/>
  <c r="B114" i="94"/>
  <c r="B827" i="94"/>
  <c r="L122" i="32"/>
  <c r="B971" i="94"/>
  <c r="B28" i="94"/>
  <c r="B929" i="94"/>
  <c r="P13" i="37"/>
  <c r="B826" i="94"/>
  <c r="B755" i="94"/>
  <c r="B871" i="94"/>
  <c r="B544" i="94"/>
  <c r="B841" i="94"/>
  <c r="B311" i="94"/>
  <c r="B942" i="94"/>
  <c r="B769" i="94"/>
  <c r="B657" i="94"/>
  <c r="B283" i="94"/>
  <c r="B813" i="94"/>
  <c r="B530" i="94"/>
  <c r="B156" i="94"/>
  <c r="B885" i="94"/>
  <c r="B754" i="94"/>
  <c r="B699" i="94"/>
  <c r="B240" i="94"/>
  <c r="B685" i="94"/>
  <c r="B100" i="94"/>
  <c r="F747" i="94"/>
  <c r="D73" i="83"/>
  <c r="B163" i="94"/>
  <c r="B276" i="94"/>
  <c r="B388" i="94"/>
  <c r="B509" i="94"/>
  <c r="B622" i="94"/>
  <c r="B734" i="94"/>
  <c r="B848" i="94"/>
  <c r="B964" i="94"/>
  <c r="B313" i="94"/>
  <c r="AB4" i="65"/>
  <c r="B63" i="94"/>
  <c r="B177" i="94"/>
  <c r="B290" i="94"/>
  <c r="B402" i="94"/>
  <c r="B523" i="94"/>
  <c r="B636" i="94"/>
  <c r="B748" i="94"/>
  <c r="B862" i="94"/>
  <c r="B978" i="94"/>
  <c r="B77" i="94"/>
  <c r="B191" i="94"/>
  <c r="B304" i="94"/>
  <c r="B416" i="94"/>
  <c r="B537" i="94"/>
  <c r="B650" i="94"/>
  <c r="B762" i="94"/>
  <c r="B878" i="94"/>
  <c r="B992" i="94"/>
  <c r="B72" i="94"/>
  <c r="B944" i="94"/>
  <c r="P13" i="106"/>
  <c r="B17" i="107"/>
  <c r="B21" i="94"/>
  <c r="B91" i="94"/>
  <c r="B205" i="94"/>
  <c r="B318" i="94"/>
  <c r="B430" i="94"/>
  <c r="B551" i="94"/>
  <c r="B664" i="94"/>
  <c r="B776" i="94"/>
  <c r="B892" i="94"/>
  <c r="B1006" i="94"/>
  <c r="B901" i="94"/>
  <c r="I2" i="106"/>
  <c r="B35" i="94"/>
  <c r="B107" i="94"/>
  <c r="B219" i="94"/>
  <c r="B332" i="94"/>
  <c r="B445" i="94"/>
  <c r="B565" i="94"/>
  <c r="B678" i="94"/>
  <c r="B790" i="94"/>
  <c r="B906" i="94"/>
  <c r="B1026" i="94"/>
  <c r="B617" i="94"/>
  <c r="J84" i="92"/>
  <c r="J856" i="94" s="1"/>
  <c r="B121" i="94"/>
  <c r="B233" i="94"/>
  <c r="B346" i="94"/>
  <c r="B461" i="94"/>
  <c r="B579" i="94"/>
  <c r="B692" i="94"/>
  <c r="B806" i="94"/>
  <c r="B921" i="94"/>
  <c r="B1040" i="94"/>
  <c r="L122" i="106"/>
  <c r="B49" i="94"/>
  <c r="B135" i="94"/>
  <c r="B247" i="94"/>
  <c r="B360" i="94"/>
  <c r="B477" i="94"/>
  <c r="B593" i="94"/>
  <c r="B706" i="94"/>
  <c r="B820" i="94"/>
  <c r="B150" i="94"/>
  <c r="B178" i="94"/>
  <c r="B552" i="94"/>
  <c r="B879" i="94"/>
  <c r="B608" i="94"/>
  <c r="B22" i="94"/>
  <c r="B122" i="94"/>
  <c r="B375" i="94"/>
  <c r="B993" i="94"/>
  <c r="B791" i="94"/>
  <c r="D538" i="94"/>
  <c r="B1027" i="94"/>
  <c r="E693" i="94"/>
  <c r="B721" i="94"/>
  <c r="B361" i="94"/>
  <c r="B807" i="94"/>
  <c r="B248" i="94"/>
  <c r="L122" i="47"/>
  <c r="B92" i="94"/>
  <c r="B863" i="94"/>
  <c r="P13" i="47"/>
  <c r="B922" i="94"/>
  <c r="B291" i="94"/>
  <c r="B78" i="94"/>
  <c r="B136" i="94"/>
  <c r="B333" i="94"/>
  <c r="B763" i="94"/>
  <c r="B192" i="94"/>
  <c r="B538" i="94"/>
  <c r="D14" i="46"/>
  <c r="B735" i="94"/>
  <c r="B637" i="94"/>
  <c r="B749" i="94"/>
  <c r="B64" i="94"/>
  <c r="B707" i="94"/>
  <c r="B524" i="94"/>
  <c r="B462" i="94"/>
  <c r="B50" i="94"/>
  <c r="B1007" i="94"/>
  <c r="B566" i="94"/>
  <c r="U18" i="73"/>
  <c r="J178" i="94"/>
  <c r="B965" i="94"/>
  <c r="B594" i="94"/>
  <c r="B389" i="94"/>
  <c r="B234" i="94"/>
  <c r="B403" i="94"/>
  <c r="B446" i="94"/>
  <c r="R18" i="74"/>
  <c r="I17" i="78"/>
  <c r="D32" i="46"/>
  <c r="B777" i="94"/>
  <c r="B431" i="94"/>
  <c r="B347" i="94"/>
  <c r="B623" i="94"/>
  <c r="B164" i="94"/>
  <c r="B580" i="94"/>
  <c r="B821" i="94"/>
  <c r="B417" i="94"/>
  <c r="B979" i="94"/>
  <c r="B937" i="94"/>
  <c r="B108" i="94"/>
  <c r="B277" i="94"/>
  <c r="B494" i="94"/>
  <c r="B679" i="94"/>
  <c r="I8" i="26"/>
  <c r="O11" i="101" s="1"/>
  <c r="G380" i="94"/>
  <c r="D36" i="16"/>
  <c r="F557" i="94"/>
  <c r="H89" i="37"/>
  <c r="H903" i="94" s="1"/>
  <c r="B17" i="28"/>
  <c r="L120" i="27"/>
  <c r="O73" i="84"/>
  <c r="S73" i="84" s="1"/>
  <c r="D733" i="94"/>
  <c r="F564" i="94"/>
  <c r="J135" i="94"/>
  <c r="D57" i="83"/>
  <c r="L120" i="87"/>
  <c r="L118" i="47"/>
  <c r="J295" i="94"/>
  <c r="F31" i="84"/>
  <c r="F275" i="94" s="1"/>
  <c r="F303" i="94"/>
  <c r="H331" i="94"/>
  <c r="L116" i="47"/>
  <c r="H84" i="47"/>
  <c r="H863" i="94" s="1"/>
  <c r="K42" i="37"/>
  <c r="K427" i="94" s="1"/>
  <c r="G15" i="106"/>
  <c r="G91" i="94" s="1"/>
  <c r="U69" i="106"/>
  <c r="F89" i="106"/>
  <c r="F906" i="94" s="1"/>
  <c r="L117" i="92"/>
  <c r="M25" i="106"/>
  <c r="F15" i="106"/>
  <c r="F91" i="94" s="1"/>
  <c r="AD23" i="100"/>
  <c r="Y23" i="97"/>
  <c r="D18" i="106"/>
  <c r="E89" i="84"/>
  <c r="E905" i="94" s="1"/>
  <c r="H31" i="106"/>
  <c r="H276" i="94" s="1"/>
  <c r="O73" i="106"/>
  <c r="S73" i="106" s="1"/>
  <c r="AF23" i="100"/>
  <c r="AA23" i="97"/>
  <c r="E148" i="94"/>
  <c r="M87" i="84"/>
  <c r="B64" i="83" s="1"/>
  <c r="F15" i="42"/>
  <c r="F87" i="94" s="1"/>
  <c r="D89" i="106"/>
  <c r="D906" i="94" s="1"/>
  <c r="K77" i="92"/>
  <c r="K784" i="94" s="1"/>
  <c r="F29" i="84"/>
  <c r="D26" i="105"/>
  <c r="E76" i="105" s="1"/>
  <c r="U73" i="106"/>
  <c r="O67" i="106"/>
  <c r="S67" i="106" s="1"/>
  <c r="G89" i="106"/>
  <c r="G906" i="94" s="1"/>
  <c r="I8" i="91"/>
  <c r="O20" i="101" s="1"/>
  <c r="T18" i="73"/>
  <c r="G2" i="46"/>
  <c r="K510" i="94"/>
  <c r="D494" i="94"/>
  <c r="H248" i="94"/>
  <c r="H29" i="47"/>
  <c r="H262" i="94" s="1"/>
  <c r="D64" i="94"/>
  <c r="E36" i="94"/>
  <c r="S18" i="74"/>
  <c r="AA18" i="97"/>
  <c r="AF18" i="100"/>
  <c r="J17" i="78"/>
  <c r="V18" i="73"/>
  <c r="F566" i="94"/>
  <c r="G389" i="94"/>
  <c r="D36" i="46"/>
  <c r="J150" i="94"/>
  <c r="D136" i="94"/>
  <c r="F821" i="94"/>
  <c r="D58" i="46"/>
  <c r="K347" i="94"/>
  <c r="K42" i="47"/>
  <c r="L120" i="47"/>
  <c r="E937" i="94"/>
  <c r="G623" i="94"/>
  <c r="O65" i="47"/>
  <c r="S65" i="47" s="1"/>
  <c r="E679" i="94"/>
  <c r="H623" i="94"/>
  <c r="D651" i="94"/>
  <c r="H735" i="94"/>
  <c r="H893" i="94"/>
  <c r="M88" i="47"/>
  <c r="R71" i="65" s="1"/>
  <c r="D721" i="94"/>
  <c r="F580" i="94"/>
  <c r="D37" i="46"/>
  <c r="H552" i="94"/>
  <c r="J524" i="94"/>
  <c r="L15" i="47"/>
  <c r="F22" i="94"/>
  <c r="D10" i="46"/>
  <c r="D122" i="94"/>
  <c r="J89" i="47"/>
  <c r="J907" i="94" s="1"/>
  <c r="J893" i="94"/>
  <c r="G510" i="94"/>
  <c r="G62" i="47"/>
  <c r="G594" i="94" s="1"/>
  <c r="K178" i="94"/>
  <c r="I36" i="94"/>
  <c r="I15" i="47"/>
  <c r="D552" i="94"/>
  <c r="H347" i="94"/>
  <c r="H31" i="47"/>
  <c r="H277" i="94" s="1"/>
  <c r="L31" i="47"/>
  <c r="L277" i="94" s="1"/>
  <c r="D220" i="94"/>
  <c r="F192" i="94"/>
  <c r="G347" i="94"/>
  <c r="G965" i="94"/>
  <c r="H17" i="78"/>
  <c r="AD18" i="100"/>
  <c r="Y18" i="97"/>
  <c r="L510" i="94"/>
  <c r="E494" i="94"/>
  <c r="D26" i="46"/>
  <c r="E76" i="46"/>
  <c r="F478" i="94"/>
  <c r="G462" i="94"/>
  <c r="D206" i="94"/>
  <c r="E192" i="94"/>
  <c r="M60" i="47"/>
  <c r="R42" i="65" s="1"/>
  <c r="U71" i="106"/>
  <c r="J42" i="106"/>
  <c r="O71" i="106"/>
  <c r="S71" i="106" s="1"/>
  <c r="H15" i="106"/>
  <c r="H91" i="94" s="1"/>
  <c r="D59" i="105"/>
  <c r="M61" i="106"/>
  <c r="I84" i="106"/>
  <c r="I862" i="94" s="1"/>
  <c r="F29" i="106"/>
  <c r="D62" i="106"/>
  <c r="D593" i="94" s="1"/>
  <c r="D48" i="105"/>
  <c r="D36" i="105"/>
  <c r="D121" i="94"/>
  <c r="E18" i="106"/>
  <c r="E107" i="94" s="1"/>
  <c r="I42" i="106"/>
  <c r="I430" i="94" s="1"/>
  <c r="H22" i="78"/>
  <c r="L31" i="106"/>
  <c r="L276" i="94" s="1"/>
  <c r="M67" i="106"/>
  <c r="K842" i="94"/>
  <c r="D573" i="94"/>
  <c r="F115" i="94"/>
  <c r="I872" i="94"/>
  <c r="I89" i="92"/>
  <c r="I900" i="94" s="1"/>
  <c r="G171" i="94"/>
  <c r="G18" i="92"/>
  <c r="G101" i="94" s="1"/>
  <c r="E340" i="94"/>
  <c r="E42" i="92"/>
  <c r="F15" i="92"/>
  <c r="F85" i="94" s="1"/>
  <c r="F15" i="94"/>
  <c r="D10" i="91"/>
  <c r="D15" i="91" s="1"/>
  <c r="K185" i="94"/>
  <c r="E842" i="94"/>
  <c r="F171" i="94"/>
  <c r="E284" i="94"/>
  <c r="J828" i="94"/>
  <c r="B17" i="93"/>
  <c r="L120" i="92"/>
  <c r="K573" i="94"/>
  <c r="D559" i="94"/>
  <c r="D686" i="94"/>
  <c r="D800" i="94"/>
  <c r="E559" i="94"/>
  <c r="D29" i="94"/>
  <c r="E157" i="94"/>
  <c r="I31" i="92"/>
  <c r="I270" i="94" s="1"/>
  <c r="E658" i="94"/>
  <c r="G770" i="94"/>
  <c r="G944" i="94"/>
  <c r="B21" i="93"/>
  <c r="L121" i="92"/>
  <c r="G115" i="94"/>
  <c r="D48" i="91"/>
  <c r="J89" i="92"/>
  <c r="J900" i="94" s="1"/>
  <c r="J503" i="94"/>
  <c r="L31" i="92"/>
  <c r="L270" i="94" s="1"/>
  <c r="L340" i="94"/>
  <c r="H368" i="94"/>
  <c r="I354" i="94"/>
  <c r="I42" i="92"/>
  <c r="I424" i="94" s="1"/>
  <c r="L29" i="94"/>
  <c r="D35" i="91"/>
  <c r="F545" i="94"/>
  <c r="I503" i="94"/>
  <c r="I143" i="94"/>
  <c r="L157" i="94"/>
  <c r="J616" i="94"/>
  <c r="U67" i="92"/>
  <c r="M67" i="92"/>
  <c r="Y67" i="92" s="1"/>
  <c r="O67" i="92"/>
  <c r="E326" i="94"/>
  <c r="E15" i="94"/>
  <c r="H227" i="94"/>
  <c r="G531" i="94"/>
  <c r="H630" i="94"/>
  <c r="G742" i="94"/>
  <c r="U74" i="92"/>
  <c r="M74" i="92"/>
  <c r="D74" i="91" s="1"/>
  <c r="I213" i="94"/>
  <c r="D340" i="94"/>
  <c r="G382" i="94"/>
  <c r="J71" i="94"/>
  <c r="E15" i="92"/>
  <c r="E85" i="94" s="1"/>
  <c r="E84" i="92"/>
  <c r="E856" i="94" s="1"/>
  <c r="D616" i="94"/>
  <c r="M65" i="92"/>
  <c r="Z48" i="65" s="1"/>
  <c r="U73" i="92"/>
  <c r="I800" i="94"/>
  <c r="G886" i="94"/>
  <c r="G89" i="92"/>
  <c r="G900" i="94" s="1"/>
  <c r="E930" i="94"/>
  <c r="M25" i="92"/>
  <c r="M199" i="94" s="1"/>
  <c r="U76" i="87"/>
  <c r="M37" i="87"/>
  <c r="D861" i="94"/>
  <c r="L677" i="94"/>
  <c r="G18" i="84"/>
  <c r="G106" i="94" s="1"/>
  <c r="U69" i="84"/>
  <c r="J34" i="94"/>
  <c r="S68" i="84"/>
  <c r="D18" i="95"/>
  <c r="U68" i="84"/>
  <c r="G663" i="94"/>
  <c r="E18" i="95"/>
  <c r="H747" i="94"/>
  <c r="K176" i="94"/>
  <c r="K29" i="84"/>
  <c r="K260" i="94" s="1"/>
  <c r="H190" i="94"/>
  <c r="I31" i="84"/>
  <c r="I275" i="94" s="1"/>
  <c r="I42" i="84"/>
  <c r="I345" i="94"/>
  <c r="J415" i="94"/>
  <c r="K401" i="94"/>
  <c r="F42" i="84"/>
  <c r="F429" i="94" s="1"/>
  <c r="F359" i="94"/>
  <c r="G76" i="94"/>
  <c r="D719" i="94"/>
  <c r="K536" i="94"/>
  <c r="E508" i="94"/>
  <c r="L162" i="94"/>
  <c r="D89" i="84"/>
  <c r="D905" i="94" s="1"/>
  <c r="D891" i="94"/>
  <c r="Y20" i="97"/>
  <c r="H19" i="78"/>
  <c r="T20" i="73"/>
  <c r="AD20" i="100"/>
  <c r="G578" i="94"/>
  <c r="F963" i="94"/>
  <c r="K20" i="94"/>
  <c r="J77" i="84"/>
  <c r="J789" i="94" s="1"/>
  <c r="I148" i="94"/>
  <c r="E705" i="94"/>
  <c r="U71" i="84"/>
  <c r="K691" i="94"/>
  <c r="U73" i="84"/>
  <c r="E891" i="94"/>
  <c r="L120" i="84"/>
  <c r="I460" i="94"/>
  <c r="L42" i="84"/>
  <c r="F76" i="94"/>
  <c r="L62" i="84"/>
  <c r="L592" i="94" s="1"/>
  <c r="G62" i="94"/>
  <c r="E218" i="94"/>
  <c r="H345" i="94"/>
  <c r="M14" i="84"/>
  <c r="D37" i="83"/>
  <c r="F204" i="94"/>
  <c r="H31" i="84"/>
  <c r="H275" i="94" s="1"/>
  <c r="D15" i="62"/>
  <c r="D75" i="94"/>
  <c r="G19" i="94"/>
  <c r="K358" i="94"/>
  <c r="H934" i="94"/>
  <c r="E718" i="94"/>
  <c r="I690" i="94"/>
  <c r="F772" i="94"/>
  <c r="D330" i="94"/>
  <c r="F17" i="94"/>
  <c r="D58" i="41"/>
  <c r="E145" i="94"/>
  <c r="D328" i="94"/>
  <c r="E632" i="94"/>
  <c r="L632" i="94"/>
  <c r="D53" i="41"/>
  <c r="J716" i="94"/>
  <c r="M25" i="42"/>
  <c r="J201" i="94"/>
  <c r="K29" i="42"/>
  <c r="K187" i="94"/>
  <c r="L342" i="94"/>
  <c r="D342" i="94"/>
  <c r="D31" i="42"/>
  <c r="G42" i="42"/>
  <c r="G384" i="94"/>
  <c r="H370" i="94"/>
  <c r="I42" i="42"/>
  <c r="I426" i="94" s="1"/>
  <c r="I356" i="94"/>
  <c r="K59" i="94"/>
  <c r="L15" i="42"/>
  <c r="L87" i="94" s="1"/>
  <c r="L31" i="94"/>
  <c r="D31" i="94"/>
  <c r="I89" i="42"/>
  <c r="I902" i="94" s="1"/>
  <c r="G18" i="42"/>
  <c r="G103" i="94" s="1"/>
  <c r="G131" i="94"/>
  <c r="L120" i="42"/>
  <c r="B17" i="43"/>
  <c r="F29" i="42"/>
  <c r="F257" i="94" s="1"/>
  <c r="F243" i="94"/>
  <c r="H29" i="42"/>
  <c r="H257" i="94" s="1"/>
  <c r="H215" i="94"/>
  <c r="H988" i="94"/>
  <c r="D10" i="41"/>
  <c r="F18" i="42"/>
  <c r="F103" i="94" s="1"/>
  <c r="F117" i="94"/>
  <c r="K300" i="94"/>
  <c r="H730" i="94"/>
  <c r="I744" i="94"/>
  <c r="J758" i="94"/>
  <c r="I830" i="94"/>
  <c r="D34" i="41"/>
  <c r="F62" i="42"/>
  <c r="F589" i="94" s="1"/>
  <c r="F533" i="94"/>
  <c r="H505" i="94"/>
  <c r="I489" i="94"/>
  <c r="L29" i="42"/>
  <c r="L257" i="94" s="1"/>
  <c r="L173" i="94"/>
  <c r="M23" i="42"/>
  <c r="J17" i="100" s="1"/>
  <c r="D18" i="42"/>
  <c r="D103" i="94" s="1"/>
  <c r="D173" i="94"/>
  <c r="F618" i="94"/>
  <c r="D42" i="41"/>
  <c r="D960" i="94"/>
  <c r="J575" i="94"/>
  <c r="J62" i="42"/>
  <c r="J589" i="94" s="1"/>
  <c r="K62" i="42"/>
  <c r="K589" i="94" s="1"/>
  <c r="K561" i="94"/>
  <c r="L62" i="42"/>
  <c r="L589" i="94" s="1"/>
  <c r="L547" i="94"/>
  <c r="D547" i="94"/>
  <c r="L84" i="42"/>
  <c r="L858" i="94" s="1"/>
  <c r="L816" i="94"/>
  <c r="D702" i="94"/>
  <c r="D888" i="94"/>
  <c r="F946" i="94"/>
  <c r="D146" i="94"/>
  <c r="L506" i="94"/>
  <c r="F32" i="94"/>
  <c r="D11" i="36"/>
  <c r="M11" i="37"/>
  <c r="D287" i="94"/>
  <c r="F576" i="94"/>
  <c r="J62" i="37"/>
  <c r="J590" i="94" s="1"/>
  <c r="D506" i="94"/>
  <c r="D62" i="37"/>
  <c r="D590" i="94" s="1"/>
  <c r="G18" i="94"/>
  <c r="G15" i="37"/>
  <c r="G88" i="94" s="1"/>
  <c r="D77" i="37"/>
  <c r="E689" i="94"/>
  <c r="G773" i="94"/>
  <c r="M76" i="37"/>
  <c r="H817" i="94"/>
  <c r="I42" i="37"/>
  <c r="D301" i="94"/>
  <c r="G717" i="94"/>
  <c r="E745" i="94"/>
  <c r="U74" i="37"/>
  <c r="E845" i="94"/>
  <c r="I15" i="78"/>
  <c r="U16" i="73"/>
  <c r="Z16" i="97"/>
  <c r="R16" i="74"/>
  <c r="L18" i="37"/>
  <c r="L104" i="94" s="1"/>
  <c r="L174" i="94"/>
  <c r="D174" i="94"/>
  <c r="E244" i="94"/>
  <c r="I60" i="94"/>
  <c r="D889" i="94"/>
  <c r="D89" i="37"/>
  <c r="G62" i="37"/>
  <c r="G590" i="94" s="1"/>
  <c r="G506" i="94"/>
  <c r="F357" i="94"/>
  <c r="E399" i="94"/>
  <c r="E42" i="37"/>
  <c r="E427" i="94" s="1"/>
  <c r="E633" i="94"/>
  <c r="O66" i="37"/>
  <c r="F647" i="94"/>
  <c r="L120" i="37"/>
  <c r="B17" i="38"/>
  <c r="K548" i="94"/>
  <c r="F29" i="37"/>
  <c r="F258" i="94" s="1"/>
  <c r="F202" i="94"/>
  <c r="G188" i="94"/>
  <c r="D42" i="37"/>
  <c r="D427" i="94" s="1"/>
  <c r="E118" i="94"/>
  <c r="E989" i="94"/>
  <c r="I675" i="94"/>
  <c r="K32" i="94"/>
  <c r="J329" i="94"/>
  <c r="F889" i="94"/>
  <c r="D65" i="36"/>
  <c r="E947" i="94"/>
  <c r="I29" i="37"/>
  <c r="I258" i="94" s="1"/>
  <c r="D46" i="36"/>
  <c r="M60" i="37"/>
  <c r="B36" i="36" s="1"/>
  <c r="F283" i="94"/>
  <c r="L283" i="94"/>
  <c r="H353" i="94"/>
  <c r="I70" i="94"/>
  <c r="J56" i="94"/>
  <c r="K28" i="94"/>
  <c r="K15" i="32"/>
  <c r="K84" i="94" s="1"/>
  <c r="E14" i="94"/>
  <c r="E15" i="32"/>
  <c r="E84" i="94" s="1"/>
  <c r="K558" i="94"/>
  <c r="K62" i="32"/>
  <c r="K586" i="94" s="1"/>
  <c r="E544" i="94"/>
  <c r="F530" i="94"/>
  <c r="D34" i="31"/>
  <c r="G516" i="94"/>
  <c r="G62" i="32"/>
  <c r="G586" i="94" s="1"/>
  <c r="H502" i="94"/>
  <c r="L170" i="94"/>
  <c r="L29" i="32"/>
  <c r="L254" i="94" s="1"/>
  <c r="D18" i="32"/>
  <c r="D100" i="94" s="1"/>
  <c r="D170" i="94"/>
  <c r="E240" i="94"/>
  <c r="I184" i="94"/>
  <c r="I29" i="32"/>
  <c r="J339" i="94"/>
  <c r="K409" i="94"/>
  <c r="L395" i="94"/>
  <c r="L42" i="32"/>
  <c r="D42" i="32"/>
  <c r="D395" i="94"/>
  <c r="E381" i="94"/>
  <c r="G128" i="94"/>
  <c r="F142" i="94"/>
  <c r="E841" i="94"/>
  <c r="K841" i="94"/>
  <c r="G971" i="94"/>
  <c r="I685" i="94"/>
  <c r="J799" i="94"/>
  <c r="J84" i="32"/>
  <c r="J855" i="94" s="1"/>
  <c r="I311" i="94"/>
  <c r="K629" i="94"/>
  <c r="L615" i="94"/>
  <c r="H713" i="94"/>
  <c r="D943" i="94"/>
  <c r="G615" i="94"/>
  <c r="G813" i="94"/>
  <c r="G84" i="32"/>
  <c r="G855" i="94" s="1"/>
  <c r="J29" i="27"/>
  <c r="D295" i="94"/>
  <c r="G337" i="94"/>
  <c r="L42" i="27"/>
  <c r="L351" i="94"/>
  <c r="D556" i="94"/>
  <c r="E542" i="94"/>
  <c r="H62" i="27"/>
  <c r="H584" i="94"/>
  <c r="K683" i="94"/>
  <c r="D26" i="26"/>
  <c r="E76" i="26" s="1"/>
  <c r="F468" i="94"/>
  <c r="H29" i="27"/>
  <c r="H252" i="94" s="1"/>
  <c r="K210" i="94"/>
  <c r="L196" i="94"/>
  <c r="D196" i="94"/>
  <c r="D29" i="27"/>
  <c r="D252" i="94" s="1"/>
  <c r="E182" i="94"/>
  <c r="E29" i="27"/>
  <c r="E252" i="94" s="1"/>
  <c r="F337" i="94"/>
  <c r="M40" i="27"/>
  <c r="Z14" i="100" s="1"/>
  <c r="H393" i="94"/>
  <c r="I379" i="94"/>
  <c r="J42" i="27"/>
  <c r="K351" i="94"/>
  <c r="L68" i="94"/>
  <c r="D68" i="94"/>
  <c r="E54" i="94"/>
  <c r="G12" i="94"/>
  <c r="G15" i="27"/>
  <c r="I168" i="94"/>
  <c r="H15" i="27"/>
  <c r="H82" i="94" s="1"/>
  <c r="H12" i="94"/>
  <c r="F528" i="94"/>
  <c r="G62" i="27"/>
  <c r="G584" i="94" s="1"/>
  <c r="D34" i="26"/>
  <c r="F54" i="94"/>
  <c r="F697" i="94"/>
  <c r="D48" i="26"/>
  <c r="G627" i="94"/>
  <c r="I725" i="94"/>
  <c r="D570" i="94"/>
  <c r="D969" i="94"/>
  <c r="K62" i="27"/>
  <c r="K584" i="94" s="1"/>
  <c r="K570" i="94"/>
  <c r="H84" i="27"/>
  <c r="H853" i="94" s="1"/>
  <c r="D613" i="94"/>
  <c r="D811" i="94"/>
  <c r="J811" i="94"/>
  <c r="G927" i="94"/>
  <c r="F669" i="94"/>
  <c r="D46" i="26"/>
  <c r="J883" i="94"/>
  <c r="D323" i="94"/>
  <c r="L556" i="94"/>
  <c r="E89" i="27"/>
  <c r="E883" i="94"/>
  <c r="E983" i="94"/>
  <c r="H500" i="94"/>
  <c r="M27" i="27"/>
  <c r="M23" i="27"/>
  <c r="J62" i="22"/>
  <c r="J583" i="94" s="1"/>
  <c r="K555" i="94"/>
  <c r="H710" i="94"/>
  <c r="M72" i="22"/>
  <c r="H810" i="94"/>
  <c r="H926" i="94"/>
  <c r="G513" i="94"/>
  <c r="M56" i="22"/>
  <c r="H62" i="22"/>
  <c r="H583" i="94" s="1"/>
  <c r="H499" i="94"/>
  <c r="K153" i="94"/>
  <c r="D796" i="94"/>
  <c r="J25" i="94"/>
  <c r="D541" i="94"/>
  <c r="D62" i="22"/>
  <c r="D583" i="94" s="1"/>
  <c r="E527" i="94"/>
  <c r="E62" i="22"/>
  <c r="E583" i="94" s="1"/>
  <c r="E968" i="94"/>
  <c r="K392" i="94"/>
  <c r="K42" i="22"/>
  <c r="L378" i="94"/>
  <c r="D378" i="94"/>
  <c r="E364" i="94"/>
  <c r="F350" i="94"/>
  <c r="H53" i="94"/>
  <c r="H15" i="22"/>
  <c r="H81" i="94" s="1"/>
  <c r="J15" i="22"/>
  <c r="D294" i="94"/>
  <c r="D31" i="22"/>
  <c r="D266" i="94" s="1"/>
  <c r="D45" i="21"/>
  <c r="F654" i="94"/>
  <c r="I696" i="94"/>
  <c r="F882" i="94"/>
  <c r="F89" i="22"/>
  <c r="F896" i="94" s="1"/>
  <c r="K280" i="94"/>
  <c r="G181" i="94"/>
  <c r="H42" i="22"/>
  <c r="I406" i="94"/>
  <c r="H640" i="94"/>
  <c r="R13" i="74"/>
  <c r="I12" i="78"/>
  <c r="U13" i="73"/>
  <c r="AE13" i="100"/>
  <c r="Z13" i="97"/>
  <c r="F483" i="94"/>
  <c r="I167" i="94"/>
  <c r="J29" i="22"/>
  <c r="J251" i="94" s="1"/>
  <c r="J237" i="94"/>
  <c r="K223" i="94"/>
  <c r="L209" i="94"/>
  <c r="L29" i="22"/>
  <c r="L251" i="94" s="1"/>
  <c r="D209" i="94"/>
  <c r="H626" i="94"/>
  <c r="L738" i="94"/>
  <c r="H322" i="94"/>
  <c r="K668" i="94"/>
  <c r="K940" i="94"/>
  <c r="D58" i="21"/>
  <c r="F740" i="94"/>
  <c r="F754" i="94"/>
  <c r="D52" i="16"/>
  <c r="J62" i="17"/>
  <c r="J585" i="94" s="1"/>
  <c r="J557" i="94"/>
  <c r="G501" i="94"/>
  <c r="G62" i="17"/>
  <c r="G585" i="94" s="1"/>
  <c r="G726" i="94"/>
  <c r="U73" i="17"/>
  <c r="K15" i="17"/>
  <c r="K83" i="94" s="1"/>
  <c r="K69" i="94"/>
  <c r="L55" i="94"/>
  <c r="J113" i="94"/>
  <c r="E670" i="94"/>
  <c r="D970" i="94"/>
  <c r="D453" i="94"/>
  <c r="E29" i="17"/>
  <c r="E253" i="94" s="1"/>
  <c r="E169" i="94"/>
  <c r="E18" i="17"/>
  <c r="E99" i="94" s="1"/>
  <c r="E408" i="94"/>
  <c r="F394" i="94"/>
  <c r="H366" i="94"/>
  <c r="H42" i="17"/>
  <c r="D798" i="94"/>
  <c r="I485" i="94"/>
  <c r="G282" i="94"/>
  <c r="H768" i="94"/>
  <c r="L928" i="94"/>
  <c r="I942" i="94"/>
  <c r="L89" i="17"/>
  <c r="L898" i="94" s="1"/>
  <c r="L884" i="94"/>
  <c r="I84" i="17"/>
  <c r="I854" i="94" s="1"/>
  <c r="I826" i="94"/>
  <c r="E62" i="17"/>
  <c r="I614" i="94"/>
  <c r="D48" i="16"/>
  <c r="M58" i="17"/>
  <c r="D518" i="94"/>
  <c r="K843" i="94"/>
  <c r="K112" i="94"/>
  <c r="H560" i="94"/>
  <c r="J532" i="94"/>
  <c r="J62" i="14"/>
  <c r="J588" i="94" s="1"/>
  <c r="D631" i="94"/>
  <c r="G743" i="94"/>
  <c r="U74" i="14"/>
  <c r="H873" i="94"/>
  <c r="H89" i="14"/>
  <c r="H901" i="94" s="1"/>
  <c r="H16" i="94"/>
  <c r="H15" i="14"/>
  <c r="H86" i="94" s="1"/>
  <c r="K518" i="94"/>
  <c r="D504" i="94"/>
  <c r="K116" i="94"/>
  <c r="L158" i="94"/>
  <c r="E504" i="94"/>
  <c r="H829" i="94"/>
  <c r="F84" i="14"/>
  <c r="F857" i="94" s="1"/>
  <c r="D973" i="94"/>
  <c r="F341" i="94"/>
  <c r="K355" i="94"/>
  <c r="D11" i="2"/>
  <c r="G560" i="94"/>
  <c r="I144" i="94"/>
  <c r="I18" i="14"/>
  <c r="I102" i="94" s="1"/>
  <c r="H327" i="94"/>
  <c r="E729" i="94"/>
  <c r="J214" i="94"/>
  <c r="E341" i="94"/>
  <c r="G397" i="94"/>
  <c r="H383" i="94"/>
  <c r="J355" i="94"/>
  <c r="L120" i="14"/>
  <c r="B17" i="6"/>
  <c r="I801" i="94"/>
  <c r="G299" i="94"/>
  <c r="H659" i="94"/>
  <c r="H130" i="94"/>
  <c r="H299" i="94"/>
  <c r="D313" i="94"/>
  <c r="E645" i="94"/>
  <c r="O67" i="14"/>
  <c r="J887" i="94"/>
  <c r="J89" i="14"/>
  <c r="J901" i="94" s="1"/>
  <c r="L122" i="94"/>
  <c r="L18" i="47"/>
  <c r="L108" i="94" s="1"/>
  <c r="D116" i="94"/>
  <c r="L617" i="94"/>
  <c r="D701" i="94"/>
  <c r="F745" i="94"/>
  <c r="D73" i="36"/>
  <c r="F729" i="94"/>
  <c r="D50" i="2"/>
  <c r="D475" i="94"/>
  <c r="F847" i="94"/>
  <c r="D60" i="83"/>
  <c r="R20" i="74"/>
  <c r="I19" i="78"/>
  <c r="U20" i="73"/>
  <c r="M25" i="84"/>
  <c r="M204" i="94" s="1"/>
  <c r="J29" i="17"/>
  <c r="J253" i="94" s="1"/>
  <c r="Q22" i="74"/>
  <c r="M56" i="42"/>
  <c r="M505" i="94" s="1"/>
  <c r="M28" i="37"/>
  <c r="O16" i="100" s="1"/>
  <c r="M56" i="32"/>
  <c r="M502" i="94" s="1"/>
  <c r="M56" i="47"/>
  <c r="B32" i="46" s="1"/>
  <c r="D87" i="63" s="1"/>
  <c r="M23" i="17"/>
  <c r="G19" i="97" s="1"/>
  <c r="M60" i="22"/>
  <c r="H42" i="65" s="1"/>
  <c r="M39" i="42"/>
  <c r="Y17" i="100" s="1"/>
  <c r="K388" i="94"/>
  <c r="K992" i="94"/>
  <c r="K834" i="94"/>
  <c r="K84" i="106"/>
  <c r="K862" i="94" s="1"/>
  <c r="E950" i="94"/>
  <c r="E664" i="94"/>
  <c r="E523" i="94"/>
  <c r="E62" i="106"/>
  <c r="E191" i="94"/>
  <c r="E29" i="106"/>
  <c r="E261" i="94" s="1"/>
  <c r="E35" i="94"/>
  <c r="M60" i="42"/>
  <c r="M53" i="32"/>
  <c r="M486" i="94" s="1"/>
  <c r="M39" i="32"/>
  <c r="M26" i="27"/>
  <c r="M14" i="100" s="1"/>
  <c r="M13" i="32"/>
  <c r="L13" i="65" s="1"/>
  <c r="M56" i="27"/>
  <c r="J18" i="106"/>
  <c r="J107" i="94" s="1"/>
  <c r="D964" i="94"/>
  <c r="M95" i="106"/>
  <c r="D806" i="94"/>
  <c r="D678" i="94"/>
  <c r="M69" i="106"/>
  <c r="D205" i="94"/>
  <c r="D29" i="106"/>
  <c r="D261" i="94" s="1"/>
  <c r="G892" i="94"/>
  <c r="G493" i="94"/>
  <c r="F332" i="94"/>
  <c r="M35" i="106"/>
  <c r="M332" i="94" s="1"/>
  <c r="U75" i="106"/>
  <c r="F650" i="94"/>
  <c r="U67" i="106"/>
  <c r="F21" i="94"/>
  <c r="M41" i="106"/>
  <c r="AE23" i="100"/>
  <c r="I22" i="78"/>
  <c r="K205" i="94"/>
  <c r="H878" i="94"/>
  <c r="H89" i="106"/>
  <c r="H906" i="94" s="1"/>
  <c r="H734" i="94"/>
  <c r="H622" i="94"/>
  <c r="H149" i="94"/>
  <c r="L806" i="94"/>
  <c r="L84" i="106"/>
  <c r="L862" i="94" s="1"/>
  <c r="L35" i="94"/>
  <c r="I878" i="94"/>
  <c r="I89" i="106"/>
  <c r="I906" i="94" s="1"/>
  <c r="I622" i="94"/>
  <c r="I77" i="106"/>
  <c r="I790" i="94" s="1"/>
  <c r="B21" i="107"/>
  <c r="L121" i="106"/>
  <c r="J622" i="94"/>
  <c r="K318" i="94"/>
  <c r="K31" i="106"/>
  <c r="K276" i="94" s="1"/>
  <c r="K121" i="94"/>
  <c r="L116" i="106"/>
  <c r="L892" i="94"/>
  <c r="L89" i="106"/>
  <c r="L906" i="94" s="1"/>
  <c r="L493" i="94"/>
  <c r="K62" i="106"/>
  <c r="K593" i="94" s="1"/>
  <c r="I15" i="106"/>
  <c r="I91" i="94" s="1"/>
  <c r="H29" i="106"/>
  <c r="H261" i="94" s="1"/>
  <c r="J21" i="94"/>
  <c r="H84" i="106"/>
  <c r="H862" i="94" s="1"/>
  <c r="J22" i="78"/>
  <c r="H35" i="94"/>
  <c r="F260" i="94"/>
  <c r="D18" i="83"/>
  <c r="L92" i="94"/>
  <c r="M893" i="94"/>
  <c r="B65" i="46"/>
  <c r="B36" i="46"/>
  <c r="H87" i="63" s="1"/>
  <c r="K431" i="94"/>
  <c r="I92" i="94"/>
  <c r="B37" i="105"/>
  <c r="F37" i="105" s="1"/>
  <c r="B51" i="91"/>
  <c r="D51" i="91" s="1"/>
  <c r="F51" i="91" s="1"/>
  <c r="Y74" i="92"/>
  <c r="B44" i="91"/>
  <c r="E424" i="94"/>
  <c r="L44" i="84"/>
  <c r="L444" i="94" s="1"/>
  <c r="L429" i="94"/>
  <c r="G426" i="94"/>
  <c r="D272" i="94"/>
  <c r="P18" i="65"/>
  <c r="L17" i="100"/>
  <c r="M201" i="94"/>
  <c r="I427" i="94"/>
  <c r="I44" i="37"/>
  <c r="I442" i="94" s="1"/>
  <c r="X28" i="27"/>
  <c r="J421" i="94"/>
  <c r="G82" i="94"/>
  <c r="J44" i="22"/>
  <c r="J435" i="94" s="1"/>
  <c r="R18" i="97"/>
  <c r="M381" i="94"/>
  <c r="M500" i="94"/>
  <c r="P38" i="65"/>
  <c r="B32" i="41"/>
  <c r="D60" i="40" s="1"/>
  <c r="F32" i="46"/>
  <c r="D60" i="45"/>
  <c r="E96" i="71"/>
  <c r="G99" i="71"/>
  <c r="K36" i="71"/>
  <c r="H150" i="94"/>
  <c r="H18" i="47"/>
  <c r="H108" i="94" s="1"/>
  <c r="F879" i="94"/>
  <c r="D64" i="46"/>
  <c r="F89" i="47"/>
  <c r="F907" i="94" s="1"/>
  <c r="F979" i="94"/>
  <c r="K580" i="94"/>
  <c r="F42" i="47"/>
  <c r="F375" i="94"/>
  <c r="F291" i="94"/>
  <c r="L637" i="94"/>
  <c r="J693" i="94"/>
  <c r="L375" i="94"/>
  <c r="L42" i="47"/>
  <c r="D150" i="94"/>
  <c r="M21" i="47"/>
  <c r="H18" i="100" s="1"/>
  <c r="E524" i="94"/>
  <c r="F206" i="94"/>
  <c r="M25" i="47"/>
  <c r="D417" i="94"/>
  <c r="G403" i="94"/>
  <c r="J389" i="94"/>
  <c r="M39" i="47"/>
  <c r="Y18" i="100" s="1"/>
  <c r="G637" i="94"/>
  <c r="U66" i="47"/>
  <c r="G849" i="94"/>
  <c r="G84" i="47"/>
  <c r="G863" i="94" s="1"/>
  <c r="G937" i="94"/>
  <c r="I777" i="94"/>
  <c r="I62" i="47"/>
  <c r="I594" i="94" s="1"/>
  <c r="I538" i="94"/>
  <c r="J220" i="94"/>
  <c r="J29" i="47"/>
  <c r="J262" i="94" s="1"/>
  <c r="L206" i="94"/>
  <c r="J164" i="94"/>
  <c r="J18" i="47"/>
  <c r="J108" i="94" s="1"/>
  <c r="F679" i="94"/>
  <c r="G721" i="94"/>
  <c r="D807" i="94"/>
  <c r="D84" i="47"/>
  <c r="D863" i="94" s="1"/>
  <c r="K893" i="94"/>
  <c r="L552" i="94"/>
  <c r="D35" i="46"/>
  <c r="K305" i="94"/>
  <c r="H665" i="94"/>
  <c r="G178" i="94"/>
  <c r="G29" i="47"/>
  <c r="G262" i="94" s="1"/>
  <c r="G18" i="47"/>
  <c r="G108" i="94" s="1"/>
  <c r="D15" i="47"/>
  <c r="D92" i="94" s="1"/>
  <c r="D22" i="94"/>
  <c r="H707" i="94"/>
  <c r="L64" i="94"/>
  <c r="F64" i="94"/>
  <c r="D13" i="46"/>
  <c r="F15" i="47"/>
  <c r="F92" i="94" s="1"/>
  <c r="M13" i="47"/>
  <c r="E164" i="94"/>
  <c r="H763" i="94"/>
  <c r="D510" i="94"/>
  <c r="D62" i="47"/>
  <c r="D594" i="94" s="1"/>
  <c r="D29" i="46"/>
  <c r="F494" i="94"/>
  <c r="D462" i="94"/>
  <c r="H42" i="47"/>
  <c r="H361" i="94"/>
  <c r="J78" i="94"/>
  <c r="D15" i="117"/>
  <c r="D42" i="118"/>
  <c r="D18" i="118"/>
  <c r="J42" i="118"/>
  <c r="J62" i="118"/>
  <c r="J15" i="118"/>
  <c r="D48" i="117"/>
  <c r="B17" i="119"/>
  <c r="U66" i="118"/>
  <c r="G29" i="118"/>
  <c r="E84" i="118"/>
  <c r="U70" i="118"/>
  <c r="D25" i="73" l="1"/>
  <c r="H22" i="98"/>
  <c r="O21" i="101"/>
  <c r="C6" i="91"/>
  <c r="R21" i="99" s="1"/>
  <c r="I8" i="46"/>
  <c r="H18" i="98" s="1"/>
  <c r="L71" i="71"/>
  <c r="I8" i="41"/>
  <c r="O12" i="101" s="1"/>
  <c r="U67" i="14"/>
  <c r="L29" i="14"/>
  <c r="L256" i="94" s="1"/>
  <c r="H62" i="14"/>
  <c r="H588" i="94" s="1"/>
  <c r="D397" i="94"/>
  <c r="S67" i="14"/>
  <c r="G15" i="14"/>
  <c r="G86" i="94" s="1"/>
  <c r="I29" i="14"/>
  <c r="I256" i="94" s="1"/>
  <c r="L18" i="17"/>
  <c r="L99" i="94" s="1"/>
  <c r="J29" i="14"/>
  <c r="J256" i="94" s="1"/>
  <c r="E62" i="14"/>
  <c r="E588" i="94" s="1"/>
  <c r="F456" i="94"/>
  <c r="E15" i="14"/>
  <c r="J31" i="14"/>
  <c r="J271" i="94" s="1"/>
  <c r="D58" i="94"/>
  <c r="K18" i="92"/>
  <c r="K101" i="94" s="1"/>
  <c r="L116" i="14"/>
  <c r="M40" i="14"/>
  <c r="S11" i="97" s="1"/>
  <c r="J84" i="14"/>
  <c r="J857" i="94" s="1"/>
  <c r="O69" i="14"/>
  <c r="L18" i="84"/>
  <c r="L106" i="94" s="1"/>
  <c r="U65" i="14"/>
  <c r="J42" i="14"/>
  <c r="K62" i="14"/>
  <c r="K588" i="94" s="1"/>
  <c r="E106" i="71"/>
  <c r="L106" i="71" s="1"/>
  <c r="H20" i="98"/>
  <c r="H14" i="98"/>
  <c r="G96" i="71"/>
  <c r="K6" i="71"/>
  <c r="C6" i="2" s="1"/>
  <c r="E97" i="71"/>
  <c r="K61" i="71"/>
  <c r="C6" i="83" s="1"/>
  <c r="G20" i="98" s="1"/>
  <c r="H11" i="98"/>
  <c r="L105" i="71"/>
  <c r="K39" i="71"/>
  <c r="C6" i="41" s="1"/>
  <c r="C47" i="41" s="1"/>
  <c r="G257" i="94"/>
  <c r="G44" i="42"/>
  <c r="G441" i="94" s="1"/>
  <c r="T21" i="97"/>
  <c r="AA22" i="100"/>
  <c r="M410" i="94"/>
  <c r="B36" i="16"/>
  <c r="F42" i="65"/>
  <c r="M935" i="94"/>
  <c r="X75" i="84"/>
  <c r="X77" i="84" s="1"/>
  <c r="V81" i="65"/>
  <c r="M468" i="94"/>
  <c r="J32" i="65"/>
  <c r="D36" i="103" s="1"/>
  <c r="M719" i="94"/>
  <c r="B49" i="83"/>
  <c r="D108" i="82" s="1"/>
  <c r="M37" i="47"/>
  <c r="P14" i="97" s="1"/>
  <c r="D18" i="47"/>
  <c r="D108" i="94" s="1"/>
  <c r="M173" i="94"/>
  <c r="M566" i="94"/>
  <c r="M75" i="106"/>
  <c r="B52" i="105" s="1"/>
  <c r="M11" i="32"/>
  <c r="M57" i="106"/>
  <c r="AB39" i="65" s="1"/>
  <c r="M39" i="22"/>
  <c r="D42" i="42"/>
  <c r="M37" i="84"/>
  <c r="M40" i="92"/>
  <c r="E62" i="92"/>
  <c r="M40" i="106"/>
  <c r="U75" i="92"/>
  <c r="H31" i="42"/>
  <c r="H272" i="94" s="1"/>
  <c r="F62" i="37"/>
  <c r="F590" i="94" s="1"/>
  <c r="F15" i="14"/>
  <c r="F86" i="94" s="1"/>
  <c r="D58" i="36"/>
  <c r="B73" i="94"/>
  <c r="B917" i="94"/>
  <c r="I18" i="32"/>
  <c r="I100" i="94" s="1"/>
  <c r="H468" i="94"/>
  <c r="I17" i="94"/>
  <c r="L51" i="94"/>
  <c r="L1056" i="94" s="1"/>
  <c r="G34" i="94"/>
  <c r="U72" i="47"/>
  <c r="M58" i="47"/>
  <c r="M538" i="94" s="1"/>
  <c r="K26" i="71"/>
  <c r="C6" i="26" s="1"/>
  <c r="G14" i="98" s="1"/>
  <c r="G13" i="97"/>
  <c r="D19" i="83"/>
  <c r="D20" i="83" s="1"/>
  <c r="F31" i="106"/>
  <c r="F276" i="94" s="1"/>
  <c r="M41" i="32"/>
  <c r="M39" i="106"/>
  <c r="Y23" i="100" s="1"/>
  <c r="M36" i="27"/>
  <c r="O12" i="97" s="1"/>
  <c r="M26" i="42"/>
  <c r="M37" i="14"/>
  <c r="W11" i="100" s="1"/>
  <c r="M53" i="22"/>
  <c r="E84" i="42"/>
  <c r="E858" i="94" s="1"/>
  <c r="G31" i="84"/>
  <c r="G275" i="94" s="1"/>
  <c r="M23" i="106"/>
  <c r="I42" i="32"/>
  <c r="I423" i="94" s="1"/>
  <c r="D47" i="41"/>
  <c r="F47" i="41" s="1"/>
  <c r="K47" i="41" s="1"/>
  <c r="M47" i="41" s="1"/>
  <c r="J15" i="27"/>
  <c r="J82" i="94" s="1"/>
  <c r="AA19" i="97"/>
  <c r="Y21" i="97"/>
  <c r="B131" i="94"/>
  <c r="B946" i="94"/>
  <c r="M69" i="32"/>
  <c r="M671" i="94" s="1"/>
  <c r="K31" i="94"/>
  <c r="M66" i="47"/>
  <c r="H70" i="94"/>
  <c r="D24" i="74"/>
  <c r="C25" i="100"/>
  <c r="P13" i="110"/>
  <c r="I84" i="114"/>
  <c r="M87" i="47"/>
  <c r="K67" i="71"/>
  <c r="M107" i="71" s="1"/>
  <c r="Q22" i="42"/>
  <c r="F44" i="84"/>
  <c r="G42" i="106"/>
  <c r="G430" i="94" s="1"/>
  <c r="M27" i="37"/>
  <c r="K15" i="97" s="1"/>
  <c r="M53" i="37"/>
  <c r="M53" i="27"/>
  <c r="M23" i="14"/>
  <c r="M58" i="22"/>
  <c r="O65" i="32"/>
  <c r="S65" i="32" s="1"/>
  <c r="K42" i="32"/>
  <c r="G229" i="94"/>
  <c r="M24" i="92"/>
  <c r="H21" i="97" s="1"/>
  <c r="D84" i="92"/>
  <c r="D856" i="94" s="1"/>
  <c r="D45" i="46"/>
  <c r="J77" i="32"/>
  <c r="J783" i="94" s="1"/>
  <c r="H31" i="92"/>
  <c r="H270" i="94" s="1"/>
  <c r="H29" i="37"/>
  <c r="H258" i="94" s="1"/>
  <c r="L15" i="87"/>
  <c r="H18" i="42"/>
  <c r="H103" i="94" s="1"/>
  <c r="D13" i="36"/>
  <c r="AF19" i="100"/>
  <c r="AD22" i="100"/>
  <c r="B385" i="94"/>
  <c r="B173" i="94"/>
  <c r="E51" i="94"/>
  <c r="E1056" i="94" s="1"/>
  <c r="I501" i="94"/>
  <c r="I557" i="94"/>
  <c r="E26" i="97"/>
  <c r="M68" i="47"/>
  <c r="R51" i="65" s="1"/>
  <c r="L100" i="71"/>
  <c r="D84" i="106"/>
  <c r="D862" i="94" s="1"/>
  <c r="M27" i="42"/>
  <c r="O68" i="106"/>
  <c r="M14" i="14"/>
  <c r="M38" i="37"/>
  <c r="M14" i="92"/>
  <c r="M61" i="14"/>
  <c r="M59" i="17"/>
  <c r="M38" i="22"/>
  <c r="Q17" i="97" s="1"/>
  <c r="H31" i="22"/>
  <c r="H266" i="94" s="1"/>
  <c r="L29" i="27"/>
  <c r="L252" i="94" s="1"/>
  <c r="M22" i="84"/>
  <c r="E84" i="106"/>
  <c r="E862" i="94" s="1"/>
  <c r="F84" i="106"/>
  <c r="F862" i="94" s="1"/>
  <c r="F543" i="94"/>
  <c r="G62" i="42"/>
  <c r="G589" i="94" s="1"/>
  <c r="D34" i="83"/>
  <c r="D33" i="36"/>
  <c r="D52" i="41"/>
  <c r="B384" i="94"/>
  <c r="J62" i="94"/>
  <c r="O72" i="47"/>
  <c r="M210" i="94"/>
  <c r="M76" i="47"/>
  <c r="M777" i="94" s="1"/>
  <c r="M53" i="106"/>
  <c r="U68" i="106"/>
  <c r="M59" i="37"/>
  <c r="B35" i="36" s="1"/>
  <c r="F62" i="27"/>
  <c r="F584" i="94" s="1"/>
  <c r="S66" i="37"/>
  <c r="D13" i="68" s="1"/>
  <c r="L62" i="37"/>
  <c r="L590" i="94" s="1"/>
  <c r="J29" i="42"/>
  <c r="J257" i="94" s="1"/>
  <c r="M36" i="84"/>
  <c r="O20" i="97" s="1"/>
  <c r="F42" i="106"/>
  <c r="F430" i="94" s="1"/>
  <c r="D50" i="41"/>
  <c r="G15" i="47"/>
  <c r="G92" i="94" s="1"/>
  <c r="U68" i="42"/>
  <c r="G533" i="94"/>
  <c r="G539" i="94" s="1"/>
  <c r="G1102" i="94" s="1"/>
  <c r="H18" i="78"/>
  <c r="D52" i="91"/>
  <c r="Y19" i="97"/>
  <c r="B398" i="94"/>
  <c r="F352" i="94"/>
  <c r="M36" i="92"/>
  <c r="M82" i="47"/>
  <c r="B59" i="46" s="1"/>
  <c r="F59" i="46" s="1"/>
  <c r="U69" i="47"/>
  <c r="F29" i="47"/>
  <c r="D18" i="46" s="1"/>
  <c r="U73" i="47"/>
  <c r="J12" i="97"/>
  <c r="M11" i="17"/>
  <c r="B11" i="16" s="1"/>
  <c r="E23" i="63" s="1"/>
  <c r="F84" i="47"/>
  <c r="F863" i="94" s="1"/>
  <c r="K31" i="47"/>
  <c r="K277" i="94" s="1"/>
  <c r="M69" i="47"/>
  <c r="M93" i="47"/>
  <c r="R81" i="65" s="1"/>
  <c r="F62" i="106"/>
  <c r="M38" i="27"/>
  <c r="X14" i="100" s="1"/>
  <c r="M25" i="32"/>
  <c r="L15" i="100" s="1"/>
  <c r="K29" i="27"/>
  <c r="K252" i="94" s="1"/>
  <c r="D43" i="31"/>
  <c r="D671" i="94"/>
  <c r="I44" i="32"/>
  <c r="I438" i="94" s="1"/>
  <c r="E29" i="37"/>
  <c r="E258" i="94" s="1"/>
  <c r="D62" i="42"/>
  <c r="D589" i="94" s="1"/>
  <c r="D29" i="42"/>
  <c r="D257" i="94" s="1"/>
  <c r="F805" i="94"/>
  <c r="M56" i="84"/>
  <c r="B32" i="83" s="1"/>
  <c r="M32" i="106"/>
  <c r="I62" i="106"/>
  <c r="I593" i="94" s="1"/>
  <c r="D460" i="94"/>
  <c r="M1017" i="94"/>
  <c r="F660" i="94"/>
  <c r="L62" i="17"/>
  <c r="L585" i="94" s="1"/>
  <c r="Q19" i="74"/>
  <c r="AD19" i="100"/>
  <c r="D65" i="31"/>
  <c r="I2" i="42"/>
  <c r="L122" i="42"/>
  <c r="B646" i="94"/>
  <c r="O72" i="32"/>
  <c r="M11" i="22"/>
  <c r="B11" i="21" s="1"/>
  <c r="L89" i="114"/>
  <c r="L112" i="106"/>
  <c r="H18" i="106"/>
  <c r="H107" i="94" s="1"/>
  <c r="M56" i="106"/>
  <c r="B32" i="105" s="1"/>
  <c r="D60" i="104" s="1"/>
  <c r="M88" i="106"/>
  <c r="M892" i="94" s="1"/>
  <c r="M94" i="106"/>
  <c r="AB82" i="65" s="1"/>
  <c r="M40" i="37"/>
  <c r="I42" i="27"/>
  <c r="I421" i="94" s="1"/>
  <c r="M33" i="27"/>
  <c r="D29" i="84"/>
  <c r="D260" i="94" s="1"/>
  <c r="D42" i="92"/>
  <c r="S67" i="92"/>
  <c r="O70" i="106"/>
  <c r="U70" i="106"/>
  <c r="E42" i="106"/>
  <c r="E430" i="94" s="1"/>
  <c r="F643" i="94"/>
  <c r="F89" i="32"/>
  <c r="F899" i="94" s="1"/>
  <c r="L15" i="32"/>
  <c r="L84" i="94" s="1"/>
  <c r="B159" i="94"/>
  <c r="B844" i="94"/>
  <c r="O69" i="37"/>
  <c r="M28" i="106"/>
  <c r="F734" i="94"/>
  <c r="G98" i="71"/>
  <c r="L98" i="71" s="1"/>
  <c r="U70" i="47"/>
  <c r="M40" i="32"/>
  <c r="M395" i="94" s="1"/>
  <c r="M26" i="92"/>
  <c r="M24" i="27"/>
  <c r="K14" i="100" s="1"/>
  <c r="F15" i="37"/>
  <c r="F88" i="94" s="1"/>
  <c r="M36" i="42"/>
  <c r="P22" i="65" s="1"/>
  <c r="M58" i="84"/>
  <c r="I29" i="92"/>
  <c r="I255" i="94" s="1"/>
  <c r="F18" i="106"/>
  <c r="F107" i="94" s="1"/>
  <c r="M60" i="106"/>
  <c r="D164" i="94"/>
  <c r="K84" i="87"/>
  <c r="L121" i="84"/>
  <c r="B702" i="94"/>
  <c r="B272" i="94"/>
  <c r="M95" i="84"/>
  <c r="Y76" i="84" s="1"/>
  <c r="D47" i="105"/>
  <c r="F509" i="94"/>
  <c r="F574" i="94"/>
  <c r="M71" i="47"/>
  <c r="Y71" i="47" s="1"/>
  <c r="D47" i="46"/>
  <c r="K10" i="71"/>
  <c r="C6" i="16" s="1"/>
  <c r="R20" i="99" s="1"/>
  <c r="M38" i="106"/>
  <c r="X46" i="106" s="1"/>
  <c r="K89" i="106"/>
  <c r="K906" i="94" s="1"/>
  <c r="J31" i="106"/>
  <c r="J276" i="94" s="1"/>
  <c r="M57" i="17"/>
  <c r="E15" i="106"/>
  <c r="E31" i="106"/>
  <c r="E276" i="94" s="1"/>
  <c r="J18" i="17"/>
  <c r="J99" i="94" s="1"/>
  <c r="H42" i="27"/>
  <c r="H421" i="94" s="1"/>
  <c r="U74" i="27"/>
  <c r="I62" i="37"/>
  <c r="I590" i="94" s="1"/>
  <c r="M61" i="42"/>
  <c r="U76" i="42"/>
  <c r="K18" i="84"/>
  <c r="K106" i="94" s="1"/>
  <c r="H42" i="106"/>
  <c r="H430" i="94" s="1"/>
  <c r="U65" i="47"/>
  <c r="I18" i="106"/>
  <c r="I107" i="94" s="1"/>
  <c r="I31" i="27"/>
  <c r="I267" i="94" s="1"/>
  <c r="G29" i="32"/>
  <c r="O69" i="42"/>
  <c r="D11" i="21"/>
  <c r="B87" i="94"/>
  <c r="B457" i="94"/>
  <c r="F835" i="94"/>
  <c r="K89" i="47"/>
  <c r="K907" i="94" s="1"/>
  <c r="M70" i="47"/>
  <c r="F77" i="106"/>
  <c r="F790" i="94" s="1"/>
  <c r="M13" i="106"/>
  <c r="B13" i="105" s="1"/>
  <c r="D56" i="104" s="1"/>
  <c r="M47" i="14"/>
  <c r="M456" i="94" s="1"/>
  <c r="M24" i="32"/>
  <c r="H18" i="97" s="1"/>
  <c r="M38" i="42"/>
  <c r="D10" i="16"/>
  <c r="M25" i="27"/>
  <c r="M196" i="94" s="1"/>
  <c r="I29" i="27"/>
  <c r="I252" i="94" s="1"/>
  <c r="E29" i="32"/>
  <c r="E254" i="94" s="1"/>
  <c r="M50" i="37"/>
  <c r="B26" i="36" s="1"/>
  <c r="M41" i="42"/>
  <c r="O66" i="92"/>
  <c r="S66" i="92" s="1"/>
  <c r="M22" i="92"/>
  <c r="K84" i="47"/>
  <c r="K863" i="94" s="1"/>
  <c r="M68" i="106"/>
  <c r="D35" i="26"/>
  <c r="J42" i="92"/>
  <c r="J424" i="94" s="1"/>
  <c r="H21" i="78"/>
  <c r="B45" i="94"/>
  <c r="B575" i="94"/>
  <c r="V19" i="73"/>
  <c r="E336" i="94"/>
  <c r="M88" i="32"/>
  <c r="L117" i="84"/>
  <c r="E62" i="32"/>
  <c r="E586" i="94" s="1"/>
  <c r="M22" i="106"/>
  <c r="M57" i="37"/>
  <c r="J15" i="47"/>
  <c r="J92" i="94" s="1"/>
  <c r="M96" i="47"/>
  <c r="R84" i="65" s="1"/>
  <c r="M37" i="27"/>
  <c r="P12" i="97" s="1"/>
  <c r="L31" i="17"/>
  <c r="L268" i="94" s="1"/>
  <c r="D15" i="41"/>
  <c r="G62" i="106"/>
  <c r="G593" i="94" s="1"/>
  <c r="D15" i="84"/>
  <c r="D37" i="21"/>
  <c r="L89" i="37"/>
  <c r="L903" i="94" s="1"/>
  <c r="B103" i="94"/>
  <c r="B603" i="94"/>
  <c r="S19" i="74"/>
  <c r="M94" i="42"/>
  <c r="M946" i="94" s="1"/>
  <c r="H62" i="42"/>
  <c r="H589" i="94" s="1"/>
  <c r="H89" i="118"/>
  <c r="H674" i="94"/>
  <c r="M69" i="42"/>
  <c r="Y69" i="42" s="1"/>
  <c r="L494" i="94"/>
  <c r="M53" i="47"/>
  <c r="J42" i="47"/>
  <c r="J431" i="94" s="1"/>
  <c r="N14" i="100"/>
  <c r="K12" i="97"/>
  <c r="I660" i="94"/>
  <c r="M68" i="42"/>
  <c r="E74" i="41" s="1"/>
  <c r="D291" i="94"/>
  <c r="D31" i="47"/>
  <c r="D277" i="94" s="1"/>
  <c r="E34" i="94"/>
  <c r="E15" i="84"/>
  <c r="E90" i="94" s="1"/>
  <c r="M28" i="47"/>
  <c r="L14" i="97" s="1"/>
  <c r="B976" i="94"/>
  <c r="F285" i="94"/>
  <c r="M32" i="14"/>
  <c r="F627" i="94"/>
  <c r="D43" i="26"/>
  <c r="E641" i="94"/>
  <c r="U67" i="27"/>
  <c r="F143" i="94"/>
  <c r="F18" i="92"/>
  <c r="F101" i="94" s="1"/>
  <c r="I157" i="94"/>
  <c r="I18" i="92"/>
  <c r="I101" i="94" s="1"/>
  <c r="E19" i="95"/>
  <c r="L115" i="92"/>
  <c r="K944" i="94"/>
  <c r="M94" i="92"/>
  <c r="Z82" i="65" s="1"/>
  <c r="J176" i="94"/>
  <c r="J18" i="84"/>
  <c r="J106" i="94" s="1"/>
  <c r="M23" i="84"/>
  <c r="V18" i="65" s="1"/>
  <c r="G246" i="94"/>
  <c r="M28" i="84"/>
  <c r="D232" i="94"/>
  <c r="M27" i="84"/>
  <c r="N20" i="100" s="1"/>
  <c r="G29" i="84"/>
  <c r="G260" i="94" s="1"/>
  <c r="G190" i="94"/>
  <c r="D345" i="94"/>
  <c r="D42" i="84"/>
  <c r="D31" i="84"/>
  <c r="D275" i="94" s="1"/>
  <c r="J401" i="94"/>
  <c r="J42" i="84"/>
  <c r="G387" i="94"/>
  <c r="G42" i="84"/>
  <c r="G429" i="94" s="1"/>
  <c r="L537" i="94"/>
  <c r="L539" i="94" s="1"/>
  <c r="L1102" i="94" s="1"/>
  <c r="L62" i="106"/>
  <c r="L593" i="94" s="1"/>
  <c r="K848" i="94"/>
  <c r="M83" i="106"/>
  <c r="M848" i="94" s="1"/>
  <c r="M40" i="47"/>
  <c r="M403" i="94" s="1"/>
  <c r="G42" i="47"/>
  <c r="G431" i="94" s="1"/>
  <c r="S12" i="97"/>
  <c r="B443" i="94"/>
  <c r="G687" i="94"/>
  <c r="O70" i="14"/>
  <c r="G729" i="94"/>
  <c r="O73" i="14"/>
  <c r="K815" i="94"/>
  <c r="K84" i="14"/>
  <c r="K857" i="94" s="1"/>
  <c r="E647" i="94"/>
  <c r="U67" i="37"/>
  <c r="U68" i="37"/>
  <c r="D661" i="94"/>
  <c r="F492" i="94"/>
  <c r="D29" i="83"/>
  <c r="O65" i="106"/>
  <c r="S65" i="106" s="1"/>
  <c r="M65" i="106"/>
  <c r="U65" i="106"/>
  <c r="D656" i="94"/>
  <c r="U68" i="17"/>
  <c r="D110" i="47"/>
  <c r="L77" i="47"/>
  <c r="L791" i="94" s="1"/>
  <c r="D797" i="94"/>
  <c r="M80" i="27"/>
  <c r="H15" i="84"/>
  <c r="H90" i="94" s="1"/>
  <c r="H62" i="94"/>
  <c r="K68" i="71"/>
  <c r="C6" i="105" s="1"/>
  <c r="E108" i="71"/>
  <c r="L108" i="71" s="1"/>
  <c r="M38" i="47"/>
  <c r="X18" i="100" s="1"/>
  <c r="M393" i="94"/>
  <c r="D18" i="41"/>
  <c r="J31" i="92"/>
  <c r="J270" i="94" s="1"/>
  <c r="D43" i="2"/>
  <c r="F631" i="94"/>
  <c r="D89" i="87"/>
  <c r="I828" i="94"/>
  <c r="I84" i="92"/>
  <c r="I856" i="94" s="1"/>
  <c r="M83" i="92"/>
  <c r="L842" i="94"/>
  <c r="L84" i="92"/>
  <c r="L856" i="94" s="1"/>
  <c r="D65" i="91"/>
  <c r="D66" i="91" s="1"/>
  <c r="F89" i="92"/>
  <c r="F900" i="94" s="1"/>
  <c r="F886" i="94"/>
  <c r="H382" i="94"/>
  <c r="M39" i="92"/>
  <c r="H42" i="92"/>
  <c r="H424" i="94" s="1"/>
  <c r="E368" i="94"/>
  <c r="M38" i="92"/>
  <c r="Q21" i="97" s="1"/>
  <c r="J18" i="87"/>
  <c r="J578" i="94"/>
  <c r="M61" i="84"/>
  <c r="G62" i="84"/>
  <c r="G592" i="94" s="1"/>
  <c r="G564" i="94"/>
  <c r="G567" i="94" s="1"/>
  <c r="G1104" i="94" s="1"/>
  <c r="J522" i="94"/>
  <c r="M57" i="84"/>
  <c r="V39" i="65" s="1"/>
  <c r="J62" i="84"/>
  <c r="J592" i="94" s="1"/>
  <c r="L121" i="94"/>
  <c r="M19" i="106"/>
  <c r="L18" i="106"/>
  <c r="L107" i="94" s="1"/>
  <c r="L388" i="94"/>
  <c r="L42" i="106"/>
  <c r="L936" i="94"/>
  <c r="M93" i="106"/>
  <c r="AB81" i="65" s="1"/>
  <c r="M41" i="47"/>
  <c r="M501" i="94"/>
  <c r="O13" i="97"/>
  <c r="M773" i="94"/>
  <c r="B53" i="36"/>
  <c r="L322" i="94"/>
  <c r="L31" i="22"/>
  <c r="L266" i="94" s="1"/>
  <c r="Y17" i="97"/>
  <c r="T17" i="73"/>
  <c r="L213" i="94"/>
  <c r="L221" i="94" s="1"/>
  <c r="L1070" i="94" s="1"/>
  <c r="L29" i="92"/>
  <c r="L255" i="94" s="1"/>
  <c r="F762" i="94"/>
  <c r="D52" i="105"/>
  <c r="F52" i="105" s="1"/>
  <c r="K52" i="105" s="1"/>
  <c r="O52" i="105" s="1"/>
  <c r="F219" i="94"/>
  <c r="F110" i="106"/>
  <c r="E992" i="94"/>
  <c r="M97" i="106"/>
  <c r="E622" i="94"/>
  <c r="E77" i="106"/>
  <c r="E790" i="94" s="1"/>
  <c r="D416" i="94"/>
  <c r="D42" i="106"/>
  <c r="M616" i="94"/>
  <c r="Y65" i="92"/>
  <c r="F462" i="94"/>
  <c r="B414" i="94"/>
  <c r="B1024" i="94"/>
  <c r="B704" i="94"/>
  <c r="B372" i="94"/>
  <c r="B175" i="94"/>
  <c r="B634" i="94"/>
  <c r="B648" i="94"/>
  <c r="B119" i="94"/>
  <c r="B344" i="94"/>
  <c r="A15" i="57"/>
  <c r="B105" i="94"/>
  <c r="B563" i="94"/>
  <c r="B491" i="94"/>
  <c r="B61" i="94"/>
  <c r="B788" i="94"/>
  <c r="B718" i="94"/>
  <c r="B475" i="94"/>
  <c r="B203" i="94"/>
  <c r="B919" i="94"/>
  <c r="B507" i="94"/>
  <c r="B147" i="94"/>
  <c r="B330" i="94"/>
  <c r="B89" i="94"/>
  <c r="I2" i="62"/>
  <c r="B860" i="94"/>
  <c r="B990" i="94"/>
  <c r="B577" i="94"/>
  <c r="B231" i="94"/>
  <c r="B804" i="94"/>
  <c r="B832" i="94"/>
  <c r="B591" i="94"/>
  <c r="B760" i="94"/>
  <c r="B217" i="94"/>
  <c r="B962" i="94"/>
  <c r="B662" i="94"/>
  <c r="B259" i="94"/>
  <c r="B934" i="94"/>
  <c r="B521" i="94"/>
  <c r="B535" i="94"/>
  <c r="B690" i="94"/>
  <c r="B676" i="94"/>
  <c r="B428" i="94"/>
  <c r="B948" i="94"/>
  <c r="B549" i="94"/>
  <c r="B1038" i="94"/>
  <c r="B746" i="94"/>
  <c r="B386" i="94"/>
  <c r="P13" i="62"/>
  <c r="B189" i="94"/>
  <c r="B47" i="94"/>
  <c r="B890" i="94"/>
  <c r="B33" i="94"/>
  <c r="B302" i="94"/>
  <c r="B876" i="94"/>
  <c r="B161" i="94"/>
  <c r="B316" i="94"/>
  <c r="B75" i="94"/>
  <c r="L122" i="62"/>
  <c r="B19" i="94"/>
  <c r="B846" i="94"/>
  <c r="B133" i="94"/>
  <c r="B620" i="94"/>
  <c r="B245" i="94"/>
  <c r="B732" i="94"/>
  <c r="B1004" i="94"/>
  <c r="G323" i="94"/>
  <c r="G31" i="27"/>
  <c r="G267" i="94" s="1"/>
  <c r="H31" i="87"/>
  <c r="K31" i="87"/>
  <c r="D770" i="94"/>
  <c r="M76" i="92"/>
  <c r="U76" i="92"/>
  <c r="G800" i="94"/>
  <c r="G84" i="92"/>
  <c r="G856" i="94" s="1"/>
  <c r="H814" i="94"/>
  <c r="M81" i="92"/>
  <c r="H84" i="92"/>
  <c r="E241" i="94"/>
  <c r="E29" i="92"/>
  <c r="E255" i="94" s="1"/>
  <c r="G42" i="32"/>
  <c r="G423" i="94" s="1"/>
  <c r="G381" i="94"/>
  <c r="H42" i="32"/>
  <c r="H423" i="94" s="1"/>
  <c r="H367" i="94"/>
  <c r="H376" i="94" s="1"/>
  <c r="H1082" i="94" s="1"/>
  <c r="D10" i="31"/>
  <c r="F15" i="32"/>
  <c r="F14" i="94"/>
  <c r="K42" i="27"/>
  <c r="K407" i="94"/>
  <c r="M41" i="27"/>
  <c r="D42" i="27"/>
  <c r="D421" i="94" s="1"/>
  <c r="M39" i="27"/>
  <c r="D379" i="94"/>
  <c r="K68" i="94"/>
  <c r="M14" i="27"/>
  <c r="M68" i="94" s="1"/>
  <c r="K15" i="27"/>
  <c r="K82" i="94" s="1"/>
  <c r="D12" i="94"/>
  <c r="D15" i="27"/>
  <c r="D82" i="94" s="1"/>
  <c r="E167" i="94"/>
  <c r="E29" i="22"/>
  <c r="E251" i="94" s="1"/>
  <c r="F392" i="94"/>
  <c r="M40" i="22"/>
  <c r="M392" i="94" s="1"/>
  <c r="I350" i="94"/>
  <c r="I42" i="22"/>
  <c r="D14" i="21"/>
  <c r="F67" i="94"/>
  <c r="I11" i="94"/>
  <c r="I15" i="22"/>
  <c r="I81" i="94" s="1"/>
  <c r="F485" i="94"/>
  <c r="D29" i="16"/>
  <c r="M24" i="17"/>
  <c r="F183" i="94"/>
  <c r="F380" i="94"/>
  <c r="M39" i="17"/>
  <c r="I69" i="94"/>
  <c r="I15" i="17"/>
  <c r="I83" i="94" s="1"/>
  <c r="D13" i="16"/>
  <c r="F55" i="94"/>
  <c r="J488" i="94"/>
  <c r="M53" i="14"/>
  <c r="H228" i="94"/>
  <c r="H29" i="14"/>
  <c r="H256" i="94" s="1"/>
  <c r="M24" i="14"/>
  <c r="K11" i="100" s="1"/>
  <c r="K186" i="94"/>
  <c r="K29" i="14"/>
  <c r="K256" i="94" s="1"/>
  <c r="E411" i="94"/>
  <c r="E42" i="14"/>
  <c r="E425" i="94" s="1"/>
  <c r="M41" i="14"/>
  <c r="I42" i="14"/>
  <c r="I369" i="94"/>
  <c r="I376" i="94" s="1"/>
  <c r="I1082" i="94" s="1"/>
  <c r="M38" i="14"/>
  <c r="M369" i="94" s="1"/>
  <c r="D37" i="26"/>
  <c r="F570" i="94"/>
  <c r="M61" i="27"/>
  <c r="M570" i="94" s="1"/>
  <c r="M58" i="27"/>
  <c r="I528" i="94"/>
  <c r="M61" i="22"/>
  <c r="H43" i="65" s="1"/>
  <c r="L569" i="94"/>
  <c r="F541" i="94"/>
  <c r="F62" i="22"/>
  <c r="F583" i="94" s="1"/>
  <c r="D35" i="21"/>
  <c r="M59" i="22"/>
  <c r="B35" i="21" s="1"/>
  <c r="G82" i="63" s="1"/>
  <c r="L62" i="22"/>
  <c r="L583" i="94" s="1"/>
  <c r="L513" i="94"/>
  <c r="M57" i="22"/>
  <c r="M513" i="94" s="1"/>
  <c r="I499" i="94"/>
  <c r="I62" i="22"/>
  <c r="I583" i="94" s="1"/>
  <c r="M61" i="17"/>
  <c r="D37" i="16"/>
  <c r="F571" i="94"/>
  <c r="I529" i="94"/>
  <c r="I62" i="17"/>
  <c r="I585" i="94" s="1"/>
  <c r="D33" i="16"/>
  <c r="F515" i="94"/>
  <c r="F62" i="17"/>
  <c r="F585" i="94" s="1"/>
  <c r="I560" i="94"/>
  <c r="I567" i="94" s="1"/>
  <c r="I1104" i="94" s="1"/>
  <c r="M60" i="14"/>
  <c r="F546" i="94"/>
  <c r="D35" i="2"/>
  <c r="F62" i="14"/>
  <c r="F588" i="94" s="1"/>
  <c r="L518" i="94"/>
  <c r="M57" i="14"/>
  <c r="D39" i="65" s="1"/>
  <c r="L62" i="14"/>
  <c r="L588" i="94" s="1"/>
  <c r="I504" i="94"/>
  <c r="I62" i="14"/>
  <c r="I588" i="94" s="1"/>
  <c r="D42" i="47"/>
  <c r="D44" i="47" s="1"/>
  <c r="I20" i="97"/>
  <c r="D18" i="105"/>
  <c r="F261" i="94"/>
  <c r="I29" i="47"/>
  <c r="K637" i="94"/>
  <c r="G617" i="94"/>
  <c r="M65" i="14"/>
  <c r="M617" i="94" s="1"/>
  <c r="O65" i="14"/>
  <c r="L281" i="94"/>
  <c r="L31" i="27"/>
  <c r="L267" i="94" s="1"/>
  <c r="D717" i="94"/>
  <c r="U72" i="37"/>
  <c r="O72" i="37"/>
  <c r="S72" i="37" s="1"/>
  <c r="V83" i="65"/>
  <c r="M963" i="94"/>
  <c r="G714" i="94"/>
  <c r="U72" i="92"/>
  <c r="D212" i="94"/>
  <c r="M26" i="32"/>
  <c r="F339" i="94"/>
  <c r="M36" i="32"/>
  <c r="O18" i="97" s="1"/>
  <c r="F42" i="32"/>
  <c r="I35" i="94"/>
  <c r="M11" i="106"/>
  <c r="G806" i="94"/>
  <c r="M80" i="106"/>
  <c r="B57" i="105" s="1"/>
  <c r="F38" i="65"/>
  <c r="O13" i="106"/>
  <c r="M63" i="94"/>
  <c r="M13" i="84"/>
  <c r="M62" i="94" s="1"/>
  <c r="H960" i="94"/>
  <c r="M95" i="42"/>
  <c r="L733" i="94"/>
  <c r="M73" i="84"/>
  <c r="M733" i="94" s="1"/>
  <c r="K747" i="94"/>
  <c r="M74" i="84"/>
  <c r="Y74" i="84" s="1"/>
  <c r="D630" i="94"/>
  <c r="U66" i="92"/>
  <c r="M66" i="92"/>
  <c r="K471" i="94"/>
  <c r="K479" i="94" s="1"/>
  <c r="K1094" i="94" s="1"/>
  <c r="M50" i="92"/>
  <c r="K29" i="32"/>
  <c r="K254" i="94" s="1"/>
  <c r="K170" i="94"/>
  <c r="K18" i="32"/>
  <c r="K100" i="94" s="1"/>
  <c r="L29" i="47"/>
  <c r="L262" i="94" s="1"/>
  <c r="M36" i="47"/>
  <c r="V18" i="100" s="1"/>
  <c r="K62" i="47"/>
  <c r="K594" i="94" s="1"/>
  <c r="I347" i="94"/>
  <c r="B42" i="91"/>
  <c r="D102" i="90" s="1"/>
  <c r="M185" i="94"/>
  <c r="K22" i="100"/>
  <c r="Q22" i="106"/>
  <c r="G23" i="97"/>
  <c r="B459" i="94"/>
  <c r="D113" i="94"/>
  <c r="D18" i="17"/>
  <c r="D99" i="94" s="1"/>
  <c r="E89" i="22"/>
  <c r="E896" i="94" s="1"/>
  <c r="E868" i="94"/>
  <c r="D830" i="94"/>
  <c r="D84" i="42"/>
  <c r="F844" i="94"/>
  <c r="D60" i="41"/>
  <c r="F84" i="42"/>
  <c r="F858" i="94" s="1"/>
  <c r="H874" i="94"/>
  <c r="M87" i="42"/>
  <c r="K303" i="94"/>
  <c r="M33" i="84"/>
  <c r="D503" i="94"/>
  <c r="D62" i="92"/>
  <c r="D587" i="94" s="1"/>
  <c r="D29" i="31"/>
  <c r="F486" i="94"/>
  <c r="J477" i="94"/>
  <c r="M50" i="106"/>
  <c r="AB32" i="65" s="1"/>
  <c r="AB33" i="65" s="1"/>
  <c r="B818" i="94"/>
  <c r="D870" i="94"/>
  <c r="D89" i="17"/>
  <c r="D898" i="94" s="1"/>
  <c r="J869" i="94"/>
  <c r="J89" i="27"/>
  <c r="J897" i="94" s="1"/>
  <c r="K883" i="94"/>
  <c r="K89" i="27"/>
  <c r="K897" i="94" s="1"/>
  <c r="I849" i="94"/>
  <c r="M83" i="47"/>
  <c r="B60" i="46" s="1"/>
  <c r="I84" i="47"/>
  <c r="I863" i="94" s="1"/>
  <c r="F573" i="94"/>
  <c r="F62" i="92"/>
  <c r="F587" i="94" s="1"/>
  <c r="L545" i="94"/>
  <c r="M59" i="92"/>
  <c r="M545" i="94" s="1"/>
  <c r="I229" i="94"/>
  <c r="I29" i="42"/>
  <c r="I257" i="94" s="1"/>
  <c r="L187" i="94"/>
  <c r="M24" i="42"/>
  <c r="H412" i="94"/>
  <c r="H42" i="42"/>
  <c r="H44" i="42" s="1"/>
  <c r="H441" i="94" s="1"/>
  <c r="F398" i="94"/>
  <c r="F404" i="94" s="1"/>
  <c r="F1084" i="94" s="1"/>
  <c r="F42" i="42"/>
  <c r="F426" i="94" s="1"/>
  <c r="M40" i="42"/>
  <c r="M398" i="94" s="1"/>
  <c r="L370" i="94"/>
  <c r="L42" i="42"/>
  <c r="J356" i="94"/>
  <c r="M37" i="42"/>
  <c r="R28" i="42" s="1"/>
  <c r="M14" i="42"/>
  <c r="G73" i="94"/>
  <c r="D59" i="94"/>
  <c r="M13" i="42"/>
  <c r="P13" i="65" s="1"/>
  <c r="K17" i="94"/>
  <c r="K15" i="42"/>
  <c r="K87" i="94" s="1"/>
  <c r="M61" i="37"/>
  <c r="H576" i="94"/>
  <c r="K534" i="94"/>
  <c r="M58" i="37"/>
  <c r="K62" i="37"/>
  <c r="K590" i="94" s="1"/>
  <c r="E506" i="94"/>
  <c r="M56" i="37"/>
  <c r="E62" i="37"/>
  <c r="E590" i="94" s="1"/>
  <c r="I458" i="94"/>
  <c r="M47" i="37"/>
  <c r="G174" i="94"/>
  <c r="G29" i="37"/>
  <c r="G258" i="94" s="1"/>
  <c r="M24" i="37"/>
  <c r="K16" i="100" s="1"/>
  <c r="D188" i="94"/>
  <c r="E385" i="94"/>
  <c r="M39" i="37"/>
  <c r="Y16" i="100" s="1"/>
  <c r="L357" i="94"/>
  <c r="M37" i="37"/>
  <c r="J74" i="94"/>
  <c r="J15" i="37"/>
  <c r="J88" i="94" s="1"/>
  <c r="M14" i="37"/>
  <c r="N14" i="65" s="1"/>
  <c r="D33" i="46"/>
  <c r="D38" i="46" s="1"/>
  <c r="M515" i="94"/>
  <c r="M557" i="94"/>
  <c r="N59" i="65"/>
  <c r="F524" i="94"/>
  <c r="Y68" i="106"/>
  <c r="M664" i="94"/>
  <c r="M1023" i="94"/>
  <c r="D57" i="16"/>
  <c r="F798" i="94"/>
  <c r="D724" i="94"/>
  <c r="O73" i="22"/>
  <c r="F766" i="94"/>
  <c r="D53" i="21"/>
  <c r="H796" i="94"/>
  <c r="H84" i="22"/>
  <c r="H852" i="94" s="1"/>
  <c r="E817" i="94"/>
  <c r="M81" i="37"/>
  <c r="I831" i="94"/>
  <c r="I84" i="37"/>
  <c r="I859" i="94" s="1"/>
  <c r="L121" i="37"/>
  <c r="B21" i="38"/>
  <c r="G688" i="94"/>
  <c r="O70" i="42"/>
  <c r="S70" i="42" s="1"/>
  <c r="U70" i="42"/>
  <c r="F716" i="94"/>
  <c r="D49" i="41"/>
  <c r="G758" i="94"/>
  <c r="U75" i="42"/>
  <c r="M75" i="42"/>
  <c r="K772" i="94"/>
  <c r="K77" i="42"/>
  <c r="K786" i="94" s="1"/>
  <c r="G665" i="94"/>
  <c r="U68" i="47"/>
  <c r="F707" i="94"/>
  <c r="D48" i="46"/>
  <c r="P13" i="87"/>
  <c r="I2" i="87"/>
  <c r="L122" i="87"/>
  <c r="D37" i="91"/>
  <c r="E78" i="94"/>
  <c r="E15" i="47"/>
  <c r="M14" i="47"/>
  <c r="M78" i="94" s="1"/>
  <c r="M11" i="47"/>
  <c r="R11" i="65" s="1"/>
  <c r="K36" i="94"/>
  <c r="M10" i="47"/>
  <c r="R10" i="65" s="1"/>
  <c r="H22" i="94"/>
  <c r="M59" i="42"/>
  <c r="P41" i="65" s="1"/>
  <c r="K547" i="94"/>
  <c r="E62" i="42"/>
  <c r="E589" i="94" s="1"/>
  <c r="M57" i="42"/>
  <c r="E519" i="94"/>
  <c r="H473" i="94"/>
  <c r="M50" i="42"/>
  <c r="E457" i="94"/>
  <c r="M47" i="42"/>
  <c r="P29" i="65" s="1"/>
  <c r="K63" i="94"/>
  <c r="K15" i="106"/>
  <c r="K91" i="94" s="1"/>
  <c r="J820" i="94"/>
  <c r="M81" i="106"/>
  <c r="J84" i="106"/>
  <c r="J862" i="94" s="1"/>
  <c r="E89" i="17"/>
  <c r="E898" i="94" s="1"/>
  <c r="E102" i="71"/>
  <c r="E44" i="42"/>
  <c r="E441" i="94" s="1"/>
  <c r="G100" i="72"/>
  <c r="L31" i="87"/>
  <c r="D33" i="105"/>
  <c r="K29" i="106"/>
  <c r="K261" i="94" s="1"/>
  <c r="V55" i="65"/>
  <c r="G18" i="87"/>
  <c r="K35" i="71"/>
  <c r="C6" i="31" s="1"/>
  <c r="R18" i="99" s="1"/>
  <c r="J84" i="22"/>
  <c r="J852" i="94" s="1"/>
  <c r="C6" i="109"/>
  <c r="N22" i="101" s="1"/>
  <c r="D43" i="21"/>
  <c r="L104" i="71"/>
  <c r="M104" i="71" s="1"/>
  <c r="F31" i="63"/>
  <c r="G42" i="22"/>
  <c r="G420" i="94" s="1"/>
  <c r="F102" i="71"/>
  <c r="M548" i="94"/>
  <c r="M797" i="94"/>
  <c r="B57" i="26"/>
  <c r="F57" i="26" s="1"/>
  <c r="X42" i="106"/>
  <c r="F35" i="36"/>
  <c r="G85" i="63"/>
  <c r="L35" i="65"/>
  <c r="L14" i="100"/>
  <c r="J20" i="100"/>
  <c r="Q14" i="97"/>
  <c r="I110" i="71"/>
  <c r="I254" i="94"/>
  <c r="D18" i="36"/>
  <c r="R65" i="65"/>
  <c r="G2" i="36"/>
  <c r="C6" i="36" s="1"/>
  <c r="N18" i="101" s="1"/>
  <c r="N4" i="65"/>
  <c r="I8" i="105"/>
  <c r="H23" i="98" s="1"/>
  <c r="B36" i="105"/>
  <c r="D64" i="104" s="1"/>
  <c r="AB42" i="65"/>
  <c r="M230" i="94"/>
  <c r="O13" i="84"/>
  <c r="X28" i="37"/>
  <c r="M176" i="94"/>
  <c r="N16" i="100"/>
  <c r="Q22" i="84"/>
  <c r="F42" i="91"/>
  <c r="K42" i="91" s="1"/>
  <c r="L42" i="91" s="1"/>
  <c r="M368" i="94"/>
  <c r="M105" i="71"/>
  <c r="B23" i="2"/>
  <c r="D59" i="1" s="1"/>
  <c r="M355" i="94"/>
  <c r="B26" i="26"/>
  <c r="E26" i="26" s="1"/>
  <c r="M937" i="94"/>
  <c r="L96" i="71"/>
  <c r="D110" i="90"/>
  <c r="L20" i="100"/>
  <c r="D29" i="65"/>
  <c r="D8" i="103" s="1"/>
  <c r="R23" i="97"/>
  <c r="AB13" i="65"/>
  <c r="B33" i="83"/>
  <c r="E72" i="26"/>
  <c r="B35" i="91"/>
  <c r="D63" i="90" s="1"/>
  <c r="M224" i="94"/>
  <c r="M388" i="94"/>
  <c r="B32" i="31"/>
  <c r="F32" i="31" s="1"/>
  <c r="V38" i="65"/>
  <c r="F18" i="95"/>
  <c r="B65" i="105"/>
  <c r="L38" i="65"/>
  <c r="R15" i="97"/>
  <c r="R38" i="65"/>
  <c r="AB71" i="65"/>
  <c r="B29" i="105"/>
  <c r="D67" i="104" s="1"/>
  <c r="J63" i="65"/>
  <c r="M565" i="94"/>
  <c r="E426" i="94"/>
  <c r="J77" i="87"/>
  <c r="D51" i="94"/>
  <c r="D1056" i="94" s="1"/>
  <c r="M108" i="71"/>
  <c r="Y72" i="84"/>
  <c r="B527" i="94"/>
  <c r="B322" i="94"/>
  <c r="B968" i="94"/>
  <c r="B583" i="94"/>
  <c r="B824" i="94"/>
  <c r="B25" i="94"/>
  <c r="B483" i="94"/>
  <c r="B467" i="94"/>
  <c r="B569" i="94"/>
  <c r="G51" i="94"/>
  <c r="G1056" i="94" s="1"/>
  <c r="L122" i="114"/>
  <c r="G15" i="118"/>
  <c r="L116" i="62"/>
  <c r="D66" i="21"/>
  <c r="D675" i="94"/>
  <c r="J89" i="114"/>
  <c r="M106" i="71"/>
  <c r="P4" i="65"/>
  <c r="B614" i="94"/>
  <c r="B529" i="94"/>
  <c r="B840" i="94"/>
  <c r="B884" i="94"/>
  <c r="B11" i="94"/>
  <c r="P13" i="118"/>
  <c r="J2" i="114"/>
  <c r="K100" i="72"/>
  <c r="E165" i="94"/>
  <c r="E1066" i="94" s="1"/>
  <c r="D35" i="105"/>
  <c r="G102" i="71"/>
  <c r="G110" i="71" s="1"/>
  <c r="O21" i="97"/>
  <c r="M70" i="42"/>
  <c r="B47" i="41" s="1"/>
  <c r="B571" i="94"/>
  <c r="B712" i="94"/>
  <c r="B870" i="94"/>
  <c r="B237" i="94"/>
  <c r="B738" i="94"/>
  <c r="B954" i="94"/>
  <c r="B139" i="94"/>
  <c r="O72" i="27"/>
  <c r="O72" i="22"/>
  <c r="S72" i="22" s="1"/>
  <c r="B70" i="94"/>
  <c r="B1018" i="94"/>
  <c r="B515" i="94"/>
  <c r="B557" i="94"/>
  <c r="B99" i="94"/>
  <c r="B1032" i="94"/>
  <c r="B555" i="94"/>
  <c r="I51" i="94"/>
  <c r="I1056" i="94" s="1"/>
  <c r="D84" i="17"/>
  <c r="D854" i="94" s="1"/>
  <c r="H89" i="22"/>
  <c r="H896" i="94" s="1"/>
  <c r="F871" i="94"/>
  <c r="L116" i="118"/>
  <c r="H97" i="71"/>
  <c r="H110" i="71" s="1"/>
  <c r="D35" i="51"/>
  <c r="I18" i="17"/>
  <c r="I99" i="94" s="1"/>
  <c r="U74" i="22"/>
  <c r="B366" i="94"/>
  <c r="B585" i="94"/>
  <c r="B882" i="94"/>
  <c r="B378" i="94"/>
  <c r="B81" i="94"/>
  <c r="B294" i="94"/>
  <c r="O73" i="32"/>
  <c r="S73" i="32" s="1"/>
  <c r="P13" i="32"/>
  <c r="O13" i="32" s="1"/>
  <c r="E89" i="37"/>
  <c r="E903" i="94" s="1"/>
  <c r="B670" i="94"/>
  <c r="B656" i="94"/>
  <c r="B768" i="94"/>
  <c r="B684" i="94"/>
  <c r="B197" i="94"/>
  <c r="D53" i="36"/>
  <c r="B780" i="94"/>
  <c r="D50" i="31"/>
  <c r="H89" i="110"/>
  <c r="D89" i="114"/>
  <c r="B668" i="94"/>
  <c r="B752" i="94"/>
  <c r="B223" i="94"/>
  <c r="B39" i="94"/>
  <c r="S69" i="42"/>
  <c r="B364" i="94"/>
  <c r="B698" i="94"/>
  <c r="B380" i="94"/>
  <c r="B127" i="94"/>
  <c r="B211" i="94"/>
  <c r="B854" i="94"/>
  <c r="B774" i="94"/>
  <c r="B400" i="94"/>
  <c r="B904" i="94"/>
  <c r="L116" i="22"/>
  <c r="L116" i="32"/>
  <c r="O70" i="37"/>
  <c r="S70" i="37" s="1"/>
  <c r="F84" i="27"/>
  <c r="F853" i="94" s="1"/>
  <c r="E110" i="37"/>
  <c r="J84" i="47"/>
  <c r="J863" i="94" s="1"/>
  <c r="B1030" i="94"/>
  <c r="I2" i="22"/>
  <c r="B53" i="94"/>
  <c r="B996" i="94"/>
  <c r="B251" i="94"/>
  <c r="B111" i="94"/>
  <c r="B599" i="94"/>
  <c r="B296" i="94"/>
  <c r="B13" i="94"/>
  <c r="D53" i="31"/>
  <c r="H51" i="94"/>
  <c r="H1056" i="94" s="1"/>
  <c r="D58" i="31"/>
  <c r="O71" i="114"/>
  <c r="S71" i="114" s="1"/>
  <c r="J18" i="22"/>
  <c r="J97" i="94" s="1"/>
  <c r="H89" i="42"/>
  <c r="H902" i="94" s="1"/>
  <c r="I2" i="17"/>
  <c r="B740" i="94"/>
  <c r="B597" i="94"/>
  <c r="B626" i="94"/>
  <c r="B266" i="94"/>
  <c r="B209" i="94"/>
  <c r="B406" i="94"/>
  <c r="B202" i="94"/>
  <c r="B548" i="94"/>
  <c r="B689" i="94"/>
  <c r="B104" i="94"/>
  <c r="B315" i="94"/>
  <c r="B831" i="94"/>
  <c r="B773" i="94"/>
  <c r="D52" i="26"/>
  <c r="B181" i="94"/>
  <c r="B926" i="94"/>
  <c r="B113" i="94"/>
  <c r="B183" i="94"/>
  <c r="B605" i="94"/>
  <c r="B358" i="94"/>
  <c r="M51" i="94"/>
  <c r="M1056" i="94" s="1"/>
  <c r="F51" i="94"/>
  <c r="F1056" i="94" s="1"/>
  <c r="K51" i="94"/>
  <c r="K1056" i="94" s="1"/>
  <c r="F840" i="94"/>
  <c r="P75" i="22"/>
  <c r="O67" i="42"/>
  <c r="S67" i="42" s="1"/>
  <c r="B355" i="94"/>
  <c r="O66" i="106"/>
  <c r="S66" i="106" s="1"/>
  <c r="E89" i="106"/>
  <c r="E906" i="94" s="1"/>
  <c r="B261" i="94"/>
  <c r="V70" i="65"/>
  <c r="B913" i="94"/>
  <c r="B27" i="94"/>
  <c r="B97" i="94"/>
  <c r="B541" i="94"/>
  <c r="B336" i="94"/>
  <c r="B710" i="94"/>
  <c r="B640" i="94"/>
  <c r="B612" i="94"/>
  <c r="B153" i="94"/>
  <c r="B282" i="94"/>
  <c r="B435" i="94"/>
  <c r="B782" i="94"/>
  <c r="B558" i="94"/>
  <c r="B288" i="94"/>
  <c r="L118" i="22"/>
  <c r="L116" i="42"/>
  <c r="D73" i="105"/>
  <c r="B374" i="94"/>
  <c r="I89" i="114"/>
  <c r="I429" i="94"/>
  <c r="I44" i="84"/>
  <c r="I444" i="94" s="1"/>
  <c r="K127" i="94"/>
  <c r="K18" i="17"/>
  <c r="K99" i="94" s="1"/>
  <c r="H77" i="22"/>
  <c r="H780" i="94" s="1"/>
  <c r="H612" i="94"/>
  <c r="E128" i="94"/>
  <c r="E18" i="32"/>
  <c r="E100" i="94" s="1"/>
  <c r="L115" i="47"/>
  <c r="P75" i="47"/>
  <c r="L819" i="94"/>
  <c r="L84" i="84"/>
  <c r="L861" i="94" s="1"/>
  <c r="L110" i="84"/>
  <c r="G891" i="94"/>
  <c r="G89" i="84"/>
  <c r="G905" i="94" s="1"/>
  <c r="M88" i="84"/>
  <c r="M891" i="94" s="1"/>
  <c r="G227" i="94"/>
  <c r="G235" i="94" s="1"/>
  <c r="G1071" i="94" s="1"/>
  <c r="G29" i="92"/>
  <c r="G255" i="94" s="1"/>
  <c r="J218" i="94"/>
  <c r="J221" i="94" s="1"/>
  <c r="J1070" i="94" s="1"/>
  <c r="M26" i="84"/>
  <c r="J29" i="84"/>
  <c r="J260" i="94" s="1"/>
  <c r="E190" i="94"/>
  <c r="E29" i="84"/>
  <c r="E260" i="94" s="1"/>
  <c r="M24" i="84"/>
  <c r="E110" i="84"/>
  <c r="H401" i="94"/>
  <c r="H42" i="84"/>
  <c r="H429" i="94" s="1"/>
  <c r="H454" i="94"/>
  <c r="M47" i="32"/>
  <c r="D240" i="94"/>
  <c r="D249" i="94" s="1"/>
  <c r="D1072" i="94" s="1"/>
  <c r="M28" i="32"/>
  <c r="D29" i="32"/>
  <c r="D254" i="94" s="1"/>
  <c r="G242" i="94"/>
  <c r="G29" i="14"/>
  <c r="G256" i="94" s="1"/>
  <c r="L748" i="94"/>
  <c r="M74" i="106"/>
  <c r="AB57" i="65" s="1"/>
  <c r="L77" i="106"/>
  <c r="L790" i="94" s="1"/>
  <c r="L99" i="71"/>
  <c r="K110" i="71"/>
  <c r="Z18" i="100"/>
  <c r="S13" i="97"/>
  <c r="Z17" i="100"/>
  <c r="E847" i="94"/>
  <c r="E84" i="84"/>
  <c r="E861" i="94" s="1"/>
  <c r="J672" i="94"/>
  <c r="J77" i="92"/>
  <c r="J784" i="94" s="1"/>
  <c r="J241" i="94"/>
  <c r="M28" i="92"/>
  <c r="J29" i="92"/>
  <c r="K415" i="94"/>
  <c r="K42" i="84"/>
  <c r="M41" i="84"/>
  <c r="M415" i="94" s="1"/>
  <c r="E387" i="94"/>
  <c r="M39" i="84"/>
  <c r="E42" i="84"/>
  <c r="E429" i="94" s="1"/>
  <c r="J470" i="94"/>
  <c r="M50" i="32"/>
  <c r="F170" i="94"/>
  <c r="F29" i="32"/>
  <c r="F44" i="32" s="1"/>
  <c r="F438" i="94" s="1"/>
  <c r="I8" i="31"/>
  <c r="H158" i="94"/>
  <c r="M22" i="14"/>
  <c r="I11" i="100" s="1"/>
  <c r="J51" i="94"/>
  <c r="J1056" i="94" s="1"/>
  <c r="D155" i="94"/>
  <c r="M22" i="17"/>
  <c r="I294" i="94"/>
  <c r="I31" i="22"/>
  <c r="I266" i="94" s="1"/>
  <c r="M40" i="84"/>
  <c r="G701" i="94"/>
  <c r="U71" i="14"/>
  <c r="E815" i="94"/>
  <c r="E110" i="14"/>
  <c r="M19" i="17"/>
  <c r="F113" i="94"/>
  <c r="I740" i="94"/>
  <c r="I750" i="94" s="1"/>
  <c r="I1119" i="94" s="1"/>
  <c r="I77" i="17"/>
  <c r="I782" i="94" s="1"/>
  <c r="H738" i="94"/>
  <c r="M74" i="22"/>
  <c r="L726" i="94"/>
  <c r="M73" i="17"/>
  <c r="J956" i="94"/>
  <c r="J966" i="94" s="1"/>
  <c r="J1140" i="94" s="1"/>
  <c r="M95" i="17"/>
  <c r="D111" i="94"/>
  <c r="D18" i="22"/>
  <c r="D97" i="94" s="1"/>
  <c r="B33" i="36"/>
  <c r="D61" i="35" s="1"/>
  <c r="N39" i="65"/>
  <c r="M520" i="94"/>
  <c r="L44" i="32"/>
  <c r="L438" i="94" s="1"/>
  <c r="L423" i="94"/>
  <c r="G682" i="94"/>
  <c r="O70" i="22"/>
  <c r="S70" i="22" s="1"/>
  <c r="M164" i="94"/>
  <c r="I18" i="100"/>
  <c r="N17" i="100"/>
  <c r="K13" i="97"/>
  <c r="X28" i="42"/>
  <c r="M229" i="94"/>
  <c r="J868" i="94"/>
  <c r="M87" i="22"/>
  <c r="B64" i="21" s="1"/>
  <c r="F64" i="21" s="1"/>
  <c r="B47" i="46"/>
  <c r="D106" i="45" s="1"/>
  <c r="Y70" i="47"/>
  <c r="M380" i="94"/>
  <c r="R19" i="97"/>
  <c r="Y12" i="100"/>
  <c r="I8" i="16"/>
  <c r="M678" i="94"/>
  <c r="AB52" i="65"/>
  <c r="B46" i="105"/>
  <c r="K743" i="94"/>
  <c r="K77" i="14"/>
  <c r="K785" i="94" s="1"/>
  <c r="M74" i="14"/>
  <c r="D65" i="16"/>
  <c r="D66" i="16" s="1"/>
  <c r="F884" i="94"/>
  <c r="F89" i="17"/>
  <c r="F898" i="94" s="1"/>
  <c r="I810" i="94"/>
  <c r="I84" i="22"/>
  <c r="I852" i="94" s="1"/>
  <c r="J824" i="94"/>
  <c r="M82" i="22"/>
  <c r="M64" i="94"/>
  <c r="R13" i="65"/>
  <c r="O13" i="47"/>
  <c r="B13" i="46"/>
  <c r="I8" i="21"/>
  <c r="O16" i="101" s="1"/>
  <c r="L631" i="94"/>
  <c r="L638" i="94" s="1"/>
  <c r="L1111" i="94" s="1"/>
  <c r="L77" i="14"/>
  <c r="L785" i="94" s="1"/>
  <c r="D659" i="94"/>
  <c r="U68" i="14"/>
  <c r="D77" i="14"/>
  <c r="D785" i="94" s="1"/>
  <c r="O68" i="14"/>
  <c r="D9" i="95" s="1"/>
  <c r="J729" i="94"/>
  <c r="J77" i="14"/>
  <c r="J785" i="94" s="1"/>
  <c r="L812" i="94"/>
  <c r="L84" i="17"/>
  <c r="L854" i="94" s="1"/>
  <c r="AA23" i="100"/>
  <c r="M416" i="94"/>
  <c r="T23" i="97"/>
  <c r="H39" i="65"/>
  <c r="B33" i="21"/>
  <c r="E82" i="63" s="1"/>
  <c r="E74" i="46"/>
  <c r="D86" i="63"/>
  <c r="D66" i="25"/>
  <c r="X46" i="27"/>
  <c r="B36" i="2"/>
  <c r="M522" i="94"/>
  <c r="B262" i="94"/>
  <c r="B145" i="94"/>
  <c r="B505" i="94"/>
  <c r="B229" i="94"/>
  <c r="B874" i="94"/>
  <c r="B489" i="94"/>
  <c r="B830" i="94"/>
  <c r="F97" i="71"/>
  <c r="M665" i="94"/>
  <c r="B36" i="94"/>
  <c r="B201" i="94"/>
  <c r="B960" i="94"/>
  <c r="B816" i="94"/>
  <c r="B314" i="94"/>
  <c r="B519" i="94"/>
  <c r="B858" i="94"/>
  <c r="I8" i="113"/>
  <c r="C6" i="113"/>
  <c r="F32" i="41"/>
  <c r="D63" i="35"/>
  <c r="F33" i="2"/>
  <c r="B951" i="94"/>
  <c r="B589" i="94"/>
  <c r="B17" i="94"/>
  <c r="A13" i="57"/>
  <c r="B618" i="94"/>
  <c r="B547" i="94"/>
  <c r="B888" i="94"/>
  <c r="B510" i="94"/>
  <c r="M96" i="14"/>
  <c r="D84" i="65" s="1"/>
  <c r="F726" i="94"/>
  <c r="E15" i="42"/>
  <c r="E59" i="94"/>
  <c r="H44" i="92"/>
  <c r="H439" i="94" s="1"/>
  <c r="K89" i="14"/>
  <c r="K901" i="94" s="1"/>
  <c r="K18" i="27"/>
  <c r="K98" i="94" s="1"/>
  <c r="J110" i="71"/>
  <c r="B36" i="21"/>
  <c r="P11" i="97"/>
  <c r="B33" i="2"/>
  <c r="M364" i="94"/>
  <c r="H44" i="27"/>
  <c r="H436" i="94" s="1"/>
  <c r="S67" i="22"/>
  <c r="M81" i="17"/>
  <c r="F64" i="65" s="1"/>
  <c r="M979" i="94"/>
  <c r="D60" i="30"/>
  <c r="D81" i="63"/>
  <c r="M244" i="94"/>
  <c r="B29" i="31"/>
  <c r="J55" i="63" s="1"/>
  <c r="M555" i="94"/>
  <c r="M518" i="94"/>
  <c r="M562" i="94"/>
  <c r="B33" i="41"/>
  <c r="F65" i="46"/>
  <c r="B533" i="94"/>
  <c r="B187" i="94"/>
  <c r="B441" i="94"/>
  <c r="B328" i="94"/>
  <c r="B632" i="94"/>
  <c r="B974" i="94"/>
  <c r="D31" i="17"/>
  <c r="D268" i="94" s="1"/>
  <c r="L118" i="17"/>
  <c r="M150" i="94"/>
  <c r="D66" i="46"/>
  <c r="D84" i="63"/>
  <c r="D60" i="15"/>
  <c r="H44" i="106"/>
  <c r="L15" i="97"/>
  <c r="E73" i="31"/>
  <c r="D103" i="104"/>
  <c r="S18" i="97"/>
  <c r="N42" i="65"/>
  <c r="M177" i="94"/>
  <c r="B758" i="94"/>
  <c r="B243" i="94"/>
  <c r="B674" i="94"/>
  <c r="B342" i="94"/>
  <c r="B660" i="94"/>
  <c r="B1002" i="94"/>
  <c r="D89" i="14"/>
  <c r="D901" i="94" s="1"/>
  <c r="K89" i="17"/>
  <c r="K898" i="94" s="1"/>
  <c r="F703" i="94"/>
  <c r="D48" i="36"/>
  <c r="D44" i="83"/>
  <c r="F649" i="94"/>
  <c r="S72" i="47"/>
  <c r="G44" i="47"/>
  <c r="G446" i="94" s="1"/>
  <c r="F44" i="106"/>
  <c r="F445" i="94" s="1"/>
  <c r="B370" i="94"/>
  <c r="B473" i="94"/>
  <c r="B902" i="94"/>
  <c r="B561" i="94"/>
  <c r="B688" i="94"/>
  <c r="B1036" i="94"/>
  <c r="J249" i="94"/>
  <c r="J1072" i="94" s="1"/>
  <c r="I44" i="92"/>
  <c r="I439" i="94" s="1"/>
  <c r="S71" i="17"/>
  <c r="B730" i="94"/>
  <c r="B932" i="94"/>
  <c r="B257" i="94"/>
  <c r="B786" i="94"/>
  <c r="B716" i="94"/>
  <c r="P13" i="42"/>
  <c r="O13" i="42" s="1"/>
  <c r="L115" i="17"/>
  <c r="F26" i="26"/>
  <c r="B988" i="94"/>
  <c r="B215" i="94"/>
  <c r="B59" i="94"/>
  <c r="B300" i="94"/>
  <c r="B1022" i="94"/>
  <c r="B744" i="94"/>
  <c r="M14" i="118"/>
  <c r="B14" i="117" s="1"/>
  <c r="F14" i="117" s="1"/>
  <c r="N41" i="65"/>
  <c r="F292" i="94"/>
  <c r="F1076" i="94" s="1"/>
  <c r="B31" i="94"/>
  <c r="B286" i="94"/>
  <c r="B117" i="94"/>
  <c r="B412" i="94"/>
  <c r="B426" i="94"/>
  <c r="M21" i="14"/>
  <c r="H11" i="100" s="1"/>
  <c r="L117" i="22"/>
  <c r="J71" i="71"/>
  <c r="L101" i="71"/>
  <c r="M101" i="71" s="1"/>
  <c r="H84" i="84"/>
  <c r="H861" i="94" s="1"/>
  <c r="E89" i="87"/>
  <c r="M11" i="92"/>
  <c r="H390" i="94"/>
  <c r="H1083" i="94" s="1"/>
  <c r="H15" i="87"/>
  <c r="B720" i="94"/>
  <c r="I21" i="57"/>
  <c r="K48" i="71"/>
  <c r="L84" i="47"/>
  <c r="L863" i="94" s="1"/>
  <c r="B834" i="94"/>
  <c r="I62" i="114"/>
  <c r="O65" i="118"/>
  <c r="S65" i="118" s="1"/>
  <c r="G89" i="118"/>
  <c r="L118" i="32"/>
  <c r="L118" i="37"/>
  <c r="L119" i="47"/>
  <c r="B987" i="94"/>
  <c r="U65" i="84"/>
  <c r="G29" i="87"/>
  <c r="L42" i="37"/>
  <c r="L427" i="94" s="1"/>
  <c r="B950" i="94"/>
  <c r="O73" i="114"/>
  <c r="S73" i="114" s="1"/>
  <c r="L121" i="62"/>
  <c r="F685" i="94"/>
  <c r="F77" i="32"/>
  <c r="F783" i="94" s="1"/>
  <c r="K42" i="87"/>
  <c r="M53" i="42"/>
  <c r="P35" i="65" s="1"/>
  <c r="H62" i="17"/>
  <c r="H585" i="94" s="1"/>
  <c r="U67" i="32"/>
  <c r="L666" i="94"/>
  <c r="L1113" i="94" s="1"/>
  <c r="D18" i="37"/>
  <c r="D104" i="94" s="1"/>
  <c r="H77" i="42"/>
  <c r="H786" i="94" s="1"/>
  <c r="F29" i="14"/>
  <c r="D18" i="2" s="1"/>
  <c r="H89" i="114"/>
  <c r="K16" i="71"/>
  <c r="L118" i="27"/>
  <c r="G193" i="94"/>
  <c r="G1068" i="94" s="1"/>
  <c r="M59" i="32"/>
  <c r="B936" i="94"/>
  <c r="L122" i="110"/>
  <c r="L121" i="118"/>
  <c r="E15" i="114"/>
  <c r="I15" i="114"/>
  <c r="L15" i="114"/>
  <c r="E29" i="114"/>
  <c r="M33" i="114"/>
  <c r="M27" i="118"/>
  <c r="E31" i="118"/>
  <c r="M33" i="118"/>
  <c r="J31" i="118"/>
  <c r="M41" i="118"/>
  <c r="M47" i="118"/>
  <c r="B23" i="117" s="1"/>
  <c r="D59" i="116" s="1"/>
  <c r="K54" i="71"/>
  <c r="C6" i="51" s="1"/>
  <c r="K77" i="27"/>
  <c r="K781" i="94" s="1"/>
  <c r="L116" i="27"/>
  <c r="G84" i="27"/>
  <c r="G853" i="94" s="1"/>
  <c r="D66" i="26"/>
  <c r="M97" i="37"/>
  <c r="F31" i="42"/>
  <c r="F272" i="94" s="1"/>
  <c r="E874" i="94"/>
  <c r="E18" i="84"/>
  <c r="E106" i="94" s="1"/>
  <c r="M28" i="87"/>
  <c r="M19" i="114"/>
  <c r="F29" i="114"/>
  <c r="D18" i="113" s="1"/>
  <c r="O66" i="114"/>
  <c r="S66" i="114" s="1"/>
  <c r="H15" i="118"/>
  <c r="M11" i="118"/>
  <c r="B11" i="117" s="1"/>
  <c r="F11" i="117" s="1"/>
  <c r="F29" i="118"/>
  <c r="D18" i="117" s="1"/>
  <c r="I29" i="118"/>
  <c r="F31" i="118"/>
  <c r="M66" i="118"/>
  <c r="B43" i="117" s="1"/>
  <c r="F43" i="117" s="1"/>
  <c r="K43" i="117" s="1"/>
  <c r="L43" i="117" s="1"/>
  <c r="M67" i="118"/>
  <c r="E75" i="117" s="1"/>
  <c r="M69" i="118"/>
  <c r="B46" i="117" s="1"/>
  <c r="F46" i="117" s="1"/>
  <c r="L119" i="118"/>
  <c r="M22" i="42"/>
  <c r="U74" i="87"/>
  <c r="L116" i="87"/>
  <c r="B149" i="94"/>
  <c r="J18" i="118"/>
  <c r="M53" i="118"/>
  <c r="G62" i="118"/>
  <c r="M57" i="118"/>
  <c r="B33" i="117" s="1"/>
  <c r="D61" i="116" s="1"/>
  <c r="I8" i="109"/>
  <c r="O22" i="101" s="1"/>
  <c r="J31" i="32"/>
  <c r="J269" i="94" s="1"/>
  <c r="L117" i="37"/>
  <c r="M19" i="84"/>
  <c r="L116" i="92"/>
  <c r="L116" i="114"/>
  <c r="L117" i="32"/>
  <c r="L121" i="47"/>
  <c r="J42" i="42"/>
  <c r="B493" i="94"/>
  <c r="O70" i="110"/>
  <c r="S70" i="110" s="1"/>
  <c r="M83" i="118"/>
  <c r="B60" i="117" s="1"/>
  <c r="F60" i="117" s="1"/>
  <c r="L553" i="94"/>
  <c r="L1103" i="94" s="1"/>
  <c r="E15" i="118"/>
  <c r="M28" i="118"/>
  <c r="M73" i="118"/>
  <c r="B50" i="117" s="1"/>
  <c r="F50" i="117" s="1"/>
  <c r="K50" i="117" s="1"/>
  <c r="M50" i="117" s="1"/>
  <c r="I84" i="118"/>
  <c r="L74" i="71"/>
  <c r="I8" i="117" s="1"/>
  <c r="E29" i="87"/>
  <c r="M11" i="87"/>
  <c r="M94" i="87"/>
  <c r="M22" i="87"/>
  <c r="J89" i="87"/>
  <c r="K15" i="87"/>
  <c r="H18" i="87"/>
  <c r="M71" i="87"/>
  <c r="L117" i="87"/>
  <c r="M96" i="87"/>
  <c r="H42" i="87"/>
  <c r="M73" i="87"/>
  <c r="M23" i="87"/>
  <c r="I29" i="87"/>
  <c r="M57" i="87"/>
  <c r="D62" i="87"/>
  <c r="E62" i="87"/>
  <c r="K89" i="87"/>
  <c r="F84" i="87"/>
  <c r="G84" i="87"/>
  <c r="I18" i="87"/>
  <c r="L119" i="87"/>
  <c r="E42" i="87"/>
  <c r="I77" i="87"/>
  <c r="U68" i="87"/>
  <c r="M34" i="87"/>
  <c r="G31" i="87"/>
  <c r="E31" i="87"/>
  <c r="U75" i="87"/>
  <c r="G15" i="87"/>
  <c r="M83" i="87"/>
  <c r="I89" i="87"/>
  <c r="M14" i="87"/>
  <c r="M27" i="87"/>
  <c r="F62" i="87"/>
  <c r="F15" i="87"/>
  <c r="G62" i="87"/>
  <c r="E76" i="86"/>
  <c r="J320" i="94"/>
  <c r="J1078" i="94" s="1"/>
  <c r="M39" i="87"/>
  <c r="E539" i="94"/>
  <c r="E1102" i="94" s="1"/>
  <c r="H62" i="87"/>
  <c r="F77" i="87"/>
  <c r="F89" i="87"/>
  <c r="J29" i="87"/>
  <c r="K495" i="94"/>
  <c r="K1097" i="94" s="1"/>
  <c r="M47" i="87"/>
  <c r="J62" i="87"/>
  <c r="D29" i="87"/>
  <c r="L29" i="87"/>
  <c r="I15" i="87"/>
  <c r="D31" i="87"/>
  <c r="G404" i="94"/>
  <c r="G1084" i="94" s="1"/>
  <c r="M24" i="87"/>
  <c r="M81" i="87"/>
  <c r="O72" i="87"/>
  <c r="S72" i="87" s="1"/>
  <c r="M70" i="87"/>
  <c r="F235" i="94"/>
  <c r="F1071" i="94" s="1"/>
  <c r="G77" i="87"/>
  <c r="O70" i="87"/>
  <c r="S70" i="87" s="1"/>
  <c r="O68" i="87"/>
  <c r="F20" i="95" s="1"/>
  <c r="E966" i="94"/>
  <c r="E1140" i="94" s="1"/>
  <c r="D15" i="86"/>
  <c r="L179" i="94"/>
  <c r="L1067" i="94" s="1"/>
  <c r="L118" i="87"/>
  <c r="K638" i="94"/>
  <c r="K1111" i="94" s="1"/>
  <c r="E77" i="87"/>
  <c r="U72" i="87"/>
  <c r="M87" i="87"/>
  <c r="O67" i="87"/>
  <c r="S67" i="87" s="1"/>
  <c r="F29" i="87"/>
  <c r="M13" i="87"/>
  <c r="U67" i="87"/>
  <c r="F42" i="87"/>
  <c r="AA6" i="65"/>
  <c r="AA7" i="65" s="1"/>
  <c r="G21" i="98"/>
  <c r="I8" i="36"/>
  <c r="H16" i="98" s="1"/>
  <c r="H21" i="98"/>
  <c r="O14" i="101"/>
  <c r="O71" i="110"/>
  <c r="S71" i="110" s="1"/>
  <c r="J89" i="110"/>
  <c r="M88" i="110"/>
  <c r="B65" i="109" s="1"/>
  <c r="F65" i="109" s="1"/>
  <c r="M21" i="110"/>
  <c r="M32" i="110"/>
  <c r="K89" i="110"/>
  <c r="E31" i="110"/>
  <c r="G89" i="110"/>
  <c r="G15" i="110"/>
  <c r="U68" i="110"/>
  <c r="L120" i="110"/>
  <c r="O67" i="110"/>
  <c r="S67" i="110" s="1"/>
  <c r="M25" i="110"/>
  <c r="I89" i="110"/>
  <c r="K46" i="117"/>
  <c r="L46" i="117" s="1"/>
  <c r="D109" i="116"/>
  <c r="E44" i="91"/>
  <c r="D104" i="90"/>
  <c r="R54" i="65"/>
  <c r="B48" i="46"/>
  <c r="Q13" i="97"/>
  <c r="X25" i="27"/>
  <c r="Y14" i="100"/>
  <c r="R12" i="97"/>
  <c r="N11" i="65"/>
  <c r="M32" i="94"/>
  <c r="B11" i="36"/>
  <c r="U67" i="42"/>
  <c r="K713" i="94"/>
  <c r="K110" i="32"/>
  <c r="J89" i="118"/>
  <c r="G84" i="62"/>
  <c r="G860" i="94" s="1"/>
  <c r="G804" i="94"/>
  <c r="M707" i="94"/>
  <c r="E376" i="94"/>
  <c r="E1082" i="94" s="1"/>
  <c r="H110" i="27"/>
  <c r="P15" i="97"/>
  <c r="W16" i="100"/>
  <c r="M357" i="94"/>
  <c r="X34" i="42"/>
  <c r="X45" i="42"/>
  <c r="M356" i="94"/>
  <c r="M345" i="94"/>
  <c r="V22" i="65"/>
  <c r="G752" i="94"/>
  <c r="G77" i="22"/>
  <c r="G780" i="94" s="1"/>
  <c r="F796" i="94"/>
  <c r="D57" i="21"/>
  <c r="F84" i="22"/>
  <c r="F852" i="94" s="1"/>
  <c r="I808" i="94"/>
  <c r="I1125" i="94" s="1"/>
  <c r="I84" i="87"/>
  <c r="H129" i="94"/>
  <c r="M20" i="92"/>
  <c r="E552" i="94"/>
  <c r="E62" i="47"/>
  <c r="E594" i="94" s="1"/>
  <c r="M59" i="47"/>
  <c r="I133" i="94"/>
  <c r="I18" i="62"/>
  <c r="I105" i="94" s="1"/>
  <c r="H15" i="62"/>
  <c r="H89" i="94" s="1"/>
  <c r="H19" i="94"/>
  <c r="G31" i="118"/>
  <c r="E525" i="94"/>
  <c r="E1101" i="94" s="1"/>
  <c r="Q22" i="17"/>
  <c r="M650" i="94"/>
  <c r="Y67" i="106"/>
  <c r="E92" i="94"/>
  <c r="G280" i="94"/>
  <c r="G292" i="94" s="1"/>
  <c r="G1076" i="94" s="1"/>
  <c r="G31" i="22"/>
  <c r="G266" i="94" s="1"/>
  <c r="M32" i="22"/>
  <c r="D697" i="94"/>
  <c r="O71" i="27"/>
  <c r="S71" i="27" s="1"/>
  <c r="L722" i="94"/>
  <c r="L1117" i="94" s="1"/>
  <c r="M72" i="87"/>
  <c r="J77" i="118"/>
  <c r="K890" i="94"/>
  <c r="K89" i="62"/>
  <c r="K904" i="94" s="1"/>
  <c r="J31" i="62"/>
  <c r="J274" i="94" s="1"/>
  <c r="G110" i="62"/>
  <c r="Y73" i="47"/>
  <c r="B53" i="46"/>
  <c r="R59" i="65"/>
  <c r="M571" i="94"/>
  <c r="I44" i="27"/>
  <c r="I436" i="94" s="1"/>
  <c r="AB50" i="65"/>
  <c r="F593" i="94"/>
  <c r="M155" i="94"/>
  <c r="I12" i="100"/>
  <c r="F32" i="83"/>
  <c r="D60" i="82"/>
  <c r="M80" i="87"/>
  <c r="M290" i="94"/>
  <c r="R23" i="100"/>
  <c r="L821" i="94"/>
  <c r="K905" i="94"/>
  <c r="M66" i="17"/>
  <c r="E628" i="94"/>
  <c r="K868" i="94"/>
  <c r="K89" i="22"/>
  <c r="K896" i="94" s="1"/>
  <c r="L89" i="22"/>
  <c r="L896" i="94" s="1"/>
  <c r="L882" i="94"/>
  <c r="O66" i="27"/>
  <c r="S66" i="27" s="1"/>
  <c r="D11" i="68" s="1"/>
  <c r="U66" i="27"/>
  <c r="M70" i="27"/>
  <c r="J53" i="65" s="1"/>
  <c r="U70" i="27"/>
  <c r="L77" i="27"/>
  <c r="L781" i="94" s="1"/>
  <c r="L739" i="94"/>
  <c r="E811" i="94"/>
  <c r="M81" i="27"/>
  <c r="F315" i="94"/>
  <c r="F31" i="37"/>
  <c r="F273" i="94" s="1"/>
  <c r="F619" i="94"/>
  <c r="D42" i="36"/>
  <c r="M65" i="37"/>
  <c r="M619" i="94" s="1"/>
  <c r="J875" i="94"/>
  <c r="J89" i="37"/>
  <c r="J903" i="94" s="1"/>
  <c r="M87" i="37"/>
  <c r="J889" i="94"/>
  <c r="M88" i="37"/>
  <c r="B65" i="36" s="1"/>
  <c r="F319" i="94"/>
  <c r="M34" i="47"/>
  <c r="X41" i="47" s="1"/>
  <c r="G735" i="94"/>
  <c r="O73" i="47"/>
  <c r="S73" i="47" s="1"/>
  <c r="E775" i="94"/>
  <c r="M76" i="84"/>
  <c r="F833" i="94"/>
  <c r="D59" i="83"/>
  <c r="D61" i="83" s="1"/>
  <c r="M82" i="84"/>
  <c r="B59" i="83" s="1"/>
  <c r="P75" i="87"/>
  <c r="L966" i="94"/>
  <c r="L1140" i="94" s="1"/>
  <c r="E994" i="94"/>
  <c r="E1142" i="94" s="1"/>
  <c r="M97" i="87"/>
  <c r="G71" i="94"/>
  <c r="G15" i="92"/>
  <c r="G85" i="94" s="1"/>
  <c r="M53" i="87"/>
  <c r="K221" i="94"/>
  <c r="K1070" i="94" s="1"/>
  <c r="M26" i="87"/>
  <c r="H207" i="94"/>
  <c r="H1069" i="94" s="1"/>
  <c r="H29" i="87"/>
  <c r="F31" i="87"/>
  <c r="L42" i="87"/>
  <c r="M40" i="87"/>
  <c r="M38" i="87"/>
  <c r="D42" i="87"/>
  <c r="J15" i="87"/>
  <c r="G110" i="87"/>
  <c r="M60" i="84"/>
  <c r="K564" i="94"/>
  <c r="K62" i="84"/>
  <c r="K592" i="94" s="1"/>
  <c r="I550" i="94"/>
  <c r="I553" i="94" s="1"/>
  <c r="I1103" i="94" s="1"/>
  <c r="I62" i="84"/>
  <c r="I592" i="94" s="1"/>
  <c r="D522" i="94"/>
  <c r="D62" i="84"/>
  <c r="D592" i="94" s="1"/>
  <c r="M748" i="94"/>
  <c r="Y74" i="106"/>
  <c r="Y22" i="100"/>
  <c r="M382" i="94"/>
  <c r="R21" i="97"/>
  <c r="P32" i="65"/>
  <c r="B26" i="41"/>
  <c r="E26" i="41" s="1"/>
  <c r="I262" i="94"/>
  <c r="I44" i="47"/>
  <c r="I446" i="94" s="1"/>
  <c r="M75" i="32"/>
  <c r="E755" i="94"/>
  <c r="J807" i="94"/>
  <c r="J808" i="94" s="1"/>
  <c r="J1125" i="94" s="1"/>
  <c r="M80" i="47"/>
  <c r="H89" i="62"/>
  <c r="H904" i="94" s="1"/>
  <c r="H876" i="94"/>
  <c r="M96" i="32"/>
  <c r="D730" i="94"/>
  <c r="O73" i="42"/>
  <c r="S73" i="42" s="1"/>
  <c r="H16" i="78"/>
  <c r="Q17" i="74"/>
  <c r="AD17" i="100"/>
  <c r="D34" i="51"/>
  <c r="F535" i="94"/>
  <c r="D426" i="94"/>
  <c r="D44" i="42"/>
  <c r="D14" i="79" s="1"/>
  <c r="E626" i="94"/>
  <c r="U66" i="22"/>
  <c r="G850" i="94"/>
  <c r="G1128" i="94" s="1"/>
  <c r="L62" i="47"/>
  <c r="L594" i="94" s="1"/>
  <c r="M57" i="47"/>
  <c r="R39" i="65" s="1"/>
  <c r="D37" i="117"/>
  <c r="D38" i="117" s="1"/>
  <c r="F62" i="118"/>
  <c r="D45" i="117"/>
  <c r="F77" i="118"/>
  <c r="K89" i="118"/>
  <c r="H11" i="97"/>
  <c r="X45" i="14"/>
  <c r="J652" i="94"/>
  <c r="J1112" i="94" s="1"/>
  <c r="M97" i="22"/>
  <c r="M982" i="94" s="1"/>
  <c r="O65" i="87"/>
  <c r="S65" i="87" s="1"/>
  <c r="M65" i="87"/>
  <c r="Y65" i="87" s="1"/>
  <c r="U65" i="87"/>
  <c r="L77" i="87"/>
  <c r="M67" i="87"/>
  <c r="H15" i="94"/>
  <c r="H15" i="92"/>
  <c r="H85" i="94" s="1"/>
  <c r="H110" i="92"/>
  <c r="G219" i="94"/>
  <c r="G29" i="106"/>
  <c r="M26" i="106"/>
  <c r="M23" i="100" s="1"/>
  <c r="J18" i="110"/>
  <c r="J29" i="110"/>
  <c r="I15" i="118"/>
  <c r="G77" i="118"/>
  <c r="D77" i="118"/>
  <c r="M70" i="118"/>
  <c r="K33" i="94"/>
  <c r="K15" i="62"/>
  <c r="K89" i="94" s="1"/>
  <c r="R40" i="65"/>
  <c r="M72" i="94"/>
  <c r="M534" i="94"/>
  <c r="M379" i="94"/>
  <c r="AB58" i="65"/>
  <c r="B42" i="105"/>
  <c r="AB48" i="65"/>
  <c r="G110" i="106"/>
  <c r="M56" i="94"/>
  <c r="B13" i="31"/>
  <c r="S72" i="27"/>
  <c r="U71" i="27"/>
  <c r="Y11" i="97"/>
  <c r="H10" i="78"/>
  <c r="AD11" i="100"/>
  <c r="T11" i="73"/>
  <c r="G18" i="17"/>
  <c r="G99" i="94" s="1"/>
  <c r="G141" i="94"/>
  <c r="M21" i="17"/>
  <c r="H12" i="100" s="1"/>
  <c r="J77" i="22"/>
  <c r="J780" i="94" s="1"/>
  <c r="D60" i="31"/>
  <c r="F841" i="94"/>
  <c r="E31" i="37"/>
  <c r="E273" i="94" s="1"/>
  <c r="E287" i="94"/>
  <c r="M32" i="37"/>
  <c r="J675" i="94"/>
  <c r="J77" i="37"/>
  <c r="J787" i="94" s="1"/>
  <c r="F775" i="94"/>
  <c r="D53" i="83"/>
  <c r="G833" i="94"/>
  <c r="G84" i="84"/>
  <c r="G861" i="94" s="1"/>
  <c r="M66" i="87"/>
  <c r="O66" i="87"/>
  <c r="S66" i="87" s="1"/>
  <c r="U66" i="87"/>
  <c r="L84" i="87"/>
  <c r="D84" i="87"/>
  <c r="G89" i="87"/>
  <c r="K878" i="94"/>
  <c r="M87" i="106"/>
  <c r="K706" i="94"/>
  <c r="K708" i="94" s="1"/>
  <c r="K1116" i="94" s="1"/>
  <c r="M71" i="106"/>
  <c r="K537" i="94"/>
  <c r="M58" i="106"/>
  <c r="K191" i="94"/>
  <c r="M24" i="106"/>
  <c r="E132" i="94"/>
  <c r="M20" i="37"/>
  <c r="M132" i="94" s="1"/>
  <c r="E72" i="36"/>
  <c r="B44" i="105"/>
  <c r="D19" i="16"/>
  <c r="F422" i="94"/>
  <c r="Y66" i="92"/>
  <c r="Z49" i="65"/>
  <c r="V29" i="65"/>
  <c r="M460" i="94"/>
  <c r="B23" i="83"/>
  <c r="I840" i="94"/>
  <c r="M83" i="17"/>
  <c r="L612" i="94"/>
  <c r="L624" i="94" s="1"/>
  <c r="L1110" i="94" s="1"/>
  <c r="L77" i="22"/>
  <c r="L780" i="94" s="1"/>
  <c r="M72" i="27"/>
  <c r="M711" i="94" s="1"/>
  <c r="H711" i="94"/>
  <c r="G725" i="94"/>
  <c r="U73" i="27"/>
  <c r="O69" i="84"/>
  <c r="S69" i="84" s="1"/>
  <c r="G677" i="94"/>
  <c r="G77" i="84"/>
  <c r="G789" i="94" s="1"/>
  <c r="M69" i="84"/>
  <c r="E691" i="94"/>
  <c r="M70" i="84"/>
  <c r="Y70" i="84" s="1"/>
  <c r="G747" i="94"/>
  <c r="U74" i="84"/>
  <c r="E18" i="87"/>
  <c r="U73" i="87"/>
  <c r="O73" i="87"/>
  <c r="S73" i="87" s="1"/>
  <c r="L233" i="94"/>
  <c r="L235" i="94" s="1"/>
  <c r="L1071" i="94" s="1"/>
  <c r="M27" i="106"/>
  <c r="K23" i="97" s="1"/>
  <c r="X37" i="47"/>
  <c r="M206" i="94"/>
  <c r="F41" i="65"/>
  <c r="B35" i="16"/>
  <c r="M543" i="94"/>
  <c r="H12" i="97"/>
  <c r="X45" i="27"/>
  <c r="X47" i="27" s="1"/>
  <c r="M14" i="74" s="1"/>
  <c r="M182" i="94"/>
  <c r="X34" i="27"/>
  <c r="D23" i="51"/>
  <c r="F459" i="94"/>
  <c r="B10" i="46"/>
  <c r="F10" i="46" s="1"/>
  <c r="M22" i="94"/>
  <c r="J724" i="94"/>
  <c r="U73" i="22"/>
  <c r="H334" i="94"/>
  <c r="H1079" i="94" s="1"/>
  <c r="G632" i="94"/>
  <c r="G77" i="42"/>
  <c r="G786" i="94" s="1"/>
  <c r="O66" i="42"/>
  <c r="S66" i="42" s="1"/>
  <c r="D14" i="68" s="1"/>
  <c r="F732" i="94"/>
  <c r="D50" i="51"/>
  <c r="B34" i="46"/>
  <c r="M73" i="22"/>
  <c r="Y73" i="22" s="1"/>
  <c r="R28" i="27"/>
  <c r="E26" i="36"/>
  <c r="F26" i="36"/>
  <c r="D66" i="35"/>
  <c r="I56" i="63"/>
  <c r="B64" i="41"/>
  <c r="M874" i="94"/>
  <c r="P70" i="65"/>
  <c r="M94" i="14"/>
  <c r="D945" i="94"/>
  <c r="E29" i="118"/>
  <c r="E18" i="118"/>
  <c r="U73" i="118"/>
  <c r="U75" i="118"/>
  <c r="M75" i="118"/>
  <c r="B52" i="117" s="1"/>
  <c r="F52" i="117" s="1"/>
  <c r="K52" i="117" s="1"/>
  <c r="O52" i="117" s="1"/>
  <c r="R53" i="65"/>
  <c r="L110" i="47"/>
  <c r="M351" i="94"/>
  <c r="W17" i="100"/>
  <c r="L18" i="100"/>
  <c r="F44" i="91"/>
  <c r="D61" i="20"/>
  <c r="F36" i="46"/>
  <c r="M248" i="94"/>
  <c r="W14" i="100"/>
  <c r="M457" i="94"/>
  <c r="M25" i="94"/>
  <c r="M474" i="94"/>
  <c r="P13" i="97"/>
  <c r="E75" i="105"/>
  <c r="Y75" i="84"/>
  <c r="M992" i="94"/>
  <c r="AB85" i="65"/>
  <c r="R13" i="97"/>
  <c r="M384" i="94"/>
  <c r="G18" i="32"/>
  <c r="G100" i="94" s="1"/>
  <c r="X37" i="42"/>
  <c r="X46" i="42"/>
  <c r="I13" i="97"/>
  <c r="D430" i="94"/>
  <c r="D44" i="106"/>
  <c r="Y66" i="106"/>
  <c r="AB49" i="65"/>
  <c r="M636" i="94"/>
  <c r="L23" i="100"/>
  <c r="M205" i="94"/>
  <c r="I23" i="97"/>
  <c r="L71" i="65"/>
  <c r="M885" i="94"/>
  <c r="B65" i="31"/>
  <c r="F65" i="31" s="1"/>
  <c r="L524" i="94"/>
  <c r="M96" i="37"/>
  <c r="F975" i="94"/>
  <c r="M95" i="87"/>
  <c r="G546" i="94"/>
  <c r="G553" i="94" s="1"/>
  <c r="G1103" i="94" s="1"/>
  <c r="M59" i="14"/>
  <c r="G62" i="14"/>
  <c r="D532" i="94"/>
  <c r="M58" i="14"/>
  <c r="J504" i="94"/>
  <c r="M56" i="14"/>
  <c r="X17" i="100"/>
  <c r="M370" i="94"/>
  <c r="G769" i="94"/>
  <c r="M76" i="32"/>
  <c r="D43" i="41"/>
  <c r="F632" i="94"/>
  <c r="U66" i="42"/>
  <c r="E702" i="94"/>
  <c r="O71" i="42"/>
  <c r="S71" i="42" s="1"/>
  <c r="G29" i="63"/>
  <c r="D56" i="45"/>
  <c r="B34" i="41"/>
  <c r="F86" i="63" s="1"/>
  <c r="P40" i="65"/>
  <c r="G643" i="94"/>
  <c r="O67" i="32"/>
  <c r="S67" i="32" s="1"/>
  <c r="M762" i="94"/>
  <c r="P23" i="65"/>
  <c r="P24" i="65" s="1"/>
  <c r="F18" i="65"/>
  <c r="J12" i="100"/>
  <c r="M169" i="94"/>
  <c r="H84" i="37"/>
  <c r="H859" i="94" s="1"/>
  <c r="J84" i="62"/>
  <c r="J860" i="94" s="1"/>
  <c r="D73" i="51"/>
  <c r="F18" i="17"/>
  <c r="F127" i="94"/>
  <c r="F110" i="17"/>
  <c r="D813" i="94"/>
  <c r="M81" i="32"/>
  <c r="M813" i="94" s="1"/>
  <c r="E827" i="94"/>
  <c r="M82" i="32"/>
  <c r="M827" i="94" s="1"/>
  <c r="E84" i="32"/>
  <c r="E855" i="94" s="1"/>
  <c r="M96" i="118"/>
  <c r="M693" i="94"/>
  <c r="D64" i="45"/>
  <c r="D54" i="20"/>
  <c r="E24" i="63"/>
  <c r="K404" i="94"/>
  <c r="K1084" i="94" s="1"/>
  <c r="K77" i="32"/>
  <c r="K783" i="94" s="1"/>
  <c r="I31" i="42"/>
  <c r="I272" i="94" s="1"/>
  <c r="T13" i="73"/>
  <c r="Y13" i="97"/>
  <c r="Q13" i="74"/>
  <c r="J839" i="94"/>
  <c r="J84" i="27"/>
  <c r="J853" i="94" s="1"/>
  <c r="I31" i="106"/>
  <c r="I276" i="94" s="1"/>
  <c r="M33" i="106"/>
  <c r="I304" i="94"/>
  <c r="H29" i="118"/>
  <c r="O71" i="118"/>
  <c r="S71" i="118" s="1"/>
  <c r="M71" i="118"/>
  <c r="Y73" i="118"/>
  <c r="M75" i="47"/>
  <c r="B52" i="46" s="1"/>
  <c r="G63" i="47"/>
  <c r="G608" i="94" s="1"/>
  <c r="I14" i="97"/>
  <c r="F262" i="94"/>
  <c r="U69" i="118"/>
  <c r="M23" i="118"/>
  <c r="Q22" i="118" s="1"/>
  <c r="Q30" i="118" s="1"/>
  <c r="O18" i="100"/>
  <c r="M31" i="94"/>
  <c r="H11" i="65"/>
  <c r="E44" i="22"/>
  <c r="N32" i="65"/>
  <c r="D54" i="103" s="1"/>
  <c r="E72" i="41"/>
  <c r="Q26" i="84"/>
  <c r="M944" i="94"/>
  <c r="F110" i="22"/>
  <c r="J63" i="22"/>
  <c r="J597" i="94" s="1"/>
  <c r="J81" i="94"/>
  <c r="M72" i="32"/>
  <c r="Y72" i="32" s="1"/>
  <c r="M814" i="94"/>
  <c r="B58" i="91"/>
  <c r="F58" i="91" s="1"/>
  <c r="Z64" i="65"/>
  <c r="O66" i="22"/>
  <c r="S66" i="22" s="1"/>
  <c r="D10" i="68" s="1"/>
  <c r="G31" i="62"/>
  <c r="G274" i="94" s="1"/>
  <c r="L116" i="94"/>
  <c r="L18" i="14"/>
  <c r="L102" i="94" s="1"/>
  <c r="K771" i="94"/>
  <c r="M76" i="14"/>
  <c r="E829" i="94"/>
  <c r="M82" i="14"/>
  <c r="B59" i="2" s="1"/>
  <c r="F843" i="94"/>
  <c r="D44" i="16"/>
  <c r="F642" i="94"/>
  <c r="G693" i="94"/>
  <c r="O70" i="47"/>
  <c r="S70" i="47" s="1"/>
  <c r="G77" i="47"/>
  <c r="G791" i="94" s="1"/>
  <c r="J288" i="94"/>
  <c r="X46" i="47"/>
  <c r="M24" i="118"/>
  <c r="M361" i="94"/>
  <c r="W18" i="100"/>
  <c r="E18" i="47"/>
  <c r="E108" i="94" s="1"/>
  <c r="I110" i="47"/>
  <c r="D111" i="104"/>
  <c r="B11" i="41"/>
  <c r="M473" i="94"/>
  <c r="V20" i="100"/>
  <c r="D62" i="103"/>
  <c r="P30" i="65"/>
  <c r="X16" i="100"/>
  <c r="M371" i="94"/>
  <c r="D43" i="65"/>
  <c r="M574" i="94"/>
  <c r="B37" i="2"/>
  <c r="F37" i="2" s="1"/>
  <c r="K525" i="94"/>
  <c r="K1101" i="94" s="1"/>
  <c r="F829" i="94"/>
  <c r="D59" i="2"/>
  <c r="K117" i="94"/>
  <c r="M19" i="42"/>
  <c r="F17" i="100" s="1"/>
  <c r="J816" i="94"/>
  <c r="J84" i="42"/>
  <c r="J858" i="94" s="1"/>
  <c r="K830" i="94"/>
  <c r="K84" i="42"/>
  <c r="K858" i="94" s="1"/>
  <c r="K844" i="94"/>
  <c r="M83" i="42"/>
  <c r="K874" i="94"/>
  <c r="K89" i="42"/>
  <c r="K902" i="94" s="1"/>
  <c r="M88" i="42"/>
  <c r="B65" i="41" s="1"/>
  <c r="K888" i="94"/>
  <c r="F637" i="94"/>
  <c r="D43" i="46"/>
  <c r="E651" i="94"/>
  <c r="U67" i="47"/>
  <c r="O67" i="47"/>
  <c r="S67" i="47" s="1"/>
  <c r="E77" i="47"/>
  <c r="E791" i="94" s="1"/>
  <c r="K77" i="47"/>
  <c r="K791" i="94" s="1"/>
  <c r="K110" i="47"/>
  <c r="F947" i="94"/>
  <c r="F952" i="94" s="1"/>
  <c r="F1139" i="94" s="1"/>
  <c r="M94" i="37"/>
  <c r="X75" i="47"/>
  <c r="H362" i="94"/>
  <c r="H1081" i="94" s="1"/>
  <c r="I54" i="63"/>
  <c r="I12" i="97"/>
  <c r="I313" i="94"/>
  <c r="I320" i="94" s="1"/>
  <c r="I1078" i="94" s="1"/>
  <c r="M34" i="14"/>
  <c r="X26" i="14" s="1"/>
  <c r="I873" i="94"/>
  <c r="I89" i="14"/>
  <c r="I901" i="94" s="1"/>
  <c r="U71" i="17"/>
  <c r="F698" i="94"/>
  <c r="H870" i="94"/>
  <c r="H89" i="17"/>
  <c r="H898" i="94" s="1"/>
  <c r="D52" i="36"/>
  <c r="F759" i="94"/>
  <c r="M75" i="37"/>
  <c r="N58" i="65" s="1"/>
  <c r="U75" i="84"/>
  <c r="M75" i="84"/>
  <c r="E761" i="94"/>
  <c r="E886" i="94"/>
  <c r="M88" i="92"/>
  <c r="L517" i="94"/>
  <c r="L62" i="92"/>
  <c r="L587" i="94" s="1"/>
  <c r="K241" i="94"/>
  <c r="K29" i="92"/>
  <c r="K255" i="94" s="1"/>
  <c r="L734" i="94"/>
  <c r="M73" i="106"/>
  <c r="L77" i="94"/>
  <c r="L79" i="94" s="1"/>
  <c r="L1058" i="94" s="1"/>
  <c r="M14" i="106"/>
  <c r="L15" i="106"/>
  <c r="L91" i="94" s="1"/>
  <c r="K692" i="94"/>
  <c r="K694" i="94" s="1"/>
  <c r="K1115" i="94" s="1"/>
  <c r="M70" i="106"/>
  <c r="B34" i="21"/>
  <c r="D66" i="36"/>
  <c r="D348" i="94"/>
  <c r="D1080" i="94" s="1"/>
  <c r="D45" i="2"/>
  <c r="F659" i="94"/>
  <c r="F712" i="94"/>
  <c r="D49" i="16"/>
  <c r="F710" i="94"/>
  <c r="D49" i="21"/>
  <c r="G146" i="94"/>
  <c r="G18" i="37"/>
  <c r="G104" i="94" s="1"/>
  <c r="E803" i="94"/>
  <c r="E84" i="37"/>
  <c r="E859" i="94" s="1"/>
  <c r="E286" i="94"/>
  <c r="E31" i="42"/>
  <c r="H314" i="94"/>
  <c r="M34" i="42"/>
  <c r="M314" i="94" s="1"/>
  <c r="D50" i="46"/>
  <c r="F50" i="46" s="1"/>
  <c r="K50" i="46" s="1"/>
  <c r="M50" i="46" s="1"/>
  <c r="F735" i="94"/>
  <c r="D691" i="94"/>
  <c r="O70" i="84"/>
  <c r="S70" i="84" s="1"/>
  <c r="U70" i="84"/>
  <c r="F326" i="94"/>
  <c r="F31" i="92"/>
  <c r="F270" i="94" s="1"/>
  <c r="L700" i="94"/>
  <c r="L77" i="92"/>
  <c r="L784" i="94" s="1"/>
  <c r="E728" i="94"/>
  <c r="O73" i="92"/>
  <c r="S73" i="92" s="1"/>
  <c r="H756" i="94"/>
  <c r="M75" i="92"/>
  <c r="K84" i="92"/>
  <c r="K856" i="94" s="1"/>
  <c r="M80" i="92"/>
  <c r="K800" i="94"/>
  <c r="D872" i="94"/>
  <c r="D89" i="92"/>
  <c r="M87" i="92"/>
  <c r="F559" i="94"/>
  <c r="M60" i="92"/>
  <c r="M47" i="92"/>
  <c r="J35" i="94"/>
  <c r="J15" i="106"/>
  <c r="J91" i="94" s="1"/>
  <c r="Z11" i="97"/>
  <c r="R11" i="74"/>
  <c r="U11" i="73"/>
  <c r="AE11" i="100"/>
  <c r="D15" i="2"/>
  <c r="E631" i="94"/>
  <c r="U66" i="14"/>
  <c r="O66" i="14"/>
  <c r="S66" i="14" s="1"/>
  <c r="D8" i="68" s="1"/>
  <c r="G645" i="94"/>
  <c r="M67" i="14"/>
  <c r="Y67" i="14" s="1"/>
  <c r="H657" i="94"/>
  <c r="H77" i="32"/>
  <c r="H783" i="94" s="1"/>
  <c r="F671" i="94"/>
  <c r="D46" i="31"/>
  <c r="D799" i="94"/>
  <c r="D84" i="32"/>
  <c r="D855" i="94" s="1"/>
  <c r="M80" i="32"/>
  <c r="D885" i="94"/>
  <c r="D894" i="94" s="1"/>
  <c r="D1133" i="94" s="1"/>
  <c r="D89" i="32"/>
  <c r="D899" i="94" s="1"/>
  <c r="J343" i="94"/>
  <c r="J31" i="37"/>
  <c r="J273" i="94" s="1"/>
  <c r="J42" i="37"/>
  <c r="J427" i="94" s="1"/>
  <c r="H15" i="37"/>
  <c r="H88" i="94" s="1"/>
  <c r="H60" i="94"/>
  <c r="F238" i="94"/>
  <c r="F29" i="27"/>
  <c r="F252" i="94" s="1"/>
  <c r="G42" i="27"/>
  <c r="G421" i="94" s="1"/>
  <c r="G379" i="94"/>
  <c r="F42" i="22"/>
  <c r="F420" i="94" s="1"/>
  <c r="F31" i="22"/>
  <c r="F266" i="94" s="1"/>
  <c r="D406" i="94"/>
  <c r="D42" i="22"/>
  <c r="D420" i="94" s="1"/>
  <c r="G163" i="94"/>
  <c r="G18" i="106"/>
  <c r="G107" i="94" s="1"/>
  <c r="F622" i="94"/>
  <c r="D42" i="105"/>
  <c r="D622" i="94"/>
  <c r="D77" i="106"/>
  <c r="D790" i="94" s="1"/>
  <c r="Y69" i="106"/>
  <c r="Z15" i="100"/>
  <c r="M73" i="94"/>
  <c r="I973" i="94"/>
  <c r="I987" i="94"/>
  <c r="M97" i="14"/>
  <c r="I114" i="94"/>
  <c r="L796" i="94"/>
  <c r="L84" i="22"/>
  <c r="L852" i="94" s="1"/>
  <c r="M93" i="22"/>
  <c r="I926" i="94"/>
  <c r="I938" i="94" s="1"/>
  <c r="I1138" i="94" s="1"/>
  <c r="G772" i="94"/>
  <c r="M76" i="42"/>
  <c r="L112" i="47"/>
  <c r="M1027" i="94"/>
  <c r="L115" i="94"/>
  <c r="L18" i="92"/>
  <c r="L101" i="94" s="1"/>
  <c r="J120" i="94"/>
  <c r="D192" i="94"/>
  <c r="D29" i="47"/>
  <c r="D262" i="94" s="1"/>
  <c r="K78" i="94"/>
  <c r="K15" i="47"/>
  <c r="K92" i="94" s="1"/>
  <c r="H64" i="94"/>
  <c r="H15" i="47"/>
  <c r="H92" i="94" s="1"/>
  <c r="D11" i="46"/>
  <c r="D15" i="46" s="1"/>
  <c r="F36" i="94"/>
  <c r="I505" i="94"/>
  <c r="I62" i="42"/>
  <c r="I589" i="94" s="1"/>
  <c r="G243" i="94"/>
  <c r="M28" i="42"/>
  <c r="K416" i="94"/>
  <c r="K42" i="106"/>
  <c r="K44" i="106" s="1"/>
  <c r="K445" i="94" s="1"/>
  <c r="J346" i="94"/>
  <c r="M36" i="106"/>
  <c r="J551" i="94"/>
  <c r="M59" i="106"/>
  <c r="G318" i="94"/>
  <c r="G320" i="94" s="1"/>
  <c r="G1078" i="94" s="1"/>
  <c r="M34" i="106"/>
  <c r="F35" i="94"/>
  <c r="D11" i="105"/>
  <c r="L165" i="94"/>
  <c r="L1066" i="94" s="1"/>
  <c r="S72" i="32"/>
  <c r="F656" i="94"/>
  <c r="D45" i="16"/>
  <c r="L969" i="94"/>
  <c r="L980" i="94" s="1"/>
  <c r="L1141" i="94" s="1"/>
  <c r="M96" i="27"/>
  <c r="I621" i="94"/>
  <c r="I77" i="84"/>
  <c r="I789" i="94" s="1"/>
  <c r="M33" i="92"/>
  <c r="E298" i="94"/>
  <c r="E306" i="94" s="1"/>
  <c r="E1077" i="94" s="1"/>
  <c r="E31" i="92"/>
  <c r="E270" i="94" s="1"/>
  <c r="M1020" i="94"/>
  <c r="L112" i="92"/>
  <c r="I21" i="78"/>
  <c r="Z21" i="97"/>
  <c r="H171" i="94"/>
  <c r="H18" i="92"/>
  <c r="H101" i="94" s="1"/>
  <c r="F241" i="94"/>
  <c r="F29" i="92"/>
  <c r="F44" i="92" s="1"/>
  <c r="G340" i="94"/>
  <c r="G42" i="92"/>
  <c r="L191" i="94"/>
  <c r="L29" i="106"/>
  <c r="L261" i="94" s="1"/>
  <c r="G304" i="94"/>
  <c r="G31" i="106"/>
  <c r="G276" i="94" s="1"/>
  <c r="M82" i="106"/>
  <c r="M834" i="94" s="1"/>
  <c r="G84" i="106"/>
  <c r="G862" i="94" s="1"/>
  <c r="D65" i="104"/>
  <c r="M510" i="94"/>
  <c r="M575" i="94"/>
  <c r="D19" i="105"/>
  <c r="D20" i="105" s="1"/>
  <c r="M89" i="106"/>
  <c r="M906" i="94" s="1"/>
  <c r="Z57" i="65"/>
  <c r="M742" i="94"/>
  <c r="D495" i="94"/>
  <c r="D1097" i="94" s="1"/>
  <c r="E324" i="94"/>
  <c r="E31" i="17"/>
  <c r="E268" i="94" s="1"/>
  <c r="F614" i="94"/>
  <c r="D42" i="16"/>
  <c r="M65" i="17"/>
  <c r="F682" i="94"/>
  <c r="D47" i="21"/>
  <c r="D685" i="94"/>
  <c r="M70" i="32"/>
  <c r="O70" i="32"/>
  <c r="S70" i="32" s="1"/>
  <c r="I287" i="94"/>
  <c r="I31" i="37"/>
  <c r="I273" i="94" s="1"/>
  <c r="O71" i="47"/>
  <c r="S71" i="47" s="1"/>
  <c r="L893" i="94"/>
  <c r="L89" i="47"/>
  <c r="L907" i="94" s="1"/>
  <c r="D951" i="94"/>
  <c r="M94" i="47"/>
  <c r="D284" i="94"/>
  <c r="M32" i="92"/>
  <c r="D31" i="92"/>
  <c r="D270" i="94" s="1"/>
  <c r="J170" i="94"/>
  <c r="J29" i="32"/>
  <c r="J254" i="94" s="1"/>
  <c r="K680" i="94"/>
  <c r="K1114" i="94" s="1"/>
  <c r="H113" i="94"/>
  <c r="H18" i="17"/>
  <c r="H99" i="94" s="1"/>
  <c r="M71" i="17"/>
  <c r="M698" i="94" s="1"/>
  <c r="J698" i="94"/>
  <c r="J708" i="94" s="1"/>
  <c r="J1116" i="94" s="1"/>
  <c r="K295" i="94"/>
  <c r="K31" i="27"/>
  <c r="K267" i="94" s="1"/>
  <c r="L994" i="94"/>
  <c r="L1142" i="94" s="1"/>
  <c r="L18" i="62"/>
  <c r="L105" i="94" s="1"/>
  <c r="E79" i="94"/>
  <c r="E1058" i="94" s="1"/>
  <c r="U71" i="87"/>
  <c r="O71" i="87"/>
  <c r="S71" i="87" s="1"/>
  <c r="L778" i="94"/>
  <c r="L1121" i="94" s="1"/>
  <c r="E389" i="94"/>
  <c r="E42" i="47"/>
  <c r="E431" i="94" s="1"/>
  <c r="F379" i="94"/>
  <c r="F42" i="27"/>
  <c r="F514" i="94"/>
  <c r="D33" i="26"/>
  <c r="E418" i="94"/>
  <c r="E1085" i="94" s="1"/>
  <c r="L404" i="94"/>
  <c r="L1084" i="94" s="1"/>
  <c r="F31" i="14"/>
  <c r="F271" i="94" s="1"/>
  <c r="U70" i="14"/>
  <c r="E84" i="14"/>
  <c r="E857" i="94" s="1"/>
  <c r="H84" i="14"/>
  <c r="H857" i="94" s="1"/>
  <c r="E84" i="17"/>
  <c r="E854" i="94" s="1"/>
  <c r="U72" i="22"/>
  <c r="F18" i="27"/>
  <c r="F98" i="94" s="1"/>
  <c r="D755" i="94"/>
  <c r="U75" i="32"/>
  <c r="K89" i="37"/>
  <c r="K903" i="94" s="1"/>
  <c r="H120" i="94"/>
  <c r="H18" i="84"/>
  <c r="H106" i="94" s="1"/>
  <c r="L89" i="84"/>
  <c r="L905" i="94" s="1"/>
  <c r="L877" i="94"/>
  <c r="U65" i="92"/>
  <c r="E616" i="94"/>
  <c r="S71" i="32"/>
  <c r="G801" i="94"/>
  <c r="G84" i="14"/>
  <c r="G857" i="94" s="1"/>
  <c r="E719" i="94"/>
  <c r="O72" i="84"/>
  <c r="S72" i="84" s="1"/>
  <c r="F728" i="94"/>
  <c r="D50" i="91"/>
  <c r="G573" i="94"/>
  <c r="M61" i="92"/>
  <c r="D107" i="94"/>
  <c r="D15" i="31"/>
  <c r="E511" i="94"/>
  <c r="E1100" i="94" s="1"/>
  <c r="S69" i="37"/>
  <c r="I722" i="94"/>
  <c r="I1117" i="94" s="1"/>
  <c r="J31" i="42"/>
  <c r="J272" i="94" s="1"/>
  <c r="J286" i="94"/>
  <c r="J292" i="94" s="1"/>
  <c r="J1076" i="94" s="1"/>
  <c r="D715" i="94"/>
  <c r="M72" i="14"/>
  <c r="D55" i="65" s="1"/>
  <c r="L89" i="87"/>
  <c r="K356" i="94"/>
  <c r="K42" i="42"/>
  <c r="K426" i="94" s="1"/>
  <c r="H73" i="94"/>
  <c r="H79" i="94" s="1"/>
  <c r="H1058" i="94" s="1"/>
  <c r="H15" i="42"/>
  <c r="H87" i="94" s="1"/>
  <c r="E63" i="42"/>
  <c r="E603" i="94" s="1"/>
  <c r="K183" i="94"/>
  <c r="K29" i="17"/>
  <c r="K253" i="94" s="1"/>
  <c r="H27" i="94"/>
  <c r="H37" i="94" s="1"/>
  <c r="H1055" i="94" s="1"/>
  <c r="H15" i="17"/>
  <c r="H83" i="94" s="1"/>
  <c r="F193" i="94"/>
  <c r="F1068" i="94" s="1"/>
  <c r="D38" i="2"/>
  <c r="L121" i="22"/>
  <c r="B21" i="23"/>
  <c r="M21" i="84"/>
  <c r="J148" i="94"/>
  <c r="F663" i="94"/>
  <c r="D45" i="83"/>
  <c r="L25" i="94"/>
  <c r="L15" i="22"/>
  <c r="L81" i="94" s="1"/>
  <c r="D42" i="17"/>
  <c r="D422" i="94" s="1"/>
  <c r="D352" i="94"/>
  <c r="S73" i="22"/>
  <c r="D38" i="91"/>
  <c r="K18" i="14"/>
  <c r="K102" i="94" s="1"/>
  <c r="E726" i="94"/>
  <c r="O73" i="17"/>
  <c r="S73" i="17" s="1"/>
  <c r="U76" i="22"/>
  <c r="E824" i="94"/>
  <c r="E84" i="22"/>
  <c r="E852" i="94" s="1"/>
  <c r="L31" i="32"/>
  <c r="L269" i="94" s="1"/>
  <c r="F699" i="94"/>
  <c r="U71" i="32"/>
  <c r="J874" i="94"/>
  <c r="J89" i="42"/>
  <c r="F134" i="94"/>
  <c r="F18" i="84"/>
  <c r="F106" i="94" s="1"/>
  <c r="J84" i="87"/>
  <c r="S66" i="84"/>
  <c r="E84" i="87"/>
  <c r="F49" i="83"/>
  <c r="K49" i="83" s="1"/>
  <c r="N49" i="83" s="1"/>
  <c r="K736" i="94"/>
  <c r="K1118" i="94" s="1"/>
  <c r="F838" i="94"/>
  <c r="D60" i="21"/>
  <c r="H31" i="32"/>
  <c r="H269" i="94" s="1"/>
  <c r="D66" i="41"/>
  <c r="U70" i="87"/>
  <c r="L117" i="14"/>
  <c r="S69" i="14"/>
  <c r="L119" i="17"/>
  <c r="Y72" i="22"/>
  <c r="D66" i="31"/>
  <c r="L77" i="84"/>
  <c r="L789" i="94" s="1"/>
  <c r="M74" i="87"/>
  <c r="L567" i="94"/>
  <c r="L1104" i="94" s="1"/>
  <c r="F892" i="94"/>
  <c r="D65" i="105"/>
  <c r="M97" i="92"/>
  <c r="L118" i="92"/>
  <c r="I418" i="94"/>
  <c r="I1085" i="94" s="1"/>
  <c r="G15" i="32"/>
  <c r="G84" i="94" s="1"/>
  <c r="U74" i="118"/>
  <c r="K84" i="118"/>
  <c r="E89" i="118"/>
  <c r="L117" i="62"/>
  <c r="J390" i="94"/>
  <c r="J1083" i="94" s="1"/>
  <c r="J79" i="94"/>
  <c r="J1058" i="94" s="1"/>
  <c r="H151" i="94"/>
  <c r="H1065" i="94" s="1"/>
  <c r="G31" i="14"/>
  <c r="G271" i="94" s="1"/>
  <c r="F18" i="22"/>
  <c r="F97" i="94" s="1"/>
  <c r="L952" i="94"/>
  <c r="L1139" i="94" s="1"/>
  <c r="M34" i="22"/>
  <c r="K308" i="94"/>
  <c r="P75" i="92"/>
  <c r="M20" i="14"/>
  <c r="I31" i="17"/>
  <c r="I268" i="94" s="1"/>
  <c r="M22" i="22"/>
  <c r="G153" i="94"/>
  <c r="M71" i="27"/>
  <c r="L118" i="84"/>
  <c r="M96" i="84"/>
  <c r="K376" i="94"/>
  <c r="K1082" i="94" s="1"/>
  <c r="M28" i="14"/>
  <c r="E242" i="94"/>
  <c r="L118" i="106"/>
  <c r="L117" i="106"/>
  <c r="M32" i="17"/>
  <c r="G207" i="94"/>
  <c r="G1069" i="94" s="1"/>
  <c r="L115" i="22"/>
  <c r="F89" i="37"/>
  <c r="F903" i="94" s="1"/>
  <c r="M95" i="47"/>
  <c r="M20" i="106"/>
  <c r="E110" i="22"/>
  <c r="U73" i="32"/>
  <c r="D84" i="37"/>
  <c r="D859" i="94" s="1"/>
  <c r="M97" i="84"/>
  <c r="K991" i="94"/>
  <c r="K994" i="94" s="1"/>
  <c r="K1142" i="94" s="1"/>
  <c r="M32" i="87"/>
  <c r="H31" i="14"/>
  <c r="H271" i="94" s="1"/>
  <c r="O68" i="110"/>
  <c r="K18" i="118"/>
  <c r="K77" i="118"/>
  <c r="D84" i="27"/>
  <c r="D853" i="94" s="1"/>
  <c r="L118" i="42"/>
  <c r="M27" i="14"/>
  <c r="M93" i="110"/>
  <c r="X75" i="110" s="1"/>
  <c r="Y75" i="110" s="1"/>
  <c r="M97" i="110"/>
  <c r="K390" i="94"/>
  <c r="K1083" i="94" s="1"/>
  <c r="U66" i="17"/>
  <c r="O67" i="17"/>
  <c r="S67" i="17" s="1"/>
  <c r="F868" i="94"/>
  <c r="L117" i="27"/>
  <c r="L117" i="42"/>
  <c r="I966" i="94"/>
  <c r="I1140" i="94" s="1"/>
  <c r="D46" i="105"/>
  <c r="M74" i="118"/>
  <c r="Y74" i="118" s="1"/>
  <c r="E495" i="94"/>
  <c r="E1097" i="94" s="1"/>
  <c r="L850" i="94"/>
  <c r="L1128" i="94" s="1"/>
  <c r="D89" i="27"/>
  <c r="D897" i="94" s="1"/>
  <c r="K553" i="94"/>
  <c r="K1103" i="94" s="1"/>
  <c r="L463" i="94"/>
  <c r="L1091" i="94" s="1"/>
  <c r="F820" i="94"/>
  <c r="D58" i="105"/>
  <c r="O72" i="106"/>
  <c r="S72" i="106" s="1"/>
  <c r="M95" i="114"/>
  <c r="Y76" i="114" s="1"/>
  <c r="O71" i="14"/>
  <c r="S71" i="14" s="1"/>
  <c r="I952" i="94"/>
  <c r="I1139" i="94" s="1"/>
  <c r="U76" i="17"/>
  <c r="J31" i="47"/>
  <c r="J277" i="94" s="1"/>
  <c r="M23" i="92"/>
  <c r="J62" i="47"/>
  <c r="J594" i="94" s="1"/>
  <c r="D23" i="105"/>
  <c r="F461" i="94"/>
  <c r="F806" i="94"/>
  <c r="D57" i="105"/>
  <c r="F664" i="94"/>
  <c r="D45" i="105"/>
  <c r="M32" i="114"/>
  <c r="F42" i="114"/>
  <c r="F44" i="114" s="1"/>
  <c r="L62" i="114"/>
  <c r="M35" i="118"/>
  <c r="M35" i="87"/>
  <c r="X29" i="87" s="1"/>
  <c r="M19" i="92"/>
  <c r="X33" i="92" s="1"/>
  <c r="D15" i="92"/>
  <c r="D85" i="94" s="1"/>
  <c r="D62" i="32"/>
  <c r="D586" i="94" s="1"/>
  <c r="E84" i="110"/>
  <c r="G84" i="110"/>
  <c r="L84" i="110"/>
  <c r="M38" i="114"/>
  <c r="M47" i="114"/>
  <c r="B23" i="113" s="1"/>
  <c r="J62" i="114"/>
  <c r="M58" i="114"/>
  <c r="B34" i="113" s="1"/>
  <c r="F34" i="113" s="1"/>
  <c r="O68" i="47"/>
  <c r="D16" i="95" s="1"/>
  <c r="F16" i="95" s="1"/>
  <c r="F493" i="94"/>
  <c r="D29" i="105"/>
  <c r="D38" i="109"/>
  <c r="E77" i="110"/>
  <c r="U70" i="110"/>
  <c r="E62" i="118"/>
  <c r="L77" i="118"/>
  <c r="O73" i="118"/>
  <c r="S73" i="118" s="1"/>
  <c r="G84" i="118"/>
  <c r="D64" i="117"/>
  <c r="D66" i="117" s="1"/>
  <c r="F89" i="118"/>
  <c r="G581" i="94"/>
  <c r="G1105" i="94" s="1"/>
  <c r="J636" i="94"/>
  <c r="U66" i="106"/>
  <c r="F42" i="110"/>
  <c r="D19" i="109" s="1"/>
  <c r="I42" i="110"/>
  <c r="E62" i="110"/>
  <c r="L29" i="114"/>
  <c r="M67" i="114"/>
  <c r="B44" i="113" s="1"/>
  <c r="D104" i="112" s="1"/>
  <c r="K84" i="114"/>
  <c r="H84" i="114"/>
  <c r="F15" i="118"/>
  <c r="I18" i="118"/>
  <c r="M13" i="27"/>
  <c r="M11" i="14"/>
  <c r="H15" i="110"/>
  <c r="L18" i="110"/>
  <c r="L29" i="110"/>
  <c r="M37" i="110"/>
  <c r="M41" i="110"/>
  <c r="U67" i="110"/>
  <c r="U73" i="114"/>
  <c r="L84" i="114"/>
  <c r="K15" i="118"/>
  <c r="M21" i="118"/>
  <c r="D31" i="118"/>
  <c r="D62" i="118"/>
  <c r="E42" i="32"/>
  <c r="K18" i="114"/>
  <c r="J110" i="118"/>
  <c r="M13" i="118"/>
  <c r="G42" i="118"/>
  <c r="G44" i="118" s="1"/>
  <c r="H84" i="118"/>
  <c r="I894" i="94"/>
  <c r="I1133" i="94" s="1"/>
  <c r="D376" i="94"/>
  <c r="D1082" i="94" s="1"/>
  <c r="E42" i="27"/>
  <c r="L116" i="110"/>
  <c r="L62" i="118"/>
  <c r="O66" i="118"/>
  <c r="S66" i="118" s="1"/>
  <c r="M68" i="118"/>
  <c r="O69" i="118"/>
  <c r="S69" i="118" s="1"/>
  <c r="M50" i="87"/>
  <c r="H29" i="84"/>
  <c r="H84" i="110"/>
  <c r="K89" i="114"/>
  <c r="L29" i="118"/>
  <c r="L31" i="118"/>
  <c r="L42" i="118"/>
  <c r="L89" i="118"/>
  <c r="G479" i="94"/>
  <c r="G1094" i="94" s="1"/>
  <c r="K62" i="22"/>
  <c r="K583" i="94" s="1"/>
  <c r="L62" i="110"/>
  <c r="M61" i="110"/>
  <c r="B37" i="109" s="1"/>
  <c r="D65" i="108" s="1"/>
  <c r="G18" i="118"/>
  <c r="J29" i="118"/>
  <c r="J44" i="118" s="1"/>
  <c r="J63" i="118" s="1"/>
  <c r="M26" i="118"/>
  <c r="M34" i="118"/>
  <c r="M61" i="118"/>
  <c r="B37" i="117" s="1"/>
  <c r="I390" i="94"/>
  <c r="I1083" i="94" s="1"/>
  <c r="M47" i="22"/>
  <c r="M37" i="22"/>
  <c r="O69" i="106"/>
  <c r="S69" i="106" s="1"/>
  <c r="M14" i="110"/>
  <c r="B14" i="109" s="1"/>
  <c r="D57" i="108" s="1"/>
  <c r="M26" i="110"/>
  <c r="M27" i="110"/>
  <c r="E42" i="110"/>
  <c r="M57" i="110"/>
  <c r="B33" i="109" s="1"/>
  <c r="D61" i="108" s="1"/>
  <c r="M60" i="110"/>
  <c r="B36" i="109" s="1"/>
  <c r="F36" i="109" s="1"/>
  <c r="L117" i="110"/>
  <c r="M71" i="110"/>
  <c r="B48" i="109" s="1"/>
  <c r="H18" i="118"/>
  <c r="K29" i="118"/>
  <c r="K44" i="118" s="1"/>
  <c r="K31" i="118"/>
  <c r="O70" i="118"/>
  <c r="S70" i="118" s="1"/>
  <c r="U71" i="118"/>
  <c r="J29" i="62"/>
  <c r="J259" i="94" s="1"/>
  <c r="M13" i="62"/>
  <c r="E61" i="94"/>
  <c r="M960" i="94"/>
  <c r="P83" i="65"/>
  <c r="Y76" i="42"/>
  <c r="D804" i="94"/>
  <c r="M80" i="62"/>
  <c r="D84" i="62"/>
  <c r="M11" i="62"/>
  <c r="E33" i="94"/>
  <c r="E37" i="94" s="1"/>
  <c r="E1055" i="94" s="1"/>
  <c r="E91" i="94"/>
  <c r="D66" i="83"/>
  <c r="F64" i="83"/>
  <c r="D316" i="94"/>
  <c r="D320" i="94" s="1"/>
  <c r="D1078" i="94" s="1"/>
  <c r="M34" i="62"/>
  <c r="D634" i="94"/>
  <c r="U66" i="62"/>
  <c r="M66" i="62"/>
  <c r="Y66" i="62" s="1"/>
  <c r="O66" i="62"/>
  <c r="S66" i="62" s="1"/>
  <c r="D16" i="68" s="1"/>
  <c r="E876" i="94"/>
  <c r="M87" i="62"/>
  <c r="E89" i="62"/>
  <c r="E475" i="94"/>
  <c r="M50" i="62"/>
  <c r="O65" i="62"/>
  <c r="S65" i="62" s="1"/>
  <c r="M65" i="62"/>
  <c r="D620" i="94"/>
  <c r="U65" i="62"/>
  <c r="D77" i="62"/>
  <c r="F718" i="94"/>
  <c r="D49" i="51"/>
  <c r="F521" i="94"/>
  <c r="D33" i="51"/>
  <c r="E42" i="62"/>
  <c r="E31" i="62"/>
  <c r="E274" i="94" s="1"/>
  <c r="E344" i="94"/>
  <c r="E348" i="94" s="1"/>
  <c r="M36" i="62"/>
  <c r="E245" i="94"/>
  <c r="M28" i="62"/>
  <c r="H44" i="47"/>
  <c r="H431" i="94"/>
  <c r="M35" i="47"/>
  <c r="E31" i="47"/>
  <c r="E277" i="94" s="1"/>
  <c r="E110" i="47"/>
  <c r="E333" i="94"/>
  <c r="B47" i="117"/>
  <c r="Y70" i="118"/>
  <c r="D657" i="94"/>
  <c r="O68" i="32"/>
  <c r="M68" i="32"/>
  <c r="D77" i="32"/>
  <c r="U65" i="42"/>
  <c r="O65" i="42"/>
  <c r="S65" i="42" s="1"/>
  <c r="D77" i="42"/>
  <c r="D618" i="94"/>
  <c r="M65" i="42"/>
  <c r="Y68" i="42"/>
  <c r="L119" i="42"/>
  <c r="M97" i="42"/>
  <c r="I988" i="94"/>
  <c r="I994" i="94" s="1"/>
  <c r="I1142" i="94" s="1"/>
  <c r="B29" i="41"/>
  <c r="M489" i="94"/>
  <c r="E73" i="41"/>
  <c r="J84" i="37"/>
  <c r="J859" i="94" s="1"/>
  <c r="M83" i="37"/>
  <c r="J845" i="94"/>
  <c r="M81" i="62"/>
  <c r="D818" i="94"/>
  <c r="M26" i="62"/>
  <c r="D217" i="94"/>
  <c r="E358" i="94"/>
  <c r="M37" i="62"/>
  <c r="U69" i="62"/>
  <c r="O69" i="62"/>
  <c r="S69" i="62" s="1"/>
  <c r="M69" i="62"/>
  <c r="E676" i="94"/>
  <c r="M25" i="62"/>
  <c r="D203" i="94"/>
  <c r="E846" i="94"/>
  <c r="M83" i="62"/>
  <c r="O68" i="62"/>
  <c r="U68" i="62"/>
  <c r="E662" i="94"/>
  <c r="M68" i="62"/>
  <c r="I160" i="94"/>
  <c r="M22" i="37"/>
  <c r="U71" i="42"/>
  <c r="F77" i="42"/>
  <c r="F786" i="94" s="1"/>
  <c r="M71" i="42"/>
  <c r="F702" i="94"/>
  <c r="D48" i="41"/>
  <c r="D111" i="116"/>
  <c r="B33" i="46"/>
  <c r="H961" i="94"/>
  <c r="H966" i="94" s="1"/>
  <c r="H1140" i="94" s="1"/>
  <c r="M95" i="37"/>
  <c r="H110" i="37"/>
  <c r="E618" i="94"/>
  <c r="E77" i="42"/>
  <c r="G31" i="47"/>
  <c r="G277" i="94" s="1"/>
  <c r="G110" i="47"/>
  <c r="M32" i="47"/>
  <c r="H82" i="63"/>
  <c r="F36" i="21"/>
  <c r="D64" i="20"/>
  <c r="U68" i="32"/>
  <c r="M33" i="62"/>
  <c r="D302" i="94"/>
  <c r="D990" i="94"/>
  <c r="M97" i="62"/>
  <c r="D746" i="94"/>
  <c r="U74" i="62"/>
  <c r="M74" i="62"/>
  <c r="D962" i="94"/>
  <c r="D966" i="94" s="1"/>
  <c r="D1140" i="94" s="1"/>
  <c r="M95" i="62"/>
  <c r="L11" i="65"/>
  <c r="M28" i="94"/>
  <c r="J11" i="100"/>
  <c r="M172" i="94"/>
  <c r="Q22" i="14"/>
  <c r="G11" i="97"/>
  <c r="L18" i="27"/>
  <c r="L98" i="94" s="1"/>
  <c r="L110" i="27"/>
  <c r="L126" i="94"/>
  <c r="G297" i="94"/>
  <c r="M33" i="32"/>
  <c r="G31" i="32"/>
  <c r="G269" i="94" s="1"/>
  <c r="G29" i="62"/>
  <c r="G259" i="94" s="1"/>
  <c r="G175" i="94"/>
  <c r="G18" i="62"/>
  <c r="G105" i="94" s="1"/>
  <c r="F507" i="94"/>
  <c r="D32" i="51"/>
  <c r="F62" i="62"/>
  <c r="F591" i="94" s="1"/>
  <c r="E330" i="94"/>
  <c r="M35" i="62"/>
  <c r="E648" i="94"/>
  <c r="U67" i="62"/>
  <c r="O67" i="62"/>
  <c r="S67" i="62" s="1"/>
  <c r="M67" i="62"/>
  <c r="Y67" i="62" s="1"/>
  <c r="E19" i="94"/>
  <c r="E15" i="62"/>
  <c r="E110" i="62"/>
  <c r="D774" i="94"/>
  <c r="M76" i="62"/>
  <c r="U76" i="62"/>
  <c r="D189" i="94"/>
  <c r="M24" i="62"/>
  <c r="F87" i="63"/>
  <c r="D62" i="45"/>
  <c r="F34" i="46"/>
  <c r="D109" i="45"/>
  <c r="L118" i="63"/>
  <c r="L44" i="47"/>
  <c r="L431" i="94"/>
  <c r="M964" i="94"/>
  <c r="AB83" i="65"/>
  <c r="Y76" i="106"/>
  <c r="P42" i="65"/>
  <c r="M561" i="94"/>
  <c r="B36" i="41"/>
  <c r="G684" i="94"/>
  <c r="M70" i="17"/>
  <c r="U70" i="17"/>
  <c r="K768" i="94"/>
  <c r="K77" i="17"/>
  <c r="K782" i="94" s="1"/>
  <c r="E18" i="27"/>
  <c r="E112" i="94"/>
  <c r="E123" i="94" s="1"/>
  <c r="E1063" i="94" s="1"/>
  <c r="J764" i="94"/>
  <c r="J1120" i="94" s="1"/>
  <c r="I84" i="27"/>
  <c r="I853" i="94" s="1"/>
  <c r="I839" i="94"/>
  <c r="M32" i="32"/>
  <c r="I31" i="32"/>
  <c r="I269" i="94" s="1"/>
  <c r="H804" i="94"/>
  <c r="H84" i="62"/>
  <c r="H860" i="94" s="1"/>
  <c r="M38" i="62"/>
  <c r="F372" i="94"/>
  <c r="F376" i="94" s="1"/>
  <c r="F1082" i="94" s="1"/>
  <c r="D47" i="51"/>
  <c r="F690" i="94"/>
  <c r="U70" i="62"/>
  <c r="M70" i="62"/>
  <c r="M14" i="62"/>
  <c r="D14" i="51"/>
  <c r="F75" i="94"/>
  <c r="D110" i="62"/>
  <c r="M60" i="62"/>
  <c r="D563" i="94"/>
  <c r="D567" i="94" s="1"/>
  <c r="D1104" i="94" s="1"/>
  <c r="M637" i="94"/>
  <c r="R49" i="65"/>
  <c r="Y66" i="47"/>
  <c r="B43" i="46"/>
  <c r="F36" i="16"/>
  <c r="D64" i="15"/>
  <c r="H81" i="63"/>
  <c r="H422" i="94"/>
  <c r="M95" i="22"/>
  <c r="G954" i="94"/>
  <c r="J968" i="94"/>
  <c r="J980" i="94" s="1"/>
  <c r="J1141" i="94" s="1"/>
  <c r="M96" i="22"/>
  <c r="U68" i="27"/>
  <c r="G655" i="94"/>
  <c r="M68" i="27"/>
  <c r="O68" i="27"/>
  <c r="U75" i="27"/>
  <c r="J77" i="27"/>
  <c r="J781" i="94" s="1"/>
  <c r="F114" i="94"/>
  <c r="M19" i="32"/>
  <c r="F18" i="32"/>
  <c r="F110" i="32"/>
  <c r="H288" i="94"/>
  <c r="H31" i="62"/>
  <c r="H274" i="94" s="1"/>
  <c r="D64" i="51"/>
  <c r="F876" i="94"/>
  <c r="F89" i="62"/>
  <c r="F904" i="94" s="1"/>
  <c r="D26" i="51"/>
  <c r="E76" i="51" s="1"/>
  <c r="F475" i="94"/>
  <c r="M59" i="62"/>
  <c r="D549" i="94"/>
  <c r="M735" i="94"/>
  <c r="R56" i="65"/>
  <c r="O116" i="63"/>
  <c r="F53" i="36"/>
  <c r="K53" i="36" s="1"/>
  <c r="O53" i="36" s="1"/>
  <c r="D112" i="35"/>
  <c r="L754" i="94"/>
  <c r="L764" i="94" s="1"/>
  <c r="L1120" i="94" s="1"/>
  <c r="M75" i="17"/>
  <c r="H110" i="62"/>
  <c r="H29" i="62"/>
  <c r="H259" i="94" s="1"/>
  <c r="H175" i="94"/>
  <c r="H18" i="62"/>
  <c r="H105" i="94" s="1"/>
  <c r="F42" i="62"/>
  <c r="F31" i="62"/>
  <c r="F274" i="94" s="1"/>
  <c r="F344" i="94"/>
  <c r="F662" i="94"/>
  <c r="D45" i="51"/>
  <c r="D11" i="51"/>
  <c r="F33" i="94"/>
  <c r="M21" i="62"/>
  <c r="D147" i="94"/>
  <c r="Q26" i="47"/>
  <c r="O14" i="97"/>
  <c r="M347" i="94"/>
  <c r="R22" i="65"/>
  <c r="B11" i="31"/>
  <c r="M19" i="27"/>
  <c r="M76" i="17"/>
  <c r="J430" i="94"/>
  <c r="Y76" i="17"/>
  <c r="M956" i="94"/>
  <c r="F83" i="65"/>
  <c r="M88" i="27"/>
  <c r="D44" i="27"/>
  <c r="F112" i="94"/>
  <c r="H994" i="94"/>
  <c r="H1142" i="94" s="1"/>
  <c r="H856" i="94"/>
  <c r="D84" i="94"/>
  <c r="D760" i="94"/>
  <c r="M75" i="62"/>
  <c r="U75" i="62"/>
  <c r="D976" i="94"/>
  <c r="D980" i="94" s="1"/>
  <c r="D1141" i="94" s="1"/>
  <c r="M96" i="62"/>
  <c r="D732" i="94"/>
  <c r="U73" i="62"/>
  <c r="M73" i="62"/>
  <c r="O73" i="62"/>
  <c r="S73" i="62" s="1"/>
  <c r="D18" i="65"/>
  <c r="B14" i="83"/>
  <c r="V14" i="65"/>
  <c r="M76" i="94"/>
  <c r="D13" i="51"/>
  <c r="G955" i="94"/>
  <c r="M95" i="27"/>
  <c r="I110" i="62"/>
  <c r="I491" i="94"/>
  <c r="I495" i="94" s="1"/>
  <c r="I1097" i="94" s="1"/>
  <c r="F704" i="94"/>
  <c r="D48" i="51"/>
  <c r="F18" i="62"/>
  <c r="F105" i="94" s="1"/>
  <c r="F119" i="94"/>
  <c r="E832" i="94"/>
  <c r="M82" i="62"/>
  <c r="E231" i="94"/>
  <c r="M27" i="62"/>
  <c r="D288" i="94"/>
  <c r="M32" i="62"/>
  <c r="D31" i="62"/>
  <c r="M61" i="62"/>
  <c r="D577" i="94"/>
  <c r="D581" i="94" s="1"/>
  <c r="D1105" i="94" s="1"/>
  <c r="D13" i="1"/>
  <c r="F23" i="2"/>
  <c r="AA15" i="100"/>
  <c r="M409" i="94"/>
  <c r="T18" i="97"/>
  <c r="J670" i="94"/>
  <c r="M69" i="17"/>
  <c r="U69" i="17"/>
  <c r="M93" i="27"/>
  <c r="E927" i="94"/>
  <c r="F31" i="32"/>
  <c r="F269" i="94" s="1"/>
  <c r="I876" i="94"/>
  <c r="I89" i="62"/>
  <c r="I904" i="94" s="1"/>
  <c r="H620" i="94"/>
  <c r="H77" i="62"/>
  <c r="H788" i="94" s="1"/>
  <c r="D65" i="51"/>
  <c r="F890" i="94"/>
  <c r="M88" i="62"/>
  <c r="F110" i="62"/>
  <c r="F491" i="94"/>
  <c r="D29" i="51"/>
  <c r="M53" i="62"/>
  <c r="D29" i="62"/>
  <c r="D175" i="94"/>
  <c r="D179" i="94" s="1"/>
  <c r="D18" i="62"/>
  <c r="M23" i="62"/>
  <c r="D19" i="46"/>
  <c r="D20" i="46" s="1"/>
  <c r="F44" i="47"/>
  <c r="F431" i="94"/>
  <c r="M33" i="17"/>
  <c r="G31" i="17"/>
  <c r="G268" i="94" s="1"/>
  <c r="G296" i="94"/>
  <c r="L119" i="27"/>
  <c r="K825" i="94"/>
  <c r="K84" i="27"/>
  <c r="K853" i="94" s="1"/>
  <c r="G89" i="27"/>
  <c r="G897" i="94" s="1"/>
  <c r="M87" i="27"/>
  <c r="F938" i="94"/>
  <c r="F1138" i="94" s="1"/>
  <c r="I42" i="62"/>
  <c r="I344" i="94"/>
  <c r="I31" i="62"/>
  <c r="I274" i="94" s="1"/>
  <c r="I15" i="62"/>
  <c r="I19" i="94"/>
  <c r="F676" i="94"/>
  <c r="D46" i="51"/>
  <c r="E84" i="62"/>
  <c r="E860" i="94" s="1"/>
  <c r="E804" i="94"/>
  <c r="E620" i="94"/>
  <c r="E77" i="62"/>
  <c r="E788" i="94" s="1"/>
  <c r="D161" i="94"/>
  <c r="M22" i="62"/>
  <c r="G980" i="94"/>
  <c r="G1141" i="94" s="1"/>
  <c r="L111" i="94"/>
  <c r="L110" i="22"/>
  <c r="K796" i="94"/>
  <c r="K84" i="22"/>
  <c r="K852" i="94" s="1"/>
  <c r="G940" i="94"/>
  <c r="M94" i="22"/>
  <c r="G18" i="27"/>
  <c r="G98" i="94" s="1"/>
  <c r="G112" i="94"/>
  <c r="L507" i="94"/>
  <c r="L511" i="94" s="1"/>
  <c r="L1100" i="94" s="1"/>
  <c r="L62" i="62"/>
  <c r="L591" i="94" s="1"/>
  <c r="J119" i="94"/>
  <c r="J18" i="62"/>
  <c r="J105" i="94" s="1"/>
  <c r="D60" i="51"/>
  <c r="F846" i="94"/>
  <c r="M58" i="62"/>
  <c r="D535" i="94"/>
  <c r="I44" i="42"/>
  <c r="M29" i="42"/>
  <c r="L110" i="62"/>
  <c r="L491" i="94"/>
  <c r="L495" i="94" s="1"/>
  <c r="L1097" i="94" s="1"/>
  <c r="K804" i="94"/>
  <c r="K84" i="62"/>
  <c r="K860" i="94" s="1"/>
  <c r="K620" i="94"/>
  <c r="K77" i="62"/>
  <c r="K788" i="94" s="1"/>
  <c r="J62" i="62"/>
  <c r="J591" i="94" s="1"/>
  <c r="J507" i="94"/>
  <c r="G507" i="94"/>
  <c r="G62" i="62"/>
  <c r="G591" i="94" s="1"/>
  <c r="F832" i="94"/>
  <c r="D59" i="51"/>
  <c r="F648" i="94"/>
  <c r="D44" i="51"/>
  <c r="F15" i="62"/>
  <c r="D10" i="51"/>
  <c r="F19" i="94"/>
  <c r="F23" i="94" s="1"/>
  <c r="M57" i="62"/>
  <c r="D521" i="94"/>
  <c r="D525" i="94" s="1"/>
  <c r="D1101" i="94" s="1"/>
  <c r="J252" i="94"/>
  <c r="J44" i="27"/>
  <c r="D105" i="116"/>
  <c r="F13" i="46"/>
  <c r="R14" i="97"/>
  <c r="M389" i="94"/>
  <c r="M285" i="94"/>
  <c r="R11" i="100"/>
  <c r="E86" i="94"/>
  <c r="M141" i="94"/>
  <c r="I420" i="94"/>
  <c r="H55" i="65"/>
  <c r="B49" i="21"/>
  <c r="M710" i="94"/>
  <c r="K423" i="94"/>
  <c r="K44" i="32"/>
  <c r="V40" i="65"/>
  <c r="M536" i="94"/>
  <c r="B34" i="83"/>
  <c r="M162" i="94"/>
  <c r="I20" i="100"/>
  <c r="H77" i="92"/>
  <c r="H784" i="94" s="1"/>
  <c r="H658" i="94"/>
  <c r="M68" i="92"/>
  <c r="Y68" i="92" s="1"/>
  <c r="M47" i="62"/>
  <c r="D459" i="94"/>
  <c r="D463" i="94" s="1"/>
  <c r="D1091" i="94" s="1"/>
  <c r="D414" i="94"/>
  <c r="D418" i="94" s="1"/>
  <c r="D1085" i="94" s="1"/>
  <c r="M41" i="62"/>
  <c r="M144" i="94"/>
  <c r="Y74" i="14"/>
  <c r="M743" i="94"/>
  <c r="D74" i="2"/>
  <c r="F40" i="65"/>
  <c r="B34" i="16"/>
  <c r="M529" i="94"/>
  <c r="H420" i="94"/>
  <c r="M34" i="32"/>
  <c r="M20" i="62"/>
  <c r="U65" i="32"/>
  <c r="J615" i="94"/>
  <c r="F957" i="94"/>
  <c r="M95" i="32"/>
  <c r="U73" i="42"/>
  <c r="M73" i="42"/>
  <c r="J730" i="94"/>
  <c r="G122" i="94"/>
  <c r="M19" i="47"/>
  <c r="F31" i="47"/>
  <c r="F305" i="94"/>
  <c r="F110" i="47"/>
  <c r="M33" i="47"/>
  <c r="AF12" i="100"/>
  <c r="AA12" i="97"/>
  <c r="S12" i="74"/>
  <c r="V12" i="73"/>
  <c r="J11" i="78"/>
  <c r="M21" i="87"/>
  <c r="D18" i="87"/>
  <c r="K151" i="94"/>
  <c r="K1065" i="94" s="1"/>
  <c r="K18" i="87"/>
  <c r="K110" i="87"/>
  <c r="M33" i="87"/>
  <c r="J334" i="94"/>
  <c r="J1079" i="94" s="1"/>
  <c r="J418" i="94"/>
  <c r="J1085" i="94" s="1"/>
  <c r="P75" i="62"/>
  <c r="L115" i="62"/>
  <c r="J110" i="62"/>
  <c r="J491" i="94"/>
  <c r="I620" i="94"/>
  <c r="I77" i="62"/>
  <c r="I788" i="94" s="1"/>
  <c r="F634" i="94"/>
  <c r="D43" i="51"/>
  <c r="E29" i="62"/>
  <c r="E259" i="94" s="1"/>
  <c r="E175" i="94"/>
  <c r="E18" i="62"/>
  <c r="E105" i="94" s="1"/>
  <c r="D718" i="94"/>
  <c r="U72" i="62"/>
  <c r="M72" i="62"/>
  <c r="O72" i="62"/>
  <c r="S72" i="62" s="1"/>
  <c r="Y67" i="118"/>
  <c r="B44" i="117"/>
  <c r="Y68" i="47"/>
  <c r="B45" i="46"/>
  <c r="B46" i="31"/>
  <c r="L52" i="65"/>
  <c r="Y69" i="32"/>
  <c r="X33" i="106"/>
  <c r="F23" i="100"/>
  <c r="M121" i="94"/>
  <c r="G463" i="94"/>
  <c r="G1091" i="94" s="1"/>
  <c r="L119" i="14"/>
  <c r="Y65" i="14"/>
  <c r="E778" i="94"/>
  <c r="E1121" i="94" s="1"/>
  <c r="E89" i="14"/>
  <c r="E887" i="94"/>
  <c r="H31" i="17"/>
  <c r="H268" i="94" s="1"/>
  <c r="B57" i="46"/>
  <c r="J44" i="47"/>
  <c r="Y69" i="47"/>
  <c r="R52" i="65"/>
  <c r="B46" i="46"/>
  <c r="M679" i="94"/>
  <c r="E87" i="94"/>
  <c r="D53" i="2"/>
  <c r="F771" i="94"/>
  <c r="U76" i="14"/>
  <c r="I815" i="94"/>
  <c r="I84" i="14"/>
  <c r="I857" i="94" s="1"/>
  <c r="M81" i="14"/>
  <c r="G89" i="14"/>
  <c r="G901" i="94" s="1"/>
  <c r="M87" i="14"/>
  <c r="F887" i="94"/>
  <c r="D65" i="2"/>
  <c r="D66" i="2" s="1"/>
  <c r="F99" i="94"/>
  <c r="D33" i="31"/>
  <c r="D38" i="31" s="1"/>
  <c r="F62" i="32"/>
  <c r="F516" i="94"/>
  <c r="M57" i="32"/>
  <c r="H170" i="94"/>
  <c r="H29" i="32"/>
  <c r="H110" i="32"/>
  <c r="H18" i="32"/>
  <c r="H100" i="94" s="1"/>
  <c r="M23" i="32"/>
  <c r="U67" i="118"/>
  <c r="O67" i="118"/>
  <c r="S67" i="118" s="1"/>
  <c r="M835" i="94"/>
  <c r="D112" i="45"/>
  <c r="O118" i="63"/>
  <c r="F53" i="46"/>
  <c r="K53" i="46" s="1"/>
  <c r="O53" i="46" s="1"/>
  <c r="M889" i="94"/>
  <c r="H843" i="94"/>
  <c r="M83" i="14"/>
  <c r="I112" i="94"/>
  <c r="I18" i="27"/>
  <c r="I98" i="94" s="1"/>
  <c r="I110" i="27"/>
  <c r="O73" i="37"/>
  <c r="S73" i="37" s="1"/>
  <c r="G77" i="37"/>
  <c r="G787" i="94" s="1"/>
  <c r="G731" i="94"/>
  <c r="U73" i="37"/>
  <c r="K77" i="87"/>
  <c r="D46" i="91"/>
  <c r="F672" i="94"/>
  <c r="F110" i="92"/>
  <c r="M69" i="92"/>
  <c r="U69" i="92"/>
  <c r="F77" i="92"/>
  <c r="F784" i="94" s="1"/>
  <c r="F686" i="94"/>
  <c r="D47" i="91"/>
  <c r="M70" i="92"/>
  <c r="Y70" i="92" s="1"/>
  <c r="G958" i="94"/>
  <c r="M95" i="92"/>
  <c r="M58" i="32"/>
  <c r="J530" i="94"/>
  <c r="J110" i="32"/>
  <c r="J62" i="32"/>
  <c r="J586" i="94" s="1"/>
  <c r="E394" i="94"/>
  <c r="E404" i="94" s="1"/>
  <c r="E1084" i="94" s="1"/>
  <c r="M40" i="17"/>
  <c r="E42" i="17"/>
  <c r="L366" i="94"/>
  <c r="L376" i="94" s="1"/>
  <c r="L1082" i="94" s="1"/>
  <c r="M38" i="17"/>
  <c r="L42" i="17"/>
  <c r="M37" i="17"/>
  <c r="X45" i="17" s="1"/>
  <c r="I352" i="94"/>
  <c r="I362" i="94" s="1"/>
  <c r="I1081" i="94" s="1"/>
  <c r="I42" i="17"/>
  <c r="D14" i="16"/>
  <c r="F69" i="94"/>
  <c r="M14" i="17"/>
  <c r="F15" i="17"/>
  <c r="L89" i="62"/>
  <c r="L904" i="94" s="1"/>
  <c r="L876" i="94"/>
  <c r="I84" i="62"/>
  <c r="I860" i="94" s="1"/>
  <c r="F818" i="94"/>
  <c r="D58" i="51"/>
  <c r="D400" i="94"/>
  <c r="D404" i="94" s="1"/>
  <c r="D1084" i="94" s="1"/>
  <c r="M40" i="62"/>
  <c r="X22" i="100"/>
  <c r="X37" i="92"/>
  <c r="X46" i="92"/>
  <c r="Q26" i="92"/>
  <c r="M340" i="94"/>
  <c r="B29" i="21"/>
  <c r="H35" i="65"/>
  <c r="E73" i="21"/>
  <c r="M483" i="94"/>
  <c r="J14" i="100"/>
  <c r="G12" i="97"/>
  <c r="Q22" i="27"/>
  <c r="M168" i="94"/>
  <c r="J18" i="65"/>
  <c r="F479" i="94"/>
  <c r="D903" i="94"/>
  <c r="B52" i="41"/>
  <c r="M758" i="94"/>
  <c r="P58" i="65"/>
  <c r="N84" i="65"/>
  <c r="M975" i="94"/>
  <c r="O70" i="62"/>
  <c r="S70" i="62" s="1"/>
  <c r="K649" i="94"/>
  <c r="K77" i="84"/>
  <c r="K789" i="94" s="1"/>
  <c r="K805" i="94"/>
  <c r="M80" i="84"/>
  <c r="K84" i="84"/>
  <c r="K861" i="94" s="1"/>
  <c r="H306" i="94"/>
  <c r="H1077" i="94" s="1"/>
  <c r="H418" i="94"/>
  <c r="H1085" i="94" s="1"/>
  <c r="K312" i="94"/>
  <c r="K31" i="92"/>
  <c r="K270" i="94" s="1"/>
  <c r="G658" i="94"/>
  <c r="G77" i="92"/>
  <c r="G784" i="94" s="1"/>
  <c r="U68" i="92"/>
  <c r="O68" i="92"/>
  <c r="G672" i="94"/>
  <c r="O69" i="92"/>
  <c r="S69" i="92" s="1"/>
  <c r="D216" i="94"/>
  <c r="D29" i="37"/>
  <c r="M26" i="37"/>
  <c r="K188" i="94"/>
  <c r="K29" i="37"/>
  <c r="H31" i="37"/>
  <c r="H273" i="94" s="1"/>
  <c r="H343" i="94"/>
  <c r="H348" i="94" s="1"/>
  <c r="H1080" i="94" s="1"/>
  <c r="H42" i="37"/>
  <c r="F413" i="94"/>
  <c r="F418" i="94" s="1"/>
  <c r="F1085" i="94" s="1"/>
  <c r="F42" i="37"/>
  <c r="M41" i="37"/>
  <c r="L18" i="94"/>
  <c r="L110" i="37"/>
  <c r="L15" i="37"/>
  <c r="I62" i="32"/>
  <c r="I586" i="94" s="1"/>
  <c r="I110" i="32"/>
  <c r="G15" i="22"/>
  <c r="G110" i="22"/>
  <c r="G67" i="94"/>
  <c r="M14" i="22"/>
  <c r="D53" i="94"/>
  <c r="M13" i="22"/>
  <c r="K110" i="22"/>
  <c r="K15" i="22"/>
  <c r="K11" i="94"/>
  <c r="J485" i="94"/>
  <c r="J110" i="17"/>
  <c r="M53" i="17"/>
  <c r="H469" i="94"/>
  <c r="H479" i="94" s="1"/>
  <c r="H1094" i="94" s="1"/>
  <c r="H110" i="17"/>
  <c r="M50" i="17"/>
  <c r="F453" i="94"/>
  <c r="D23" i="16"/>
  <c r="L239" i="94"/>
  <c r="L249" i="94" s="1"/>
  <c r="L1072" i="94" s="1"/>
  <c r="M28" i="17"/>
  <c r="I225" i="94"/>
  <c r="M27" i="17"/>
  <c r="I29" i="17"/>
  <c r="I253" i="94" s="1"/>
  <c r="I110" i="17"/>
  <c r="G211" i="94"/>
  <c r="G29" i="17"/>
  <c r="G253" i="94" s="1"/>
  <c r="D29" i="17"/>
  <c r="D197" i="94"/>
  <c r="M25" i="17"/>
  <c r="J31" i="17"/>
  <c r="J268" i="94" s="1"/>
  <c r="J338" i="94"/>
  <c r="M36" i="17"/>
  <c r="J42" i="17"/>
  <c r="G42" i="17"/>
  <c r="M41" i="17"/>
  <c r="G408" i="94"/>
  <c r="K288" i="94"/>
  <c r="K31" i="62"/>
  <c r="K274" i="94" s="1"/>
  <c r="K189" i="94"/>
  <c r="K110" i="62"/>
  <c r="D948" i="94"/>
  <c r="M94" i="62"/>
  <c r="D441" i="94"/>
  <c r="M840" i="94"/>
  <c r="B60" i="16"/>
  <c r="F60" i="16" s="1"/>
  <c r="N19" i="80" s="1"/>
  <c r="F66" i="65"/>
  <c r="F84" i="94"/>
  <c r="E272" i="94"/>
  <c r="F11" i="21"/>
  <c r="D15" i="21"/>
  <c r="Y15" i="97"/>
  <c r="T15" i="73"/>
  <c r="H14" i="78"/>
  <c r="Q15" i="74"/>
  <c r="AD15" i="100"/>
  <c r="I134" i="94"/>
  <c r="I18" i="84"/>
  <c r="I106" i="94" s="1"/>
  <c r="I331" i="94"/>
  <c r="I334" i="94" s="1"/>
  <c r="I1079" i="94" s="1"/>
  <c r="M35" i="84"/>
  <c r="X29" i="84" s="1"/>
  <c r="M68" i="84"/>
  <c r="H110" i="84"/>
  <c r="M20" i="87"/>
  <c r="L110" i="87"/>
  <c r="H77" i="87"/>
  <c r="H110" i="87"/>
  <c r="U69" i="87"/>
  <c r="D680" i="94"/>
  <c r="D1114" i="94" s="1"/>
  <c r="M69" i="87"/>
  <c r="O69" i="87"/>
  <c r="S69" i="87" s="1"/>
  <c r="H828" i="94"/>
  <c r="H836" i="94" s="1"/>
  <c r="H1127" i="94" s="1"/>
  <c r="M82" i="92"/>
  <c r="L202" i="94"/>
  <c r="L207" i="94" s="1"/>
  <c r="L1069" i="94" s="1"/>
  <c r="L29" i="37"/>
  <c r="M25" i="37"/>
  <c r="J188" i="94"/>
  <c r="J193" i="94" s="1"/>
  <c r="J1068" i="94" s="1"/>
  <c r="J29" i="37"/>
  <c r="G343" i="94"/>
  <c r="G31" i="37"/>
  <c r="G273" i="94" s="1"/>
  <c r="M36" i="37"/>
  <c r="G42" i="37"/>
  <c r="E60" i="94"/>
  <c r="E15" i="37"/>
  <c r="M13" i="37"/>
  <c r="K18" i="94"/>
  <c r="M10" i="37"/>
  <c r="N10" i="65" s="1"/>
  <c r="K110" i="37"/>
  <c r="K15" i="37"/>
  <c r="H62" i="32"/>
  <c r="H586" i="94" s="1"/>
  <c r="M61" i="32"/>
  <c r="H572" i="94"/>
  <c r="H223" i="94"/>
  <c r="H235" i="94" s="1"/>
  <c r="H1071" i="94" s="1"/>
  <c r="M27" i="22"/>
  <c r="H29" i="22"/>
  <c r="H251" i="94" s="1"/>
  <c r="H445" i="94"/>
  <c r="F33" i="83"/>
  <c r="D61" i="82"/>
  <c r="E593" i="94"/>
  <c r="J22" i="65"/>
  <c r="V14" i="100"/>
  <c r="M337" i="94"/>
  <c r="Q26" i="27"/>
  <c r="M471" i="94"/>
  <c r="Z32" i="65"/>
  <c r="B26" i="91"/>
  <c r="E72" i="91"/>
  <c r="B13" i="83"/>
  <c r="V13" i="65"/>
  <c r="S73" i="14"/>
  <c r="M407" i="94"/>
  <c r="AA14" i="100"/>
  <c r="T12" i="97"/>
  <c r="E897" i="94"/>
  <c r="L421" i="94"/>
  <c r="L44" i="27"/>
  <c r="B13" i="41"/>
  <c r="M59" i="94"/>
  <c r="M888" i="94"/>
  <c r="P71" i="65"/>
  <c r="P72" i="65" s="1"/>
  <c r="K84" i="37"/>
  <c r="K859" i="94" s="1"/>
  <c r="K831" i="94"/>
  <c r="M32" i="42"/>
  <c r="I286" i="94"/>
  <c r="G938" i="94"/>
  <c r="G1138" i="94" s="1"/>
  <c r="V13" i="73"/>
  <c r="AA13" i="97"/>
  <c r="AF13" i="100"/>
  <c r="S13" i="74"/>
  <c r="J12" i="78"/>
  <c r="K317" i="94"/>
  <c r="K31" i="84"/>
  <c r="K275" i="94" s="1"/>
  <c r="F635" i="94"/>
  <c r="M66" i="84"/>
  <c r="F77" i="84"/>
  <c r="F789" i="94" s="1"/>
  <c r="D43" i="83"/>
  <c r="U66" i="84"/>
  <c r="D649" i="94"/>
  <c r="D77" i="84"/>
  <c r="M67" i="84"/>
  <c r="U67" i="84"/>
  <c r="O67" i="84"/>
  <c r="S67" i="84" s="1"/>
  <c r="D37" i="94"/>
  <c r="D1055" i="94" s="1"/>
  <c r="L306" i="94"/>
  <c r="L1077" i="94" s="1"/>
  <c r="K720" i="94"/>
  <c r="K110" i="106"/>
  <c r="M72" i="106"/>
  <c r="J360" i="94"/>
  <c r="J362" i="94" s="1"/>
  <c r="J1081" i="94" s="1"/>
  <c r="M37" i="106"/>
  <c r="M13" i="110"/>
  <c r="J15" i="110"/>
  <c r="M20" i="110"/>
  <c r="I110" i="110"/>
  <c r="M22" i="110"/>
  <c r="E18" i="110"/>
  <c r="H29" i="110"/>
  <c r="H18" i="110"/>
  <c r="M23" i="110"/>
  <c r="Q22" i="110" s="1"/>
  <c r="M33" i="110"/>
  <c r="D31" i="110"/>
  <c r="K31" i="110"/>
  <c r="K42" i="110"/>
  <c r="E110" i="110"/>
  <c r="K110" i="110"/>
  <c r="M53" i="110"/>
  <c r="U65" i="110"/>
  <c r="D77" i="110"/>
  <c r="M65" i="110"/>
  <c r="B42" i="109" s="1"/>
  <c r="O65" i="110"/>
  <c r="S65" i="110" s="1"/>
  <c r="L119" i="110"/>
  <c r="Y68" i="62"/>
  <c r="L118" i="62"/>
  <c r="L42" i="62"/>
  <c r="L344" i="94"/>
  <c r="L348" i="94" s="1"/>
  <c r="L1080" i="94" s="1"/>
  <c r="L31" i="62"/>
  <c r="L274" i="94" s="1"/>
  <c r="L19" i="94"/>
  <c r="L15" i="62"/>
  <c r="F65" i="41"/>
  <c r="Q23" i="97"/>
  <c r="M374" i="94"/>
  <c r="X23" i="100"/>
  <c r="X37" i="106"/>
  <c r="M484" i="94"/>
  <c r="E73" i="26"/>
  <c r="E585" i="94"/>
  <c r="Q26" i="32"/>
  <c r="V15" i="100"/>
  <c r="E44" i="37"/>
  <c r="E442" i="94" s="1"/>
  <c r="F767" i="94"/>
  <c r="D53" i="26"/>
  <c r="U76" i="27"/>
  <c r="F77" i="27"/>
  <c r="F781" i="94" s="1"/>
  <c r="M76" i="27"/>
  <c r="M74" i="37"/>
  <c r="H745" i="94"/>
  <c r="H750" i="94" s="1"/>
  <c r="H1119" i="94" s="1"/>
  <c r="L831" i="94"/>
  <c r="L84" i="37"/>
  <c r="L859" i="94" s="1"/>
  <c r="L145" i="94"/>
  <c r="L151" i="94" s="1"/>
  <c r="L1065" i="94" s="1"/>
  <c r="L110" i="42"/>
  <c r="I766" i="94"/>
  <c r="I778" i="94" s="1"/>
  <c r="I1121" i="94" s="1"/>
  <c r="M76" i="22"/>
  <c r="M10" i="110"/>
  <c r="B10" i="109" s="1"/>
  <c r="E15" i="110"/>
  <c r="M19" i="110"/>
  <c r="X33" i="110" s="1"/>
  <c r="D18" i="110"/>
  <c r="I29" i="110"/>
  <c r="I44" i="110" s="1"/>
  <c r="I18" i="110"/>
  <c r="H31" i="110"/>
  <c r="L31" i="110"/>
  <c r="L42" i="110"/>
  <c r="L44" i="110" s="1"/>
  <c r="D23" i="109"/>
  <c r="F110" i="110"/>
  <c r="L110" i="110"/>
  <c r="U66" i="110"/>
  <c r="O66" i="110"/>
  <c r="S66" i="110" s="1"/>
  <c r="M66" i="110"/>
  <c r="Y15" i="100"/>
  <c r="X25" i="32"/>
  <c r="M186" i="94"/>
  <c r="X34" i="14"/>
  <c r="N29" i="65"/>
  <c r="M458" i="94"/>
  <c r="B23" i="36"/>
  <c r="Z14" i="65"/>
  <c r="B14" i="91"/>
  <c r="M71" i="94"/>
  <c r="F56" i="65"/>
  <c r="B50" i="16"/>
  <c r="L63" i="65"/>
  <c r="M799" i="94"/>
  <c r="B57" i="31"/>
  <c r="E327" i="94"/>
  <c r="M35" i="14"/>
  <c r="X42" i="14" s="1"/>
  <c r="E31" i="14"/>
  <c r="E271" i="94" s="1"/>
  <c r="F334" i="94"/>
  <c r="F1079" i="94" s="1"/>
  <c r="L479" i="94"/>
  <c r="L1094" i="94" s="1"/>
  <c r="M20" i="22"/>
  <c r="H125" i="94"/>
  <c r="H110" i="22"/>
  <c r="H18" i="22"/>
  <c r="H97" i="94" s="1"/>
  <c r="I77" i="27"/>
  <c r="I781" i="94" s="1"/>
  <c r="I627" i="94"/>
  <c r="I638" i="94" s="1"/>
  <c r="I1111" i="94" s="1"/>
  <c r="M66" i="27"/>
  <c r="J671" i="94"/>
  <c r="U69" i="32"/>
  <c r="U72" i="32"/>
  <c r="E713" i="94"/>
  <c r="E722" i="94" s="1"/>
  <c r="E1117" i="94" s="1"/>
  <c r="E110" i="32"/>
  <c r="J18" i="37"/>
  <c r="J104" i="94" s="1"/>
  <c r="J118" i="94"/>
  <c r="D31" i="37"/>
  <c r="M35" i="37"/>
  <c r="D46" i="103"/>
  <c r="L36" i="65"/>
  <c r="Q15" i="97"/>
  <c r="D19" i="21"/>
  <c r="D31" i="68"/>
  <c r="Y65" i="37"/>
  <c r="N48" i="65"/>
  <c r="Z23" i="100"/>
  <c r="M402" i="94"/>
  <c r="S23" i="97"/>
  <c r="D858" i="94"/>
  <c r="F31" i="17"/>
  <c r="F310" i="94"/>
  <c r="H84" i="17"/>
  <c r="H854" i="94" s="1"/>
  <c r="H798" i="94"/>
  <c r="E970" i="94"/>
  <c r="E980" i="94" s="1"/>
  <c r="E1141" i="94" s="1"/>
  <c r="M96" i="17"/>
  <c r="E325" i="94"/>
  <c r="E31" i="32"/>
  <c r="M35" i="32"/>
  <c r="I615" i="94"/>
  <c r="I77" i="32"/>
  <c r="I783" i="94" s="1"/>
  <c r="M65" i="32"/>
  <c r="H841" i="94"/>
  <c r="M83" i="32"/>
  <c r="H84" i="32"/>
  <c r="H855" i="94" s="1"/>
  <c r="E18" i="37"/>
  <c r="M21" i="37"/>
  <c r="D50" i="36"/>
  <c r="F77" i="37"/>
  <c r="F787" i="94" s="1"/>
  <c r="F110" i="37"/>
  <c r="M73" i="37"/>
  <c r="F731" i="94"/>
  <c r="P75" i="37"/>
  <c r="L115" i="37"/>
  <c r="M198" i="94"/>
  <c r="I18" i="97"/>
  <c r="S65" i="14"/>
  <c r="E193" i="94"/>
  <c r="E1068" i="94" s="1"/>
  <c r="M971" i="94"/>
  <c r="L84" i="65"/>
  <c r="I680" i="94"/>
  <c r="I1114" i="94" s="1"/>
  <c r="M477" i="94"/>
  <c r="E72" i="105"/>
  <c r="B26" i="105"/>
  <c r="L430" i="94"/>
  <c r="G116" i="94"/>
  <c r="G110" i="14"/>
  <c r="M19" i="14"/>
  <c r="G18" i="14"/>
  <c r="G102" i="94" s="1"/>
  <c r="F77" i="17"/>
  <c r="F782" i="94" s="1"/>
  <c r="D47" i="16"/>
  <c r="M65" i="27"/>
  <c r="U65" i="27"/>
  <c r="O65" i="27"/>
  <c r="S65" i="27" s="1"/>
  <c r="G77" i="27"/>
  <c r="G781" i="94" s="1"/>
  <c r="F983" i="94"/>
  <c r="M97" i="27"/>
  <c r="G110" i="32"/>
  <c r="G77" i="32"/>
  <c r="G783" i="94" s="1"/>
  <c r="O66" i="32"/>
  <c r="S66" i="32" s="1"/>
  <c r="L119" i="32"/>
  <c r="H77" i="37"/>
  <c r="H787" i="94" s="1"/>
  <c r="H675" i="94"/>
  <c r="H680" i="94" s="1"/>
  <c r="H1114" i="94" s="1"/>
  <c r="M69" i="37"/>
  <c r="H717" i="94"/>
  <c r="M72" i="37"/>
  <c r="F444" i="94"/>
  <c r="B51" i="105"/>
  <c r="D74" i="105"/>
  <c r="X34" i="17"/>
  <c r="K12" i="100"/>
  <c r="D48" i="65"/>
  <c r="B42" i="2"/>
  <c r="D26" i="68"/>
  <c r="H38" i="65"/>
  <c r="B32" i="21"/>
  <c r="M499" i="94"/>
  <c r="L65" i="65"/>
  <c r="B59" i="31"/>
  <c r="F59" i="31" s="1"/>
  <c r="I652" i="94"/>
  <c r="I1112" i="94" s="1"/>
  <c r="H736" i="94"/>
  <c r="H1118" i="94" s="1"/>
  <c r="F826" i="94"/>
  <c r="M82" i="17"/>
  <c r="D59" i="16"/>
  <c r="E870" i="94"/>
  <c r="M87" i="17"/>
  <c r="J654" i="94"/>
  <c r="J666" i="94" s="1"/>
  <c r="J1113" i="94" s="1"/>
  <c r="U68" i="22"/>
  <c r="D46" i="21"/>
  <c r="D682" i="94"/>
  <c r="U70" i="22"/>
  <c r="M70" i="22"/>
  <c r="M69" i="27"/>
  <c r="U69" i="27"/>
  <c r="G669" i="94"/>
  <c r="O69" i="27"/>
  <c r="S69" i="27" s="1"/>
  <c r="H397" i="94"/>
  <c r="H42" i="14"/>
  <c r="F383" i="94"/>
  <c r="F390" i="94" s="1"/>
  <c r="F1083" i="94" s="1"/>
  <c r="M39" i="14"/>
  <c r="F42" i="14"/>
  <c r="M13" i="14"/>
  <c r="K58" i="94"/>
  <c r="M10" i="14"/>
  <c r="I15" i="14"/>
  <c r="I16" i="94"/>
  <c r="Y67" i="114"/>
  <c r="E75" i="113"/>
  <c r="L832" i="94"/>
  <c r="L84" i="62"/>
  <c r="L860" i="94" s="1"/>
  <c r="L77" i="62"/>
  <c r="L788" i="94" s="1"/>
  <c r="L648" i="94"/>
  <c r="K563" i="94"/>
  <c r="K62" i="62"/>
  <c r="K591" i="94" s="1"/>
  <c r="K29" i="62"/>
  <c r="K259" i="94" s="1"/>
  <c r="K175" i="94"/>
  <c r="K18" i="62"/>
  <c r="K105" i="94" s="1"/>
  <c r="J876" i="94"/>
  <c r="J89" i="62"/>
  <c r="J904" i="94" s="1"/>
  <c r="J676" i="94"/>
  <c r="J77" i="62"/>
  <c r="J788" i="94" s="1"/>
  <c r="J33" i="94"/>
  <c r="J15" i="62"/>
  <c r="I62" i="62"/>
  <c r="I591" i="94" s="1"/>
  <c r="I577" i="94"/>
  <c r="I29" i="62"/>
  <c r="I259" i="94" s="1"/>
  <c r="I189" i="94"/>
  <c r="I193" i="94" s="1"/>
  <c r="I1068" i="94" s="1"/>
  <c r="H42" i="62"/>
  <c r="H400" i="94"/>
  <c r="H521" i="94"/>
  <c r="H62" i="62"/>
  <c r="H591" i="94" s="1"/>
  <c r="G42" i="62"/>
  <c r="G358" i="94"/>
  <c r="G362" i="94" s="1"/>
  <c r="G1081" i="94" s="1"/>
  <c r="G876" i="94"/>
  <c r="G880" i="94" s="1"/>
  <c r="G1132" i="94" s="1"/>
  <c r="G89" i="62"/>
  <c r="G904" i="94" s="1"/>
  <c r="G77" i="62"/>
  <c r="G788" i="94" s="1"/>
  <c r="G676" i="94"/>
  <c r="G15" i="62"/>
  <c r="G61" i="94"/>
  <c r="G65" i="94" s="1"/>
  <c r="G1057" i="94" s="1"/>
  <c r="F804" i="94"/>
  <c r="D57" i="51"/>
  <c r="F84" i="62"/>
  <c r="F860" i="94" s="1"/>
  <c r="F620" i="94"/>
  <c r="F77" i="62"/>
  <c r="F788" i="94" s="1"/>
  <c r="F29" i="62"/>
  <c r="F203" i="94"/>
  <c r="E549" i="94"/>
  <c r="E62" i="62"/>
  <c r="E591" i="94" s="1"/>
  <c r="D42" i="62"/>
  <c r="M39" i="62"/>
  <c r="D386" i="94"/>
  <c r="D390" i="94" s="1"/>
  <c r="D1083" i="94" s="1"/>
  <c r="D934" i="94"/>
  <c r="M93" i="62"/>
  <c r="U71" i="62"/>
  <c r="D704" i="94"/>
  <c r="M71" i="62"/>
  <c r="O71" i="62"/>
  <c r="S71" i="62" s="1"/>
  <c r="M56" i="62"/>
  <c r="D507" i="94"/>
  <c r="D511" i="94" s="1"/>
  <c r="D1100" i="94" s="1"/>
  <c r="D62" i="62"/>
  <c r="D119" i="94"/>
  <c r="M19" i="62"/>
  <c r="K44" i="27"/>
  <c r="K421" i="94"/>
  <c r="J44" i="84"/>
  <c r="J444" i="94" s="1"/>
  <c r="J429" i="94"/>
  <c r="V53" i="65"/>
  <c r="M691" i="94"/>
  <c r="B47" i="83"/>
  <c r="J612" i="94"/>
  <c r="J110" i="22"/>
  <c r="U65" i="22"/>
  <c r="K654" i="94"/>
  <c r="K666" i="94" s="1"/>
  <c r="K1113" i="94" s="1"/>
  <c r="K77" i="22"/>
  <c r="K780" i="94" s="1"/>
  <c r="G750" i="94"/>
  <c r="G1119" i="94" s="1"/>
  <c r="D838" i="94"/>
  <c r="M83" i="22"/>
  <c r="D84" i="22"/>
  <c r="I77" i="47"/>
  <c r="I791" i="94" s="1"/>
  <c r="I623" i="94"/>
  <c r="H721" i="94"/>
  <c r="M72" i="47"/>
  <c r="H77" i="47"/>
  <c r="H791" i="94" s="1"/>
  <c r="D52" i="46"/>
  <c r="F763" i="94"/>
  <c r="H503" i="94"/>
  <c r="H511" i="94" s="1"/>
  <c r="H1100" i="94" s="1"/>
  <c r="H62" i="92"/>
  <c r="G487" i="94"/>
  <c r="G495" i="94" s="1"/>
  <c r="G1097" i="94" s="1"/>
  <c r="G110" i="92"/>
  <c r="M53" i="92"/>
  <c r="K15" i="92"/>
  <c r="K57" i="94"/>
  <c r="K110" i="92"/>
  <c r="I15" i="92"/>
  <c r="I29" i="94"/>
  <c r="I37" i="94" s="1"/>
  <c r="I1055" i="94" s="1"/>
  <c r="J472" i="94"/>
  <c r="M50" i="14"/>
  <c r="M25" i="14"/>
  <c r="E200" i="94"/>
  <c r="E207" i="94" s="1"/>
  <c r="E1069" i="94" s="1"/>
  <c r="K31" i="14"/>
  <c r="K271" i="94" s="1"/>
  <c r="K42" i="14"/>
  <c r="M36" i="14"/>
  <c r="G994" i="94"/>
  <c r="G1142" i="94" s="1"/>
  <c r="L390" i="94"/>
  <c r="L1083" i="94" s="1"/>
  <c r="J43" i="65"/>
  <c r="B37" i="26"/>
  <c r="D423" i="94"/>
  <c r="Z50" i="65"/>
  <c r="E75" i="91"/>
  <c r="M644" i="94"/>
  <c r="G261" i="94"/>
  <c r="G44" i="106"/>
  <c r="G63" i="106" s="1"/>
  <c r="E659" i="94"/>
  <c r="M68" i="14"/>
  <c r="O72" i="14"/>
  <c r="S72" i="14" s="1"/>
  <c r="U72" i="14"/>
  <c r="H84" i="42"/>
  <c r="H816" i="94"/>
  <c r="H822" i="94" s="1"/>
  <c r="H1126" i="94" s="1"/>
  <c r="J749" i="94"/>
  <c r="M74" i="47"/>
  <c r="J77" i="47"/>
  <c r="J791" i="94" s="1"/>
  <c r="U74" i="47"/>
  <c r="D57" i="46"/>
  <c r="F807" i="94"/>
  <c r="L930" i="94"/>
  <c r="L938" i="94" s="1"/>
  <c r="L1138" i="94" s="1"/>
  <c r="L110" i="92"/>
  <c r="AE22" i="100"/>
  <c r="U21" i="73"/>
  <c r="R21" i="74"/>
  <c r="K531" i="94"/>
  <c r="K62" i="92"/>
  <c r="K587" i="94" s="1"/>
  <c r="M57" i="92"/>
  <c r="H517" i="94"/>
  <c r="M56" i="92"/>
  <c r="G62" i="92"/>
  <c r="L354" i="94"/>
  <c r="L362" i="94" s="1"/>
  <c r="L1081" i="94" s="1"/>
  <c r="L42" i="92"/>
  <c r="J57" i="94"/>
  <c r="M13" i="92"/>
  <c r="J110" i="92"/>
  <c r="I207" i="94"/>
  <c r="I1069" i="94" s="1"/>
  <c r="H462" i="94"/>
  <c r="M47" i="47"/>
  <c r="H110" i="47"/>
  <c r="F178" i="94"/>
  <c r="F18" i="47"/>
  <c r="M23" i="47"/>
  <c r="E234" i="94"/>
  <c r="M27" i="47"/>
  <c r="E220" i="94"/>
  <c r="E221" i="94" s="1"/>
  <c r="E1070" i="94" s="1"/>
  <c r="E29" i="47"/>
  <c r="M26" i="47"/>
  <c r="K192" i="94"/>
  <c r="K29" i="47"/>
  <c r="M24" i="47"/>
  <c r="F36" i="36"/>
  <c r="D64" i="35"/>
  <c r="H85" i="63"/>
  <c r="K420" i="94"/>
  <c r="K44" i="22"/>
  <c r="K435" i="94" s="1"/>
  <c r="D787" i="94"/>
  <c r="J90" i="94"/>
  <c r="S21" i="97"/>
  <c r="Z22" i="100"/>
  <c r="M396" i="94"/>
  <c r="I22" i="100"/>
  <c r="M157" i="94"/>
  <c r="F673" i="94"/>
  <c r="D46" i="2"/>
  <c r="M69" i="14"/>
  <c r="Y69" i="14" s="1"/>
  <c r="U69" i="14"/>
  <c r="H687" i="94"/>
  <c r="M70" i="14"/>
  <c r="M71" i="14"/>
  <c r="D48" i="2"/>
  <c r="D49" i="2"/>
  <c r="F715" i="94"/>
  <c r="H931" i="94"/>
  <c r="H938" i="94" s="1"/>
  <c r="H1138" i="94" s="1"/>
  <c r="M93" i="14"/>
  <c r="L119" i="22"/>
  <c r="D281" i="94"/>
  <c r="M32" i="27"/>
  <c r="D31" i="27"/>
  <c r="M93" i="37"/>
  <c r="E933" i="94"/>
  <c r="J77" i="42"/>
  <c r="J632" i="94"/>
  <c r="M66" i="42"/>
  <c r="F744" i="94"/>
  <c r="D73" i="41"/>
  <c r="U74" i="42"/>
  <c r="O72" i="92"/>
  <c r="S72" i="92" s="1"/>
  <c r="D714" i="94"/>
  <c r="M72" i="92"/>
  <c r="D110" i="92"/>
  <c r="M93" i="92"/>
  <c r="AA21" i="97"/>
  <c r="AF22" i="100"/>
  <c r="S21" i="74"/>
  <c r="J62" i="92"/>
  <c r="J587" i="94" s="1"/>
  <c r="J531" i="94"/>
  <c r="M58" i="92"/>
  <c r="K354" i="94"/>
  <c r="M37" i="92"/>
  <c r="H580" i="94"/>
  <c r="H62" i="47"/>
  <c r="M61" i="47"/>
  <c r="H478" i="94"/>
  <c r="M50" i="47"/>
  <c r="K406" i="94"/>
  <c r="M41" i="22"/>
  <c r="Z11" i="100"/>
  <c r="M397" i="94"/>
  <c r="R35" i="65"/>
  <c r="M494" i="94"/>
  <c r="B29" i="46"/>
  <c r="E73" i="46"/>
  <c r="M17" i="100"/>
  <c r="X25" i="42"/>
  <c r="M569" i="94"/>
  <c r="B37" i="21"/>
  <c r="S70" i="106"/>
  <c r="F423" i="94"/>
  <c r="D19" i="31"/>
  <c r="I694" i="94"/>
  <c r="I1115" i="94" s="1"/>
  <c r="I89" i="17"/>
  <c r="I898" i="94" s="1"/>
  <c r="I870" i="94"/>
  <c r="I110" i="22"/>
  <c r="I139" i="94"/>
  <c r="I18" i="22"/>
  <c r="I97" i="94" s="1"/>
  <c r="F640" i="94"/>
  <c r="D44" i="21"/>
  <c r="F77" i="22"/>
  <c r="F780" i="94" s="1"/>
  <c r="U67" i="22"/>
  <c r="M67" i="22"/>
  <c r="Y67" i="22" s="1"/>
  <c r="K759" i="94"/>
  <c r="K764" i="94" s="1"/>
  <c r="K1120" i="94" s="1"/>
  <c r="K77" i="37"/>
  <c r="K787" i="94" s="1"/>
  <c r="I300" i="94"/>
  <c r="M33" i="42"/>
  <c r="P75" i="42"/>
  <c r="P76" i="42" s="1"/>
  <c r="I11" i="81" s="1"/>
  <c r="L115" i="42"/>
  <c r="I84" i="42"/>
  <c r="I858" i="94" s="1"/>
  <c r="M80" i="42"/>
  <c r="J84" i="84"/>
  <c r="J861" i="94" s="1"/>
  <c r="M81" i="84"/>
  <c r="J819" i="94"/>
  <c r="J110" i="84"/>
  <c r="E686" i="94"/>
  <c r="E77" i="92"/>
  <c r="E784" i="94" s="1"/>
  <c r="E110" i="92"/>
  <c r="O70" i="92"/>
  <c r="S70" i="92" s="1"/>
  <c r="U70" i="92"/>
  <c r="M96" i="92"/>
  <c r="F972" i="94"/>
  <c r="F980" i="94" s="1"/>
  <c r="F1141" i="94" s="1"/>
  <c r="I511" i="94"/>
  <c r="I1100" i="94" s="1"/>
  <c r="I209" i="94"/>
  <c r="I221" i="94" s="1"/>
  <c r="I1070" i="94" s="1"/>
  <c r="I29" i="22"/>
  <c r="I251" i="94" s="1"/>
  <c r="M26" i="22"/>
  <c r="G29" i="22"/>
  <c r="M25" i="22"/>
  <c r="D29" i="22"/>
  <c r="M24" i="22"/>
  <c r="D181" i="94"/>
  <c r="M622" i="94"/>
  <c r="Y65" i="106"/>
  <c r="E587" i="94"/>
  <c r="G63" i="42"/>
  <c r="G87" i="94"/>
  <c r="K18" i="42"/>
  <c r="K103" i="94" s="1"/>
  <c r="K110" i="42"/>
  <c r="K131" i="94"/>
  <c r="K137" i="94" s="1"/>
  <c r="K1064" i="94" s="1"/>
  <c r="L684" i="94"/>
  <c r="L694" i="94" s="1"/>
  <c r="L1115" i="94" s="1"/>
  <c r="L77" i="17"/>
  <c r="L782" i="94" s="1"/>
  <c r="D754" i="94"/>
  <c r="U75" i="17"/>
  <c r="K641" i="94"/>
  <c r="K110" i="27"/>
  <c r="L77" i="37"/>
  <c r="L787" i="94" s="1"/>
  <c r="E703" i="94"/>
  <c r="M71" i="37"/>
  <c r="U71" i="37"/>
  <c r="O71" i="37"/>
  <c r="S71" i="37" s="1"/>
  <c r="E77" i="37"/>
  <c r="E787" i="94" s="1"/>
  <c r="F993" i="94"/>
  <c r="M97" i="47"/>
  <c r="J994" i="94"/>
  <c r="J1142" i="94" s="1"/>
  <c r="J425" i="94"/>
  <c r="J44" i="14"/>
  <c r="J440" i="94" s="1"/>
  <c r="D106" i="40"/>
  <c r="I117" i="63"/>
  <c r="AB66" i="65"/>
  <c r="B60" i="105"/>
  <c r="F60" i="105" s="1"/>
  <c r="N23" i="80" s="1"/>
  <c r="V65" i="65"/>
  <c r="M833" i="94"/>
  <c r="D61" i="2"/>
  <c r="L118" i="14"/>
  <c r="H110" i="14"/>
  <c r="D299" i="94"/>
  <c r="M33" i="14"/>
  <c r="K18" i="47"/>
  <c r="K108" i="94" s="1"/>
  <c r="K122" i="94"/>
  <c r="K123" i="94" s="1"/>
  <c r="K1063" i="94" s="1"/>
  <c r="E281" i="94"/>
  <c r="E292" i="94" s="1"/>
  <c r="E1076" i="94" s="1"/>
  <c r="E31" i="27"/>
  <c r="E267" i="94" s="1"/>
  <c r="F309" i="94"/>
  <c r="M34" i="27"/>
  <c r="F31" i="27"/>
  <c r="F267" i="94" s="1"/>
  <c r="H869" i="94"/>
  <c r="H89" i="27"/>
  <c r="H897" i="94" s="1"/>
  <c r="U66" i="37"/>
  <c r="G110" i="37"/>
  <c r="I77" i="37"/>
  <c r="I787" i="94" s="1"/>
  <c r="M82" i="42"/>
  <c r="F830" i="94"/>
  <c r="D59" i="41"/>
  <c r="D61" i="41" s="1"/>
  <c r="L317" i="94"/>
  <c r="L320" i="94" s="1"/>
  <c r="L1078" i="94" s="1"/>
  <c r="L31" i="84"/>
  <c r="L275" i="94" s="1"/>
  <c r="D143" i="94"/>
  <c r="M21" i="92"/>
  <c r="D18" i="92"/>
  <c r="I658" i="94"/>
  <c r="I666" i="94" s="1"/>
  <c r="I1113" i="94" s="1"/>
  <c r="I77" i="92"/>
  <c r="I784" i="94" s="1"/>
  <c r="I237" i="94"/>
  <c r="M28" i="22"/>
  <c r="I706" i="94"/>
  <c r="I708" i="94" s="1"/>
  <c r="I1116" i="94" s="1"/>
  <c r="I110" i="106"/>
  <c r="K43" i="105"/>
  <c r="L43" i="105" s="1"/>
  <c r="M950" i="94"/>
  <c r="B32" i="26"/>
  <c r="J38" i="65"/>
  <c r="H18" i="14"/>
  <c r="H102" i="94" s="1"/>
  <c r="S70" i="14"/>
  <c r="M74" i="27"/>
  <c r="G633" i="94"/>
  <c r="M342" i="94"/>
  <c r="V17" i="100"/>
  <c r="Q26" i="42"/>
  <c r="Q30" i="42" s="1"/>
  <c r="AB43" i="65"/>
  <c r="M579" i="94"/>
  <c r="S17" i="97"/>
  <c r="Z13" i="100"/>
  <c r="P75" i="14"/>
  <c r="L115" i="14"/>
  <c r="J158" i="94"/>
  <c r="J165" i="94" s="1"/>
  <c r="J1066" i="94" s="1"/>
  <c r="J18" i="14"/>
  <c r="J102" i="94" s="1"/>
  <c r="I77" i="14"/>
  <c r="I785" i="94" s="1"/>
  <c r="I18" i="37"/>
  <c r="I104" i="94" s="1"/>
  <c r="I118" i="94"/>
  <c r="I110" i="37"/>
  <c r="L127" i="94"/>
  <c r="L110" i="17"/>
  <c r="L117" i="17"/>
  <c r="U67" i="17"/>
  <c r="M67" i="17"/>
  <c r="J77" i="17"/>
  <c r="J782" i="94" s="1"/>
  <c r="K31" i="22"/>
  <c r="K266" i="94" s="1"/>
  <c r="K294" i="94"/>
  <c r="H126" i="94"/>
  <c r="M20" i="27"/>
  <c r="M21" i="27"/>
  <c r="J207" i="94"/>
  <c r="J1069" i="94" s="1"/>
  <c r="B48" i="26"/>
  <c r="J54" i="65"/>
  <c r="D825" i="94"/>
  <c r="M82" i="27"/>
  <c r="D839" i="94"/>
  <c r="M83" i="27"/>
  <c r="I869" i="94"/>
  <c r="I89" i="27"/>
  <c r="I897" i="94" s="1"/>
  <c r="D156" i="94"/>
  <c r="M22" i="32"/>
  <c r="G943" i="94"/>
  <c r="M94" i="32"/>
  <c r="M35" i="42"/>
  <c r="G328" i="94"/>
  <c r="G31" i="42"/>
  <c r="D777" i="94"/>
  <c r="U76" i="47"/>
  <c r="J952" i="94"/>
  <c r="J1139" i="94" s="1"/>
  <c r="E31" i="84"/>
  <c r="M34" i="84"/>
  <c r="E151" i="94"/>
  <c r="E1065" i="94" s="1"/>
  <c r="M50" i="22"/>
  <c r="D467" i="94"/>
  <c r="D479" i="94" s="1"/>
  <c r="D1094" i="94" s="1"/>
  <c r="K167" i="94"/>
  <c r="K179" i="94" s="1"/>
  <c r="K1067" i="94" s="1"/>
  <c r="K18" i="22"/>
  <c r="K97" i="94" s="1"/>
  <c r="K622" i="94"/>
  <c r="K77" i="106"/>
  <c r="K790" i="94" s="1"/>
  <c r="J579" i="94"/>
  <c r="J581" i="94" s="1"/>
  <c r="J1105" i="94" s="1"/>
  <c r="J62" i="106"/>
  <c r="J593" i="94" s="1"/>
  <c r="D67" i="30"/>
  <c r="Y71" i="17"/>
  <c r="K235" i="94"/>
  <c r="K1071" i="94" s="1"/>
  <c r="G23" i="94"/>
  <c r="G1054" i="94" s="1"/>
  <c r="M878" i="94"/>
  <c r="B64" i="105"/>
  <c r="AB70" i="65"/>
  <c r="M247" i="94"/>
  <c r="L23" i="97"/>
  <c r="O23" i="100"/>
  <c r="D82" i="65"/>
  <c r="M945" i="94"/>
  <c r="P53" i="65"/>
  <c r="Y70" i="42"/>
  <c r="M688" i="94"/>
  <c r="G254" i="94"/>
  <c r="G44" i="32"/>
  <c r="K158" i="94"/>
  <c r="K165" i="94" s="1"/>
  <c r="K1066" i="94" s="1"/>
  <c r="G327" i="94"/>
  <c r="M66" i="14"/>
  <c r="Y66" i="14" s="1"/>
  <c r="H77" i="14"/>
  <c r="H785" i="94" s="1"/>
  <c r="J694" i="94"/>
  <c r="J1115" i="94" s="1"/>
  <c r="D84" i="14"/>
  <c r="D801" i="94"/>
  <c r="M80" i="14"/>
  <c r="D110" i="14"/>
  <c r="J128" i="94"/>
  <c r="J18" i="32"/>
  <c r="J100" i="94" s="1"/>
  <c r="M20" i="32"/>
  <c r="J140" i="94"/>
  <c r="J151" i="94" s="1"/>
  <c r="J1065" i="94" s="1"/>
  <c r="J110" i="27"/>
  <c r="J18" i="27"/>
  <c r="J98" i="94" s="1"/>
  <c r="E683" i="94"/>
  <c r="O70" i="27"/>
  <c r="S70" i="27" s="1"/>
  <c r="E77" i="27"/>
  <c r="E781" i="94" s="1"/>
  <c r="L708" i="94"/>
  <c r="L1116" i="94" s="1"/>
  <c r="L797" i="94"/>
  <c r="L84" i="27"/>
  <c r="L853" i="94" s="1"/>
  <c r="K941" i="94"/>
  <c r="K952" i="94" s="1"/>
  <c r="K1139" i="94" s="1"/>
  <c r="M94" i="27"/>
  <c r="L18" i="32"/>
  <c r="L100" i="94" s="1"/>
  <c r="L110" i="32"/>
  <c r="K813" i="94"/>
  <c r="K84" i="32"/>
  <c r="K855" i="94" s="1"/>
  <c r="I871" i="94"/>
  <c r="M87" i="32"/>
  <c r="H315" i="94"/>
  <c r="M34" i="37"/>
  <c r="D77" i="47"/>
  <c r="D637" i="94"/>
  <c r="O66" i="47"/>
  <c r="S66" i="47" s="1"/>
  <c r="F849" i="94"/>
  <c r="D60" i="46"/>
  <c r="F26" i="94"/>
  <c r="M11" i="27"/>
  <c r="D11" i="26"/>
  <c r="E12" i="94"/>
  <c r="E15" i="27"/>
  <c r="K16" i="94"/>
  <c r="K110" i="14"/>
  <c r="D542" i="94"/>
  <c r="D553" i="94" s="1"/>
  <c r="D1103" i="94" s="1"/>
  <c r="M59" i="27"/>
  <c r="L514" i="94"/>
  <c r="L62" i="27"/>
  <c r="L584" i="94" s="1"/>
  <c r="M57" i="27"/>
  <c r="J720" i="94"/>
  <c r="U72" i="106"/>
  <c r="J77" i="106"/>
  <c r="J790" i="94" s="1"/>
  <c r="X29" i="106"/>
  <c r="U23" i="100"/>
  <c r="J23" i="65"/>
  <c r="M365" i="94"/>
  <c r="Q12" i="97"/>
  <c r="X37" i="27"/>
  <c r="AA11" i="100"/>
  <c r="T11" i="97"/>
  <c r="M411" i="94"/>
  <c r="B47" i="26"/>
  <c r="M683" i="94"/>
  <c r="Y70" i="27"/>
  <c r="V56" i="65"/>
  <c r="B50" i="83"/>
  <c r="Y73" i="84"/>
  <c r="J23" i="100"/>
  <c r="AB18" i="65"/>
  <c r="M36" i="94"/>
  <c r="B11" i="46"/>
  <c r="I63" i="37"/>
  <c r="D285" i="94"/>
  <c r="D31" i="14"/>
  <c r="L887" i="94"/>
  <c r="L89" i="14"/>
  <c r="L901" i="94" s="1"/>
  <c r="E310" i="94"/>
  <c r="M34" i="17"/>
  <c r="X41" i="17" s="1"/>
  <c r="G884" i="94"/>
  <c r="G89" i="17"/>
  <c r="M88" i="17"/>
  <c r="E668" i="94"/>
  <c r="O69" i="22"/>
  <c r="S69" i="22" s="1"/>
  <c r="E77" i="22"/>
  <c r="M69" i="22"/>
  <c r="U69" i="22"/>
  <c r="G696" i="94"/>
  <c r="U71" i="22"/>
  <c r="M71" i="22"/>
  <c r="O71" i="22"/>
  <c r="S71" i="22" s="1"/>
  <c r="H281" i="94"/>
  <c r="H31" i="27"/>
  <c r="H267" i="94" s="1"/>
  <c r="P75" i="27"/>
  <c r="L115" i="27"/>
  <c r="O67" i="27"/>
  <c r="S67" i="27" s="1"/>
  <c r="M67" i="27"/>
  <c r="D77" i="27"/>
  <c r="E741" i="94"/>
  <c r="M74" i="32"/>
  <c r="Y74" i="32" s="1"/>
  <c r="L813" i="94"/>
  <c r="L84" i="32"/>
  <c r="L855" i="94" s="1"/>
  <c r="M65" i="47"/>
  <c r="E821" i="94"/>
  <c r="E84" i="47"/>
  <c r="E863" i="94" s="1"/>
  <c r="M81" i="47"/>
  <c r="J712" i="94"/>
  <c r="M72" i="17"/>
  <c r="U72" i="17"/>
  <c r="D134" i="94"/>
  <c r="D137" i="94" s="1"/>
  <c r="D1064" i="94" s="1"/>
  <c r="D18" i="84"/>
  <c r="M20" i="84"/>
  <c r="F353" i="94"/>
  <c r="F362" i="94" s="1"/>
  <c r="F1081" i="94" s="1"/>
  <c r="M37" i="32"/>
  <c r="L31" i="14"/>
  <c r="L271" i="94" s="1"/>
  <c r="L42" i="14"/>
  <c r="G383" i="94"/>
  <c r="G42" i="14"/>
  <c r="L58" i="94"/>
  <c r="L65" i="94" s="1"/>
  <c r="L1057" i="94" s="1"/>
  <c r="L110" i="14"/>
  <c r="L15" i="14"/>
  <c r="J16" i="94"/>
  <c r="J23" i="94" s="1"/>
  <c r="J1054" i="94" s="1"/>
  <c r="J15" i="14"/>
  <c r="J110" i="14"/>
  <c r="E62" i="27"/>
  <c r="E584" i="94" s="1"/>
  <c r="M60" i="27"/>
  <c r="L332" i="94"/>
  <c r="L334" i="94" s="1"/>
  <c r="L1079" i="94" s="1"/>
  <c r="L110" i="106"/>
  <c r="K461" i="94"/>
  <c r="K463" i="94" s="1"/>
  <c r="K1091" i="94" s="1"/>
  <c r="M47" i="106"/>
  <c r="J233" i="94"/>
  <c r="J235" i="94" s="1"/>
  <c r="J1071" i="94" s="1"/>
  <c r="J110" i="106"/>
  <c r="I978" i="94"/>
  <c r="M96" i="106"/>
  <c r="I21" i="97"/>
  <c r="L22" i="100"/>
  <c r="G44" i="84"/>
  <c r="D38" i="41"/>
  <c r="E801" i="94"/>
  <c r="K887" i="94"/>
  <c r="M95" i="14"/>
  <c r="I296" i="94"/>
  <c r="H694" i="94"/>
  <c r="H1115" i="94" s="1"/>
  <c r="J768" i="94"/>
  <c r="J778" i="94" s="1"/>
  <c r="J1121" i="94" s="1"/>
  <c r="E928" i="94"/>
  <c r="M93" i="17"/>
  <c r="M19" i="22"/>
  <c r="E18" i="22"/>
  <c r="J626" i="94"/>
  <c r="M66" i="22"/>
  <c r="G836" i="94"/>
  <c r="G1127" i="94" s="1"/>
  <c r="J89" i="22"/>
  <c r="J896" i="94" s="1"/>
  <c r="M88" i="22"/>
  <c r="I727" i="94"/>
  <c r="I736" i="94" s="1"/>
  <c r="I1118" i="94" s="1"/>
  <c r="M73" i="32"/>
  <c r="F741" i="94"/>
  <c r="D73" i="31"/>
  <c r="F62" i="84"/>
  <c r="F592" i="94" s="1"/>
  <c r="F110" i="84"/>
  <c r="D36" i="83"/>
  <c r="G373" i="94"/>
  <c r="M38" i="84"/>
  <c r="K34" i="94"/>
  <c r="K37" i="94" s="1"/>
  <c r="K1055" i="94" s="1"/>
  <c r="K15" i="84"/>
  <c r="K110" i="84"/>
  <c r="M11" i="84"/>
  <c r="F195" i="94"/>
  <c r="F207" i="94" s="1"/>
  <c r="F1069" i="94" s="1"/>
  <c r="F29" i="22"/>
  <c r="F44" i="22" s="1"/>
  <c r="L13" i="94"/>
  <c r="L15" i="17"/>
  <c r="M135" i="94"/>
  <c r="G23" i="100"/>
  <c r="K257" i="94"/>
  <c r="K44" i="42"/>
  <c r="J525" i="94"/>
  <c r="J1101" i="94" s="1"/>
  <c r="M241" i="94"/>
  <c r="O22" i="100"/>
  <c r="L21" i="97"/>
  <c r="B45" i="41"/>
  <c r="P51" i="65"/>
  <c r="M660" i="94"/>
  <c r="F424" i="94"/>
  <c r="D19" i="91"/>
  <c r="J131" i="94"/>
  <c r="J110" i="42"/>
  <c r="E24" i="95"/>
  <c r="G84" i="17"/>
  <c r="G854" i="94" s="1"/>
  <c r="M80" i="17"/>
  <c r="E942" i="94"/>
  <c r="E952" i="94" s="1"/>
  <c r="E1139" i="94" s="1"/>
  <c r="M94" i="17"/>
  <c r="J294" i="94"/>
  <c r="J31" i="22"/>
  <c r="J266" i="94" s="1"/>
  <c r="H553" i="94"/>
  <c r="H1103" i="94" s="1"/>
  <c r="O65" i="22"/>
  <c r="S65" i="22" s="1"/>
  <c r="M65" i="22"/>
  <c r="D77" i="22"/>
  <c r="O68" i="22"/>
  <c r="M68" i="22"/>
  <c r="G810" i="94"/>
  <c r="M81" i="22"/>
  <c r="D868" i="94"/>
  <c r="D880" i="94" s="1"/>
  <c r="D1132" i="94" s="1"/>
  <c r="D89" i="22"/>
  <c r="I65" i="94"/>
  <c r="I1057" i="94" s="1"/>
  <c r="H18" i="27"/>
  <c r="H98" i="94" s="1"/>
  <c r="L115" i="32"/>
  <c r="P75" i="32"/>
  <c r="G661" i="94"/>
  <c r="M68" i="37"/>
  <c r="O68" i="37"/>
  <c r="G803" i="94"/>
  <c r="G84" i="37"/>
  <c r="M80" i="37"/>
  <c r="E18" i="42"/>
  <c r="M20" i="42"/>
  <c r="E110" i="42"/>
  <c r="G816" i="94"/>
  <c r="M81" i="42"/>
  <c r="G84" i="42"/>
  <c r="M96" i="42"/>
  <c r="H84" i="87"/>
  <c r="L15" i="92"/>
  <c r="L15" i="94"/>
  <c r="K581" i="94"/>
  <c r="K1105" i="94" s="1"/>
  <c r="M61" i="87"/>
  <c r="I31" i="87"/>
  <c r="M36" i="87"/>
  <c r="I42" i="87"/>
  <c r="I110" i="87"/>
  <c r="M41" i="87"/>
  <c r="G42" i="87"/>
  <c r="G221" i="94"/>
  <c r="G1070" i="94" s="1"/>
  <c r="L42" i="22"/>
  <c r="M36" i="22"/>
  <c r="E55" i="94"/>
  <c r="E15" i="17"/>
  <c r="K110" i="17"/>
  <c r="M10" i="17"/>
  <c r="F10" i="65" s="1"/>
  <c r="K13" i="94"/>
  <c r="I110" i="14"/>
  <c r="E172" i="94"/>
  <c r="E29" i="14"/>
  <c r="E256" i="94" s="1"/>
  <c r="E18" i="14"/>
  <c r="M26" i="14"/>
  <c r="D29" i="14"/>
  <c r="N38" i="65"/>
  <c r="M506" i="94"/>
  <c r="B32" i="36"/>
  <c r="J404" i="94"/>
  <c r="J1084" i="94" s="1"/>
  <c r="M73" i="14"/>
  <c r="U73" i="14"/>
  <c r="F757" i="94"/>
  <c r="D52" i="2"/>
  <c r="M75" i="14"/>
  <c r="U75" i="14"/>
  <c r="F873" i="94"/>
  <c r="F89" i="14"/>
  <c r="F901" i="94" s="1"/>
  <c r="M88" i="14"/>
  <c r="I18" i="47"/>
  <c r="I108" i="94" s="1"/>
  <c r="E77" i="17"/>
  <c r="E782" i="94" s="1"/>
  <c r="E656" i="94"/>
  <c r="G712" i="94"/>
  <c r="O72" i="17"/>
  <c r="S72" i="17" s="1"/>
  <c r="D740" i="94"/>
  <c r="U74" i="17"/>
  <c r="M74" i="17"/>
  <c r="Z14" i="97"/>
  <c r="R14" i="74"/>
  <c r="AE14" i="100"/>
  <c r="I13" i="78"/>
  <c r="U66" i="32"/>
  <c r="M66" i="32"/>
  <c r="L643" i="94"/>
  <c r="L77" i="32"/>
  <c r="L783" i="94" s="1"/>
  <c r="D759" i="94"/>
  <c r="U75" i="37"/>
  <c r="F110" i="42"/>
  <c r="F131" i="94"/>
  <c r="F137" i="94" s="1"/>
  <c r="F1064" i="94" s="1"/>
  <c r="F646" i="94"/>
  <c r="M67" i="42"/>
  <c r="D44" i="41"/>
  <c r="E744" i="94"/>
  <c r="M74" i="42"/>
  <c r="J110" i="47"/>
  <c r="F749" i="94"/>
  <c r="D73" i="46"/>
  <c r="M71" i="84"/>
  <c r="F705" i="94"/>
  <c r="D48" i="83"/>
  <c r="J938" i="94"/>
  <c r="J1138" i="94" s="1"/>
  <c r="M93" i="87"/>
  <c r="D77" i="92"/>
  <c r="M71" i="92"/>
  <c r="D700" i="94"/>
  <c r="O71" i="92"/>
  <c r="S71" i="92" s="1"/>
  <c r="U71" i="92"/>
  <c r="D728" i="94"/>
  <c r="M73" i="92"/>
  <c r="I517" i="94"/>
  <c r="I525" i="94" s="1"/>
  <c r="I1101" i="94" s="1"/>
  <c r="I62" i="92"/>
  <c r="I587" i="94" s="1"/>
  <c r="J29" i="94"/>
  <c r="J15" i="92"/>
  <c r="I463" i="94"/>
  <c r="I1091" i="94" s="1"/>
  <c r="K207" i="94"/>
  <c r="K1069" i="94" s="1"/>
  <c r="M25" i="87"/>
  <c r="K29" i="87"/>
  <c r="D70" i="94"/>
  <c r="D79" i="94" s="1"/>
  <c r="D1058" i="94" s="1"/>
  <c r="D110" i="32"/>
  <c r="M14" i="32"/>
  <c r="I14" i="94"/>
  <c r="M10" i="32"/>
  <c r="B10" i="31" s="1"/>
  <c r="I15" i="32"/>
  <c r="K238" i="94"/>
  <c r="K249" i="94" s="1"/>
  <c r="K1072" i="94" s="1"/>
  <c r="M28" i="27"/>
  <c r="G26" i="94"/>
  <c r="G110" i="27"/>
  <c r="D10" i="26"/>
  <c r="F15" i="27"/>
  <c r="F110" i="27"/>
  <c r="L18" i="22"/>
  <c r="L97" i="94" s="1"/>
  <c r="H211" i="94"/>
  <c r="H221" i="94" s="1"/>
  <c r="H1070" i="94" s="1"/>
  <c r="H29" i="17"/>
  <c r="H253" i="94" s="1"/>
  <c r="K42" i="17"/>
  <c r="K31" i="17"/>
  <c r="K268" i="94" s="1"/>
  <c r="K338" i="94"/>
  <c r="K348" i="94" s="1"/>
  <c r="K1080" i="94" s="1"/>
  <c r="G15" i="17"/>
  <c r="G69" i="94"/>
  <c r="G79" i="94" s="1"/>
  <c r="G1058" i="94" s="1"/>
  <c r="G110" i="17"/>
  <c r="D55" i="94"/>
  <c r="M13" i="17"/>
  <c r="F110" i="14"/>
  <c r="D424" i="94"/>
  <c r="D15" i="83"/>
  <c r="E362" i="94"/>
  <c r="E1081" i="94" s="1"/>
  <c r="F617" i="94"/>
  <c r="F77" i="14"/>
  <c r="F785" i="94" s="1"/>
  <c r="K18" i="37"/>
  <c r="K104" i="94" s="1"/>
  <c r="O65" i="17"/>
  <c r="S65" i="17" s="1"/>
  <c r="D614" i="94"/>
  <c r="U65" i="17"/>
  <c r="D77" i="17"/>
  <c r="H642" i="94"/>
  <c r="H652" i="94" s="1"/>
  <c r="H1112" i="94" s="1"/>
  <c r="H77" i="17"/>
  <c r="H782" i="94" s="1"/>
  <c r="K812" i="94"/>
  <c r="K84" i="17"/>
  <c r="K854" i="94" s="1"/>
  <c r="D322" i="94"/>
  <c r="M35" i="22"/>
  <c r="G796" i="94"/>
  <c r="G84" i="22"/>
  <c r="G852" i="94" s="1"/>
  <c r="M80" i="22"/>
  <c r="L680" i="94"/>
  <c r="L1114" i="94" s="1"/>
  <c r="L736" i="94"/>
  <c r="L1118" i="94" s="1"/>
  <c r="E84" i="27"/>
  <c r="F825" i="94"/>
  <c r="D59" i="26"/>
  <c r="D61" i="26" s="1"/>
  <c r="I827" i="94"/>
  <c r="I84" i="32"/>
  <c r="I855" i="94" s="1"/>
  <c r="K329" i="94"/>
  <c r="K334" i="94" s="1"/>
  <c r="K1079" i="94" s="1"/>
  <c r="K31" i="37"/>
  <c r="K273" i="94" s="1"/>
  <c r="L119" i="94"/>
  <c r="F812" i="94"/>
  <c r="D58" i="16"/>
  <c r="K965" i="94"/>
  <c r="K966" i="94" s="1"/>
  <c r="K1140" i="94" s="1"/>
  <c r="D77" i="87"/>
  <c r="M68" i="87"/>
  <c r="G326" i="94"/>
  <c r="M35" i="92"/>
  <c r="G31" i="92"/>
  <c r="G270" i="94" s="1"/>
  <c r="I476" i="94"/>
  <c r="I479" i="94" s="1"/>
  <c r="I1094" i="94" s="1"/>
  <c r="M50" i="84"/>
  <c r="E452" i="94"/>
  <c r="E463" i="94" s="1"/>
  <c r="E1091" i="94" s="1"/>
  <c r="E110" i="27"/>
  <c r="M47" i="27"/>
  <c r="M10" i="27"/>
  <c r="B10" i="26" s="1"/>
  <c r="M23" i="22"/>
  <c r="J167" i="94"/>
  <c r="E110" i="17"/>
  <c r="M47" i="17"/>
  <c r="F211" i="94"/>
  <c r="F221" i="94" s="1"/>
  <c r="F1070" i="94" s="1"/>
  <c r="M26" i="17"/>
  <c r="F29" i="17"/>
  <c r="L183" i="94"/>
  <c r="L29" i="17"/>
  <c r="L253" i="94" s="1"/>
  <c r="D900" i="94"/>
  <c r="F144" i="94"/>
  <c r="F18" i="14"/>
  <c r="F102" i="94" s="1"/>
  <c r="I285" i="94"/>
  <c r="I31" i="14"/>
  <c r="I271" i="94" s="1"/>
  <c r="G77" i="14"/>
  <c r="G785" i="94" s="1"/>
  <c r="D38" i="36"/>
  <c r="M68" i="17"/>
  <c r="O68" i="17"/>
  <c r="O70" i="17"/>
  <c r="S70" i="17" s="1"/>
  <c r="G137" i="94"/>
  <c r="G1064" i="94" s="1"/>
  <c r="E31" i="22"/>
  <c r="M33" i="22"/>
  <c r="J376" i="94"/>
  <c r="J1082" i="94" s="1"/>
  <c r="I752" i="94"/>
  <c r="I764" i="94" s="1"/>
  <c r="I1120" i="94" s="1"/>
  <c r="I77" i="22"/>
  <c r="I780" i="94" s="1"/>
  <c r="M75" i="22"/>
  <c r="H778" i="94"/>
  <c r="H1121" i="94" s="1"/>
  <c r="U74" i="32"/>
  <c r="D741" i="94"/>
  <c r="M19" i="37"/>
  <c r="O65" i="37"/>
  <c r="S65" i="37" s="1"/>
  <c r="U65" i="37"/>
  <c r="O67" i="37"/>
  <c r="S67" i="37" s="1"/>
  <c r="M67" i="37"/>
  <c r="Y67" i="37" s="1"/>
  <c r="M21" i="42"/>
  <c r="L31" i="42"/>
  <c r="L272" i="94" s="1"/>
  <c r="O68" i="42"/>
  <c r="G110" i="42"/>
  <c r="F77" i="47"/>
  <c r="F791" i="94" s="1"/>
  <c r="G77" i="17"/>
  <c r="G782" i="94" s="1"/>
  <c r="O69" i="17"/>
  <c r="S69" i="17" s="1"/>
  <c r="L18" i="87"/>
  <c r="M19" i="87"/>
  <c r="G963" i="94"/>
  <c r="G110" i="84"/>
  <c r="F18" i="87"/>
  <c r="K980" i="94"/>
  <c r="K1141" i="94" s="1"/>
  <c r="K62" i="87"/>
  <c r="M60" i="87"/>
  <c r="M59" i="87"/>
  <c r="J110" i="87"/>
  <c r="M58" i="87"/>
  <c r="H492" i="94"/>
  <c r="H495" i="94" s="1"/>
  <c r="H1097" i="94" s="1"/>
  <c r="M53" i="84"/>
  <c r="D362" i="94"/>
  <c r="D1081" i="94" s="1"/>
  <c r="I149" i="94"/>
  <c r="M21" i="106"/>
  <c r="G776" i="94"/>
  <c r="M76" i="106"/>
  <c r="U76" i="106"/>
  <c r="G77" i="106"/>
  <c r="E579" i="94"/>
  <c r="E581" i="94" s="1"/>
  <c r="E1105" i="94" s="1"/>
  <c r="E110" i="106"/>
  <c r="I404" i="94"/>
  <c r="I1084" i="94" s="1"/>
  <c r="H193" i="94"/>
  <c r="H1068" i="94" s="1"/>
  <c r="L84" i="14"/>
  <c r="L857" i="94" s="1"/>
  <c r="L801" i="94"/>
  <c r="P75" i="17"/>
  <c r="S66" i="17"/>
  <c r="D9" i="68" s="1"/>
  <c r="D984" i="94"/>
  <c r="D994" i="94" s="1"/>
  <c r="D1142" i="94" s="1"/>
  <c r="M97" i="17"/>
  <c r="M21" i="22"/>
  <c r="K511" i="94"/>
  <c r="K1100" i="94" s="1"/>
  <c r="G624" i="94"/>
  <c r="G1110" i="94" s="1"/>
  <c r="E323" i="94"/>
  <c r="M35" i="27"/>
  <c r="G711" i="94"/>
  <c r="U72" i="27"/>
  <c r="M73" i="27"/>
  <c r="O73" i="27"/>
  <c r="S73" i="27" s="1"/>
  <c r="H753" i="94"/>
  <c r="M75" i="27"/>
  <c r="D929" i="94"/>
  <c r="D938" i="94" s="1"/>
  <c r="D1138" i="94" s="1"/>
  <c r="M93" i="32"/>
  <c r="M97" i="32"/>
  <c r="J18" i="42"/>
  <c r="J103" i="94" s="1"/>
  <c r="M20" i="47"/>
  <c r="H949" i="94"/>
  <c r="H952" i="94" s="1"/>
  <c r="H1139" i="94" s="1"/>
  <c r="M94" i="84"/>
  <c r="H894" i="94"/>
  <c r="H1133" i="94" s="1"/>
  <c r="H89" i="87"/>
  <c r="M88" i="87"/>
  <c r="D227" i="94"/>
  <c r="M27" i="92"/>
  <c r="L581" i="94"/>
  <c r="L1105" i="94" s="1"/>
  <c r="L62" i="87"/>
  <c r="J31" i="87"/>
  <c r="J42" i="87"/>
  <c r="E62" i="84"/>
  <c r="E550" i="94"/>
  <c r="M59" i="84"/>
  <c r="L34" i="94"/>
  <c r="L15" i="84"/>
  <c r="I20" i="94"/>
  <c r="I15" i="84"/>
  <c r="E558" i="94"/>
  <c r="E567" i="94" s="1"/>
  <c r="E1104" i="94" s="1"/>
  <c r="M60" i="32"/>
  <c r="M38" i="32"/>
  <c r="X46" i="32" s="1"/>
  <c r="I247" i="94"/>
  <c r="I29" i="106"/>
  <c r="M877" i="94"/>
  <c r="D642" i="94"/>
  <c r="J463" i="94"/>
  <c r="J1091" i="94" s="1"/>
  <c r="M67" i="32"/>
  <c r="D643" i="94"/>
  <c r="F301" i="94"/>
  <c r="M33" i="37"/>
  <c r="D817" i="94"/>
  <c r="M82" i="37"/>
  <c r="H110" i="42"/>
  <c r="H632" i="94"/>
  <c r="H638" i="94" s="1"/>
  <c r="H1111" i="94" s="1"/>
  <c r="D646" i="94"/>
  <c r="O72" i="42"/>
  <c r="S72" i="42" s="1"/>
  <c r="U72" i="42"/>
  <c r="M72" i="42"/>
  <c r="Y72" i="42" s="1"/>
  <c r="I305" i="94"/>
  <c r="I31" i="47"/>
  <c r="I277" i="94" s="1"/>
  <c r="G893" i="94"/>
  <c r="G89" i="47"/>
  <c r="G91" i="47" s="1"/>
  <c r="H77" i="84"/>
  <c r="J719" i="94"/>
  <c r="U72" i="84"/>
  <c r="L115" i="84"/>
  <c r="P75" i="84"/>
  <c r="L292" i="94"/>
  <c r="L1076" i="94" s="1"/>
  <c r="M82" i="87"/>
  <c r="M34" i="92"/>
  <c r="F74" i="94"/>
  <c r="D14" i="36"/>
  <c r="J18" i="94"/>
  <c r="J110" i="37"/>
  <c r="H247" i="94"/>
  <c r="H249" i="94" s="1"/>
  <c r="H1072" i="94" s="1"/>
  <c r="H110" i="106"/>
  <c r="L117" i="94"/>
  <c r="L18" i="42"/>
  <c r="L103" i="94" s="1"/>
  <c r="J884" i="94"/>
  <c r="J89" i="17"/>
  <c r="J898" i="94" s="1"/>
  <c r="K938" i="94"/>
  <c r="K1138" i="94" s="1"/>
  <c r="H77" i="27"/>
  <c r="I14" i="78"/>
  <c r="U15" i="73"/>
  <c r="AE15" i="100"/>
  <c r="M70" i="37"/>
  <c r="D689" i="94"/>
  <c r="U70" i="37"/>
  <c r="I879" i="94"/>
  <c r="I89" i="47"/>
  <c r="I907" i="94" s="1"/>
  <c r="K286" i="94"/>
  <c r="K292" i="94" s="1"/>
  <c r="K1076" i="94" s="1"/>
  <c r="K31" i="42"/>
  <c r="K272" i="94" s="1"/>
  <c r="J31" i="84"/>
  <c r="J275" i="94" s="1"/>
  <c r="M32" i="84"/>
  <c r="D621" i="94"/>
  <c r="M65" i="84"/>
  <c r="O65" i="84"/>
  <c r="S65" i="84" s="1"/>
  <c r="H847" i="94"/>
  <c r="M83" i="84"/>
  <c r="M75" i="87"/>
  <c r="M76" i="87"/>
  <c r="I171" i="94"/>
  <c r="I179" i="94" s="1"/>
  <c r="I1067" i="94" s="1"/>
  <c r="M56" i="87"/>
  <c r="F110" i="87"/>
  <c r="J566" i="94"/>
  <c r="J567" i="94" s="1"/>
  <c r="J1104" i="94" s="1"/>
  <c r="M23" i="37"/>
  <c r="F174" i="94"/>
  <c r="D226" i="94"/>
  <c r="M27" i="32"/>
  <c r="P75" i="106"/>
  <c r="P76" i="106" s="1"/>
  <c r="I17" i="81" s="1"/>
  <c r="L115" i="106"/>
  <c r="J29" i="106"/>
  <c r="H706" i="94"/>
  <c r="H708" i="94" s="1"/>
  <c r="H1116" i="94" s="1"/>
  <c r="H77" i="106"/>
  <c r="H790" i="94" s="1"/>
  <c r="H565" i="94"/>
  <c r="H567" i="94" s="1"/>
  <c r="H1104" i="94" s="1"/>
  <c r="H62" i="106"/>
  <c r="H593" i="94" s="1"/>
  <c r="E617" i="94"/>
  <c r="E77" i="14"/>
  <c r="K884" i="94"/>
  <c r="H11" i="78"/>
  <c r="AD12" i="100"/>
  <c r="Q12" i="74"/>
  <c r="F153" i="94"/>
  <c r="H154" i="94"/>
  <c r="M22" i="27"/>
  <c r="Y14" i="97"/>
  <c r="Q14" i="74"/>
  <c r="T14" i="73"/>
  <c r="G142" i="94"/>
  <c r="M21" i="32"/>
  <c r="U76" i="32"/>
  <c r="I110" i="42"/>
  <c r="I77" i="42"/>
  <c r="I786" i="94" s="1"/>
  <c r="F674" i="94"/>
  <c r="U69" i="42"/>
  <c r="L117" i="47"/>
  <c r="M67" i="47"/>
  <c r="U75" i="47"/>
  <c r="E621" i="94"/>
  <c r="E77" i="84"/>
  <c r="E789" i="94" s="1"/>
  <c r="I833" i="94"/>
  <c r="I84" i="84"/>
  <c r="E110" i="87"/>
  <c r="D110" i="106"/>
  <c r="F84" i="110"/>
  <c r="D57" i="109"/>
  <c r="D61" i="109" s="1"/>
  <c r="M674" i="94"/>
  <c r="P52" i="65"/>
  <c r="B46" i="41"/>
  <c r="M20" i="17"/>
  <c r="D324" i="94"/>
  <c r="M35" i="17"/>
  <c r="F84" i="17"/>
  <c r="Z12" i="97"/>
  <c r="R12" i="74"/>
  <c r="U12" i="73"/>
  <c r="F89" i="27"/>
  <c r="F897" i="94" s="1"/>
  <c r="E671" i="94"/>
  <c r="E77" i="32"/>
  <c r="E699" i="94"/>
  <c r="M71" i="32"/>
  <c r="D57" i="31"/>
  <c r="F84" i="32"/>
  <c r="L871" i="94"/>
  <c r="L89" i="32"/>
  <c r="F633" i="94"/>
  <c r="M66" i="37"/>
  <c r="L119" i="37"/>
  <c r="D61" i="36"/>
  <c r="L77" i="42"/>
  <c r="D707" i="94"/>
  <c r="U71" i="47"/>
  <c r="L119" i="84"/>
  <c r="E320" i="94"/>
  <c r="E1078" i="94" s="1"/>
  <c r="I110" i="92"/>
  <c r="D29" i="92"/>
  <c r="I539" i="94"/>
  <c r="I1102" i="94" s="1"/>
  <c r="I62" i="87"/>
  <c r="G525" i="94"/>
  <c r="G1101" i="94" s="1"/>
  <c r="I110" i="84"/>
  <c r="I570" i="94"/>
  <c r="I62" i="27"/>
  <c r="I584" i="94" s="1"/>
  <c r="D36" i="26"/>
  <c r="F556" i="94"/>
  <c r="F567" i="94" s="1"/>
  <c r="D62" i="27"/>
  <c r="U74" i="110"/>
  <c r="M74" i="110"/>
  <c r="Y74" i="110" s="1"/>
  <c r="U75" i="110"/>
  <c r="M75" i="110"/>
  <c r="B52" i="109" s="1"/>
  <c r="M93" i="42"/>
  <c r="F848" i="94"/>
  <c r="U71" i="114"/>
  <c r="M71" i="114"/>
  <c r="B48" i="113" s="1"/>
  <c r="M60" i="118"/>
  <c r="B36" i="117" s="1"/>
  <c r="I62" i="118"/>
  <c r="J826" i="94"/>
  <c r="J84" i="17"/>
  <c r="J854" i="94" s="1"/>
  <c r="F875" i="94"/>
  <c r="F489" i="94"/>
  <c r="D29" i="41"/>
  <c r="M10" i="42"/>
  <c r="M17" i="94" s="1"/>
  <c r="H534" i="94"/>
  <c r="H62" i="37"/>
  <c r="H590" i="94" s="1"/>
  <c r="F77" i="94"/>
  <c r="M11" i="114"/>
  <c r="B11" i="113" s="1"/>
  <c r="D11" i="113"/>
  <c r="D15" i="113" s="1"/>
  <c r="M22" i="114"/>
  <c r="G18" i="114"/>
  <c r="G29" i="114"/>
  <c r="G44" i="114" s="1"/>
  <c r="M26" i="114"/>
  <c r="I31" i="114"/>
  <c r="I42" i="114"/>
  <c r="F110" i="114"/>
  <c r="D29" i="113"/>
  <c r="P75" i="114"/>
  <c r="L115" i="114"/>
  <c r="U66" i="114"/>
  <c r="J77" i="114"/>
  <c r="L115" i="87"/>
  <c r="F537" i="94"/>
  <c r="D34" i="105"/>
  <c r="H18" i="114"/>
  <c r="H29" i="114"/>
  <c r="J42" i="114"/>
  <c r="J31" i="114"/>
  <c r="D59" i="112"/>
  <c r="D13" i="112"/>
  <c r="F23" i="113"/>
  <c r="G110" i="114"/>
  <c r="L117" i="114"/>
  <c r="G89" i="37"/>
  <c r="G903" i="94" s="1"/>
  <c r="F511" i="94"/>
  <c r="M88" i="114"/>
  <c r="B65" i="113" s="1"/>
  <c r="D65" i="113"/>
  <c r="M96" i="114"/>
  <c r="F110" i="118"/>
  <c r="H110" i="110"/>
  <c r="D84" i="110"/>
  <c r="M80" i="110"/>
  <c r="B57" i="109" s="1"/>
  <c r="M82" i="110"/>
  <c r="B59" i="109" s="1"/>
  <c r="F59" i="109" s="1"/>
  <c r="M94" i="110"/>
  <c r="U67" i="114"/>
  <c r="D44" i="113"/>
  <c r="E44" i="113" s="1"/>
  <c r="E77" i="114"/>
  <c r="M82" i="114"/>
  <c r="B59" i="113" s="1"/>
  <c r="F59" i="113" s="1"/>
  <c r="D64" i="113"/>
  <c r="D66" i="113" s="1"/>
  <c r="F89" i="114"/>
  <c r="H980" i="94"/>
  <c r="H1141" i="94" s="1"/>
  <c r="I79" i="94"/>
  <c r="I1058" i="94" s="1"/>
  <c r="D33" i="21"/>
  <c r="F878" i="94"/>
  <c r="F29" i="110"/>
  <c r="D18" i="109" s="1"/>
  <c r="D48" i="109"/>
  <c r="U71" i="110"/>
  <c r="O72" i="110"/>
  <c r="S72" i="110" s="1"/>
  <c r="M72" i="110"/>
  <c r="B49" i="109" s="1"/>
  <c r="U72" i="110"/>
  <c r="M76" i="110"/>
  <c r="B53" i="109" s="1"/>
  <c r="U76" i="110"/>
  <c r="M81" i="110"/>
  <c r="B58" i="109" s="1"/>
  <c r="F58" i="109" s="1"/>
  <c r="L89" i="110"/>
  <c r="L31" i="114"/>
  <c r="D36" i="113"/>
  <c r="D38" i="113" s="1"/>
  <c r="M60" i="114"/>
  <c r="B36" i="113" s="1"/>
  <c r="M61" i="114"/>
  <c r="B37" i="113" s="1"/>
  <c r="K77" i="114"/>
  <c r="M66" i="114"/>
  <c r="H77" i="114"/>
  <c r="O67" i="114"/>
  <c r="S67" i="114" s="1"/>
  <c r="G77" i="114"/>
  <c r="M69" i="114"/>
  <c r="B46" i="113" s="1"/>
  <c r="U69" i="114"/>
  <c r="O69" i="114"/>
  <c r="S69" i="114" s="1"/>
  <c r="D31" i="106"/>
  <c r="M34" i="110"/>
  <c r="M35" i="110"/>
  <c r="J31" i="110"/>
  <c r="J42" i="110"/>
  <c r="M38" i="110"/>
  <c r="M39" i="110"/>
  <c r="M40" i="110"/>
  <c r="M47" i="110"/>
  <c r="B23" i="109" s="1"/>
  <c r="M50" i="110"/>
  <c r="J110" i="110"/>
  <c r="M58" i="110"/>
  <c r="B34" i="109" s="1"/>
  <c r="M59" i="110"/>
  <c r="B35" i="109" s="1"/>
  <c r="L118" i="110"/>
  <c r="P75" i="110"/>
  <c r="L115" i="110"/>
  <c r="L77" i="110"/>
  <c r="M68" i="110"/>
  <c r="M69" i="110"/>
  <c r="I77" i="110"/>
  <c r="H77" i="110"/>
  <c r="M70" i="110"/>
  <c r="G77" i="110"/>
  <c r="O73" i="110"/>
  <c r="S73" i="110" s="1"/>
  <c r="M73" i="110"/>
  <c r="B50" i="109" s="1"/>
  <c r="U73" i="110"/>
  <c r="B21" i="111"/>
  <c r="L121" i="110"/>
  <c r="D110" i="114"/>
  <c r="M14" i="114"/>
  <c r="B14" i="113" s="1"/>
  <c r="M20" i="114"/>
  <c r="F18" i="114"/>
  <c r="M23" i="114"/>
  <c r="Q22" i="114" s="1"/>
  <c r="M27" i="114"/>
  <c r="M28" i="114"/>
  <c r="M34" i="114"/>
  <c r="M35" i="114"/>
  <c r="H31" i="114"/>
  <c r="H42" i="114"/>
  <c r="M36" i="114"/>
  <c r="Q26" i="114" s="1"/>
  <c r="M37" i="114"/>
  <c r="M39" i="114"/>
  <c r="M40" i="114"/>
  <c r="M50" i="114"/>
  <c r="E110" i="114"/>
  <c r="M53" i="114"/>
  <c r="H62" i="114"/>
  <c r="M56" i="114"/>
  <c r="B32" i="113" s="1"/>
  <c r="M59" i="114"/>
  <c r="B35" i="113" s="1"/>
  <c r="L77" i="114"/>
  <c r="I77" i="114"/>
  <c r="O70" i="114"/>
  <c r="S70" i="114" s="1"/>
  <c r="U70" i="114"/>
  <c r="M70" i="114"/>
  <c r="M81" i="114"/>
  <c r="B58" i="113" s="1"/>
  <c r="F58" i="113" s="1"/>
  <c r="L15" i="118"/>
  <c r="L110" i="118"/>
  <c r="O68" i="118"/>
  <c r="S68" i="118" s="1"/>
  <c r="F63" i="94"/>
  <c r="D13" i="105"/>
  <c r="L62" i="32"/>
  <c r="L418" i="94"/>
  <c r="L1085" i="94" s="1"/>
  <c r="M22" i="118"/>
  <c r="I42" i="118"/>
  <c r="I31" i="118"/>
  <c r="L44" i="118"/>
  <c r="M81" i="118"/>
  <c r="B58" i="117" s="1"/>
  <c r="F58" i="117" s="1"/>
  <c r="S68" i="110"/>
  <c r="M68" i="114"/>
  <c r="O68" i="114"/>
  <c r="S68" i="114" s="1"/>
  <c r="U68" i="114"/>
  <c r="M73" i="114"/>
  <c r="M74" i="114"/>
  <c r="J84" i="114"/>
  <c r="M80" i="114"/>
  <c r="B57" i="113" s="1"/>
  <c r="M83" i="114"/>
  <c r="B60" i="113" s="1"/>
  <c r="F60" i="113" s="1"/>
  <c r="M87" i="114"/>
  <c r="B64" i="113" s="1"/>
  <c r="E89" i="114"/>
  <c r="M93" i="114"/>
  <c r="X75" i="114" s="1"/>
  <c r="M94" i="114"/>
  <c r="M97" i="114"/>
  <c r="M19" i="118"/>
  <c r="J42" i="32"/>
  <c r="G168" i="94"/>
  <c r="G29" i="27"/>
  <c r="D11" i="16"/>
  <c r="F27" i="94"/>
  <c r="F776" i="94"/>
  <c r="D53" i="105"/>
  <c r="F31" i="110"/>
  <c r="F15" i="114"/>
  <c r="J15" i="114"/>
  <c r="D18" i="114"/>
  <c r="I29" i="114"/>
  <c r="I18" i="114"/>
  <c r="K42" i="114"/>
  <c r="K31" i="114"/>
  <c r="E42" i="114"/>
  <c r="H110" i="114"/>
  <c r="K62" i="114"/>
  <c r="G62" i="114"/>
  <c r="M65" i="114"/>
  <c r="B42" i="113" s="1"/>
  <c r="U65" i="114"/>
  <c r="O65" i="114"/>
  <c r="S65" i="114" s="1"/>
  <c r="D77" i="114"/>
  <c r="L118" i="114"/>
  <c r="M72" i="114"/>
  <c r="O72" i="114"/>
  <c r="S72" i="114" s="1"/>
  <c r="U72" i="114"/>
  <c r="M76" i="114"/>
  <c r="B53" i="113" s="1"/>
  <c r="U76" i="114"/>
  <c r="G84" i="114"/>
  <c r="L119" i="92"/>
  <c r="D89" i="118"/>
  <c r="M87" i="118"/>
  <c r="B64" i="117" s="1"/>
  <c r="F581" i="94"/>
  <c r="F553" i="94"/>
  <c r="U68" i="118"/>
  <c r="D10" i="109"/>
  <c r="D15" i="109" s="1"/>
  <c r="F15" i="110"/>
  <c r="I31" i="110"/>
  <c r="G42" i="110"/>
  <c r="G110" i="110"/>
  <c r="D62" i="110"/>
  <c r="M56" i="110"/>
  <c r="B32" i="109" s="1"/>
  <c r="J62" i="110"/>
  <c r="F77" i="110"/>
  <c r="D42" i="109"/>
  <c r="M96" i="110"/>
  <c r="M80" i="118"/>
  <c r="B57" i="117" s="1"/>
  <c r="D84" i="118"/>
  <c r="D61" i="117"/>
  <c r="D110" i="87"/>
  <c r="D110" i="37"/>
  <c r="E29" i="110"/>
  <c r="E44" i="110" s="1"/>
  <c r="F42" i="118"/>
  <c r="M76" i="118"/>
  <c r="B53" i="117" s="1"/>
  <c r="U76" i="118"/>
  <c r="M93" i="118"/>
  <c r="X75" i="118" s="1"/>
  <c r="K15" i="110"/>
  <c r="G62" i="110"/>
  <c r="M97" i="118"/>
  <c r="D42" i="110"/>
  <c r="E31" i="114"/>
  <c r="E62" i="114"/>
  <c r="L18" i="118"/>
  <c r="F18" i="118"/>
  <c r="H31" i="118"/>
  <c r="H42" i="118"/>
  <c r="H44" i="118" s="1"/>
  <c r="M39" i="118"/>
  <c r="X25" i="118" s="1"/>
  <c r="E110" i="118"/>
  <c r="H62" i="118"/>
  <c r="M56" i="118"/>
  <c r="B32" i="117" s="1"/>
  <c r="M88" i="118"/>
  <c r="B65" i="117" s="1"/>
  <c r="F65" i="117" s="1"/>
  <c r="M94" i="118"/>
  <c r="K29" i="110"/>
  <c r="F62" i="110"/>
  <c r="H62" i="110"/>
  <c r="M67" i="110"/>
  <c r="I84" i="110"/>
  <c r="K84" i="110"/>
  <c r="M83" i="110"/>
  <c r="B60" i="109" s="1"/>
  <c r="F60" i="109" s="1"/>
  <c r="E89" i="110"/>
  <c r="M87" i="110"/>
  <c r="B64" i="109" s="1"/>
  <c r="L18" i="114"/>
  <c r="G15" i="114"/>
  <c r="D31" i="114"/>
  <c r="M38" i="118"/>
  <c r="L84" i="118"/>
  <c r="L119" i="62"/>
  <c r="G18" i="110"/>
  <c r="I62" i="110"/>
  <c r="J84" i="110"/>
  <c r="F89" i="110"/>
  <c r="D64" i="109"/>
  <c r="D66" i="109" s="1"/>
  <c r="M95" i="110"/>
  <c r="Y76" i="110" s="1"/>
  <c r="M25" i="118"/>
  <c r="M59" i="118"/>
  <c r="B35" i="117" s="1"/>
  <c r="P75" i="118"/>
  <c r="L115" i="118"/>
  <c r="K18" i="110"/>
  <c r="I15" i="110"/>
  <c r="L15" i="110"/>
  <c r="M24" i="110"/>
  <c r="G29" i="110"/>
  <c r="M28" i="110"/>
  <c r="G31" i="110"/>
  <c r="I110" i="118"/>
  <c r="L117" i="118"/>
  <c r="D15" i="110"/>
  <c r="M36" i="110"/>
  <c r="Q26" i="110" s="1"/>
  <c r="Q30" i="110" s="1"/>
  <c r="H42" i="110"/>
  <c r="M40" i="118"/>
  <c r="L118" i="118"/>
  <c r="O69" i="110"/>
  <c r="S69" i="110" s="1"/>
  <c r="U69" i="110"/>
  <c r="K110" i="114"/>
  <c r="E18" i="114"/>
  <c r="M21" i="114"/>
  <c r="J18" i="114"/>
  <c r="J29" i="114"/>
  <c r="M25" i="114"/>
  <c r="L42" i="114"/>
  <c r="I110" i="114"/>
  <c r="D84" i="114"/>
  <c r="F84" i="114"/>
  <c r="M50" i="118"/>
  <c r="K62" i="118"/>
  <c r="U65" i="118"/>
  <c r="M65" i="118"/>
  <c r="J42" i="62"/>
  <c r="K62" i="110"/>
  <c r="J77" i="110"/>
  <c r="H15" i="114"/>
  <c r="D42" i="114"/>
  <c r="M41" i="114"/>
  <c r="G110" i="118"/>
  <c r="E77" i="118"/>
  <c r="M82" i="118"/>
  <c r="B59" i="117" s="1"/>
  <c r="F59" i="117" s="1"/>
  <c r="K77" i="110"/>
  <c r="K15" i="114"/>
  <c r="M20" i="118"/>
  <c r="X36" i="118" s="1"/>
  <c r="M32" i="118"/>
  <c r="H110" i="118"/>
  <c r="M95" i="118"/>
  <c r="Y76" i="118" s="1"/>
  <c r="D110" i="110"/>
  <c r="M11" i="110"/>
  <c r="B11" i="109" s="1"/>
  <c r="D29" i="110"/>
  <c r="L119" i="114"/>
  <c r="D29" i="118"/>
  <c r="M37" i="118"/>
  <c r="M72" i="118"/>
  <c r="O72" i="118"/>
  <c r="S72" i="118" s="1"/>
  <c r="U72" i="118"/>
  <c r="D61" i="113"/>
  <c r="K29" i="114"/>
  <c r="J110" i="114"/>
  <c r="M57" i="114"/>
  <c r="B33" i="113" s="1"/>
  <c r="D62" i="114"/>
  <c r="M75" i="114"/>
  <c r="B52" i="113" s="1"/>
  <c r="E84" i="114"/>
  <c r="E42" i="118"/>
  <c r="F18" i="110"/>
  <c r="U75" i="114"/>
  <c r="F31" i="114"/>
  <c r="F77" i="114"/>
  <c r="U74" i="114"/>
  <c r="J84" i="118"/>
  <c r="I89" i="118"/>
  <c r="L29" i="62"/>
  <c r="L259" i="94" s="1"/>
  <c r="K42" i="62"/>
  <c r="M24" i="114"/>
  <c r="D29" i="114"/>
  <c r="G31" i="114"/>
  <c r="L110" i="114"/>
  <c r="F62" i="114"/>
  <c r="D110" i="118"/>
  <c r="K110" i="118"/>
  <c r="M58" i="118"/>
  <c r="B34" i="117" s="1"/>
  <c r="H77" i="118"/>
  <c r="M13" i="114"/>
  <c r="I77" i="118"/>
  <c r="F84" i="118"/>
  <c r="M10" i="62"/>
  <c r="T10" i="65" s="1"/>
  <c r="M10" i="118"/>
  <c r="B10" i="117" s="1"/>
  <c r="D53" i="116" s="1"/>
  <c r="M10" i="84"/>
  <c r="M20" i="94" s="1"/>
  <c r="D90" i="94"/>
  <c r="D15" i="118"/>
  <c r="M10" i="114"/>
  <c r="B10" i="113" s="1"/>
  <c r="D15" i="114"/>
  <c r="D15" i="106"/>
  <c r="M10" i="106"/>
  <c r="M10" i="87"/>
  <c r="D15" i="87"/>
  <c r="D15" i="94"/>
  <c r="M10" i="92"/>
  <c r="D110" i="84"/>
  <c r="D89" i="94"/>
  <c r="D17" i="94"/>
  <c r="D110" i="42"/>
  <c r="D15" i="42"/>
  <c r="D18" i="94"/>
  <c r="D15" i="37"/>
  <c r="M12" i="94"/>
  <c r="D110" i="27"/>
  <c r="D15" i="22"/>
  <c r="D110" i="22"/>
  <c r="M10" i="22"/>
  <c r="D110" i="17"/>
  <c r="B10" i="16"/>
  <c r="M13" i="94"/>
  <c r="D15" i="17"/>
  <c r="X15" i="102" l="1"/>
  <c r="C16" i="57"/>
  <c r="C11" i="57"/>
  <c r="F20" i="73"/>
  <c r="X20" i="102"/>
  <c r="J32" i="83"/>
  <c r="N20" i="101"/>
  <c r="O13" i="101"/>
  <c r="F21" i="73"/>
  <c r="G21" i="80"/>
  <c r="O21" i="80" s="1"/>
  <c r="H17" i="98"/>
  <c r="N15" i="101"/>
  <c r="F14" i="73"/>
  <c r="X11" i="102"/>
  <c r="N11" i="101"/>
  <c r="C8" i="57"/>
  <c r="R12" i="99"/>
  <c r="E9" i="63"/>
  <c r="F38" i="63" s="1"/>
  <c r="K6" i="65"/>
  <c r="K7" i="65" s="1"/>
  <c r="I7" i="64"/>
  <c r="X33" i="114"/>
  <c r="E638" i="94"/>
  <c r="E1111" i="94" s="1"/>
  <c r="M18" i="17"/>
  <c r="G12" i="80"/>
  <c r="R16" i="99"/>
  <c r="W6" i="65"/>
  <c r="W7" i="65" s="1"/>
  <c r="G20" i="80"/>
  <c r="R13" i="99"/>
  <c r="Q6" i="65"/>
  <c r="Q11" i="65" s="1"/>
  <c r="J23" i="113"/>
  <c r="X12" i="102"/>
  <c r="M98" i="71"/>
  <c r="C13" i="57"/>
  <c r="N12" i="101"/>
  <c r="E12" i="63"/>
  <c r="I131" i="63" s="1"/>
  <c r="G13" i="80"/>
  <c r="F17" i="73"/>
  <c r="J32" i="41"/>
  <c r="G17" i="98"/>
  <c r="I8" i="64"/>
  <c r="H13" i="98"/>
  <c r="C14" i="57"/>
  <c r="G16" i="98"/>
  <c r="X18" i="102"/>
  <c r="E6" i="65"/>
  <c r="E7" i="65" s="1"/>
  <c r="G11" i="80"/>
  <c r="I6" i="64"/>
  <c r="N10" i="101"/>
  <c r="F11" i="73"/>
  <c r="R11" i="99"/>
  <c r="G11" i="98"/>
  <c r="C12" i="57"/>
  <c r="X10" i="102"/>
  <c r="E6" i="63"/>
  <c r="F35" i="63" s="1"/>
  <c r="M96" i="71"/>
  <c r="E110" i="71"/>
  <c r="J34" i="113"/>
  <c r="J37" i="2"/>
  <c r="J33" i="2"/>
  <c r="C6" i="86"/>
  <c r="J36" i="109"/>
  <c r="J37" i="105"/>
  <c r="C18" i="57"/>
  <c r="O23" i="101"/>
  <c r="X19" i="102"/>
  <c r="G6" i="65"/>
  <c r="G10" i="65" s="1"/>
  <c r="F12" i="73"/>
  <c r="G19" i="80"/>
  <c r="O19" i="80" s="1"/>
  <c r="F525" i="94"/>
  <c r="D46" i="57" s="1"/>
  <c r="M213" i="94"/>
  <c r="M22" i="100"/>
  <c r="H850" i="94"/>
  <c r="H1128" i="94" s="1"/>
  <c r="H581" i="94"/>
  <c r="H1105" i="94" s="1"/>
  <c r="E44" i="106"/>
  <c r="E445" i="94" s="1"/>
  <c r="M339" i="94"/>
  <c r="Z41" i="65"/>
  <c r="K750" i="94"/>
  <c r="K1119" i="94" s="1"/>
  <c r="D38" i="16"/>
  <c r="G249" i="94"/>
  <c r="G1072" i="94" s="1"/>
  <c r="B45" i="105"/>
  <c r="D113" i="104" s="1"/>
  <c r="AB51" i="65"/>
  <c r="E74" i="105"/>
  <c r="F39" i="65"/>
  <c r="F44" i="65" s="1"/>
  <c r="D20" i="103" s="1"/>
  <c r="B33" i="16"/>
  <c r="E73" i="105"/>
  <c r="M493" i="94"/>
  <c r="AB35" i="65"/>
  <c r="AB36" i="65" s="1"/>
  <c r="H40" i="65"/>
  <c r="M527" i="94"/>
  <c r="M747" i="94"/>
  <c r="P82" i="65"/>
  <c r="H624" i="94"/>
  <c r="H1110" i="94" s="1"/>
  <c r="B33" i="105"/>
  <c r="M184" i="94"/>
  <c r="I23" i="100"/>
  <c r="M163" i="94"/>
  <c r="K362" i="94"/>
  <c r="K1081" i="94" s="1"/>
  <c r="D44" i="32"/>
  <c r="D74" i="83"/>
  <c r="G16" i="100"/>
  <c r="F32" i="105"/>
  <c r="J33" i="65"/>
  <c r="M523" i="94"/>
  <c r="F11" i="65"/>
  <c r="J35" i="65"/>
  <c r="B29" i="26"/>
  <c r="L880" i="94"/>
  <c r="L1132" i="94" s="1"/>
  <c r="F306" i="94"/>
  <c r="F1077" i="94" s="1"/>
  <c r="B51" i="83"/>
  <c r="Q30" i="27"/>
  <c r="S14" i="97"/>
  <c r="M508" i="94"/>
  <c r="M385" i="94"/>
  <c r="B29" i="36"/>
  <c r="M490" i="94"/>
  <c r="E73" i="36"/>
  <c r="N35" i="65"/>
  <c r="I292" i="94"/>
  <c r="I1076" i="94" s="1"/>
  <c r="J21" i="97"/>
  <c r="D18" i="31"/>
  <c r="K79" i="94"/>
  <c r="K1058" i="94" s="1"/>
  <c r="F35" i="91"/>
  <c r="J35" i="91" s="1"/>
  <c r="T13" i="97"/>
  <c r="U13" i="97" s="1"/>
  <c r="M412" i="94"/>
  <c r="AA17" i="100"/>
  <c r="F254" i="94"/>
  <c r="E77" i="105"/>
  <c r="E80" i="105" s="1"/>
  <c r="D54" i="15"/>
  <c r="G165" i="94"/>
  <c r="G1066" i="94" s="1"/>
  <c r="E390" i="94"/>
  <c r="E1083" i="94" s="1"/>
  <c r="P43" i="65"/>
  <c r="P44" i="65" s="1"/>
  <c r="D65" i="103" s="1"/>
  <c r="B37" i="41"/>
  <c r="Z22" i="65"/>
  <c r="V22" i="100"/>
  <c r="M15" i="27"/>
  <c r="M82" i="94" s="1"/>
  <c r="M295" i="94"/>
  <c r="S14" i="100"/>
  <c r="M215" i="94"/>
  <c r="J13" i="97"/>
  <c r="S68" i="106"/>
  <c r="S74" i="106" s="1"/>
  <c r="S78" i="106" s="1"/>
  <c r="D21" i="95"/>
  <c r="F21" i="95" s="1"/>
  <c r="X25" i="110"/>
  <c r="M29" i="32"/>
  <c r="Y69" i="118"/>
  <c r="X25" i="92"/>
  <c r="M759" i="94"/>
  <c r="H123" i="94"/>
  <c r="H1063" i="94" s="1"/>
  <c r="AB38" i="65"/>
  <c r="M27" i="94"/>
  <c r="Z16" i="100"/>
  <c r="M399" i="94"/>
  <c r="S15" i="97"/>
  <c r="W20" i="100"/>
  <c r="M359" i="94"/>
  <c r="P20" i="97"/>
  <c r="L63" i="110"/>
  <c r="G708" i="94"/>
  <c r="G1116" i="94" s="1"/>
  <c r="B52" i="36"/>
  <c r="K44" i="92"/>
  <c r="K439" i="94" s="1"/>
  <c r="F23" i="117"/>
  <c r="X13" i="100"/>
  <c r="M879" i="94"/>
  <c r="B64" i="46"/>
  <c r="R70" i="65"/>
  <c r="R72" i="65" s="1"/>
  <c r="L193" i="94"/>
  <c r="L1068" i="94" s="1"/>
  <c r="L1073" i="94" s="1"/>
  <c r="F59" i="2"/>
  <c r="F63" i="106"/>
  <c r="F607" i="94" s="1"/>
  <c r="D13" i="116"/>
  <c r="M509" i="94"/>
  <c r="K15" i="100"/>
  <c r="R23" i="65"/>
  <c r="R24" i="65" s="1"/>
  <c r="D14" i="65"/>
  <c r="B14" i="2"/>
  <c r="Y13" i="100"/>
  <c r="R17" i="97"/>
  <c r="M378" i="94"/>
  <c r="N43" i="65"/>
  <c r="M576" i="94"/>
  <c r="B37" i="36"/>
  <c r="B38" i="36" s="1"/>
  <c r="D14" i="35" s="1"/>
  <c r="D35" i="65"/>
  <c r="M488" i="94"/>
  <c r="B29" i="2"/>
  <c r="E73" i="2"/>
  <c r="E29" i="105"/>
  <c r="F29" i="105" s="1"/>
  <c r="G764" i="94"/>
  <c r="G1120" i="94" s="1"/>
  <c r="X36" i="114"/>
  <c r="E479" i="94"/>
  <c r="E1094" i="94" s="1"/>
  <c r="AA18" i="100"/>
  <c r="I42" i="91"/>
  <c r="H20" i="102" s="1"/>
  <c r="E29" i="31"/>
  <c r="F29" i="31" s="1"/>
  <c r="S68" i="14"/>
  <c r="S74" i="14" s="1"/>
  <c r="S78" i="14" s="1"/>
  <c r="E8" i="68" s="1"/>
  <c r="R66" i="65"/>
  <c r="I57" i="63"/>
  <c r="D30" i="65"/>
  <c r="M417" i="94"/>
  <c r="E7" i="63"/>
  <c r="M103" i="71"/>
  <c r="I44" i="14"/>
  <c r="I440" i="94" s="1"/>
  <c r="I425" i="94"/>
  <c r="B14" i="36"/>
  <c r="M74" i="94"/>
  <c r="M187" i="94"/>
  <c r="K17" i="100"/>
  <c r="H13" i="97"/>
  <c r="M303" i="94"/>
  <c r="S20" i="100"/>
  <c r="B60" i="91"/>
  <c r="F60" i="91" s="1"/>
  <c r="N21" i="80" s="1"/>
  <c r="Z66" i="65"/>
  <c r="M842" i="94"/>
  <c r="Z59" i="65"/>
  <c r="M770" i="94"/>
  <c r="F495" i="94"/>
  <c r="D42" i="57" s="1"/>
  <c r="J37" i="94"/>
  <c r="J1055" i="94" s="1"/>
  <c r="AB11" i="65"/>
  <c r="M35" i="94"/>
  <c r="B11" i="105"/>
  <c r="D54" i="104" s="1"/>
  <c r="B37" i="83"/>
  <c r="V43" i="65"/>
  <c r="J553" i="94"/>
  <c r="J1103" i="94" s="1"/>
  <c r="L64" i="65"/>
  <c r="J822" i="94"/>
  <c r="J1126" i="94" s="1"/>
  <c r="B58" i="31"/>
  <c r="F58" i="31" s="1"/>
  <c r="E736" i="94"/>
  <c r="E1118" i="94" s="1"/>
  <c r="D63" i="20"/>
  <c r="D103" i="116"/>
  <c r="E44" i="114"/>
  <c r="E63" i="114" s="1"/>
  <c r="H764" i="94"/>
  <c r="H1120" i="94" s="1"/>
  <c r="E179" i="94"/>
  <c r="E1067" i="94" s="1"/>
  <c r="G390" i="94"/>
  <c r="G1083" i="94" s="1"/>
  <c r="X25" i="106"/>
  <c r="F60" i="46"/>
  <c r="N14" i="80" s="1"/>
  <c r="X26" i="47"/>
  <c r="B48" i="16"/>
  <c r="D107" i="15" s="1"/>
  <c r="M936" i="94"/>
  <c r="M319" i="94"/>
  <c r="V71" i="65"/>
  <c r="V72" i="65" s="1"/>
  <c r="D65" i="65"/>
  <c r="M117" i="94"/>
  <c r="Y66" i="118"/>
  <c r="M158" i="94"/>
  <c r="E63" i="106"/>
  <c r="M18" i="106"/>
  <c r="F35" i="21"/>
  <c r="V19" i="65"/>
  <c r="V20" i="65" s="1"/>
  <c r="Q11" i="97"/>
  <c r="H426" i="94"/>
  <c r="D66" i="40"/>
  <c r="B10" i="41"/>
  <c r="AB72" i="65"/>
  <c r="AB73" i="65" s="1"/>
  <c r="H165" i="94"/>
  <c r="H1066" i="94" s="1"/>
  <c r="D736" i="94"/>
  <c r="D1118" i="94" s="1"/>
  <c r="E666" i="94"/>
  <c r="E1113" i="94" s="1"/>
  <c r="J23" i="97"/>
  <c r="R28" i="47"/>
  <c r="F54" i="65"/>
  <c r="X75" i="106"/>
  <c r="Y75" i="106" s="1"/>
  <c r="T18" i="100"/>
  <c r="B65" i="83"/>
  <c r="M829" i="94"/>
  <c r="T20" i="97"/>
  <c r="F33" i="117"/>
  <c r="I850" i="94"/>
  <c r="I1128" i="94" s="1"/>
  <c r="X45" i="37"/>
  <c r="F36" i="105"/>
  <c r="J36" i="105" s="1"/>
  <c r="M232" i="94"/>
  <c r="AB63" i="65"/>
  <c r="C9" i="57"/>
  <c r="B14" i="46"/>
  <c r="B15" i="46" s="1"/>
  <c r="R14" i="65"/>
  <c r="R15" i="65" s="1"/>
  <c r="P14" i="65"/>
  <c r="B14" i="41"/>
  <c r="H70" i="65"/>
  <c r="X28" i="118"/>
  <c r="G179" i="94"/>
  <c r="G1067" i="94" s="1"/>
  <c r="X26" i="110"/>
  <c r="K822" i="94"/>
  <c r="K1126" i="94" s="1"/>
  <c r="M42" i="84"/>
  <c r="E822" i="94"/>
  <c r="E1126" i="94" s="1"/>
  <c r="H292" i="94"/>
  <c r="H1076" i="94" s="1"/>
  <c r="M219" i="94"/>
  <c r="T17" i="100"/>
  <c r="F44" i="42"/>
  <c r="X42" i="87"/>
  <c r="P76" i="37"/>
  <c r="I10" i="81" s="1"/>
  <c r="H179" i="94"/>
  <c r="H1067" i="94" s="1"/>
  <c r="H1073" i="94" s="1"/>
  <c r="M713" i="94"/>
  <c r="AA20" i="100"/>
  <c r="X34" i="37"/>
  <c r="B53" i="91"/>
  <c r="F53" i="91" s="1"/>
  <c r="K53" i="91" s="1"/>
  <c r="O53" i="91" s="1"/>
  <c r="M547" i="94"/>
  <c r="T14" i="97"/>
  <c r="D952" i="94"/>
  <c r="D1139" i="94" s="1"/>
  <c r="E137" i="94"/>
  <c r="E1064" i="94" s="1"/>
  <c r="E1062" i="94" s="1"/>
  <c r="M806" i="94"/>
  <c r="B23" i="41"/>
  <c r="H41" i="65"/>
  <c r="H44" i="65" s="1"/>
  <c r="D29" i="103" s="1"/>
  <c r="M375" i="94"/>
  <c r="M15" i="100"/>
  <c r="J18" i="97"/>
  <c r="M212" i="94"/>
  <c r="M849" i="94"/>
  <c r="E652" i="94"/>
  <c r="E1112" i="94" s="1"/>
  <c r="E85" i="63"/>
  <c r="F256" i="94"/>
  <c r="D19" i="41"/>
  <c r="D20" i="41" s="1"/>
  <c r="B14" i="26"/>
  <c r="D57" i="25" s="1"/>
  <c r="H463" i="94"/>
  <c r="H1091" i="94" s="1"/>
  <c r="J479" i="94"/>
  <c r="J1094" i="94" s="1"/>
  <c r="B58" i="16"/>
  <c r="D29" i="63"/>
  <c r="I822" i="94"/>
  <c r="I1126" i="94" s="1"/>
  <c r="B49" i="31"/>
  <c r="K115" i="63" s="1"/>
  <c r="H85" i="65"/>
  <c r="H15" i="97"/>
  <c r="M89" i="92"/>
  <c r="M900" i="94" s="1"/>
  <c r="Q30" i="84"/>
  <c r="Q35" i="84" s="1"/>
  <c r="B35" i="41"/>
  <c r="D63" i="40" s="1"/>
  <c r="E44" i="84"/>
  <c r="E444" i="94" s="1"/>
  <c r="D431" i="94"/>
  <c r="H23" i="94"/>
  <c r="H1054" i="94" s="1"/>
  <c r="F33" i="36"/>
  <c r="G12" i="98"/>
  <c r="M578" i="94"/>
  <c r="B37" i="16"/>
  <c r="F43" i="65"/>
  <c r="D429" i="94"/>
  <c r="D44" i="84"/>
  <c r="D444" i="94" s="1"/>
  <c r="P10" i="65"/>
  <c r="P15" i="65" s="1"/>
  <c r="O20" i="100"/>
  <c r="L20" i="97"/>
  <c r="M246" i="94"/>
  <c r="J14" i="65"/>
  <c r="M812" i="94"/>
  <c r="J123" i="94"/>
  <c r="J1063" i="94" s="1"/>
  <c r="L55" i="65"/>
  <c r="H44" i="22"/>
  <c r="C11" i="16"/>
  <c r="J36" i="16"/>
  <c r="I165" i="94"/>
  <c r="I1066" i="94" s="1"/>
  <c r="M188" i="94"/>
  <c r="F58" i="105"/>
  <c r="L22" i="65"/>
  <c r="E44" i="92"/>
  <c r="B34" i="36"/>
  <c r="N40" i="65"/>
  <c r="N44" i="65" s="1"/>
  <c r="D56" i="103" s="1"/>
  <c r="L44" i="42"/>
  <c r="L426" i="94"/>
  <c r="J40" i="65"/>
  <c r="B34" i="26"/>
  <c r="M528" i="94"/>
  <c r="M183" i="94"/>
  <c r="H19" i="97"/>
  <c r="M820" i="94"/>
  <c r="AB64" i="65"/>
  <c r="B58" i="105"/>
  <c r="X36" i="37"/>
  <c r="K306" i="94"/>
  <c r="K1077" i="94" s="1"/>
  <c r="K20" i="97"/>
  <c r="D38" i="86"/>
  <c r="P76" i="118"/>
  <c r="I20" i="81" s="1"/>
  <c r="F65" i="94"/>
  <c r="D26" i="57" s="1"/>
  <c r="P76" i="84"/>
  <c r="I14" i="81" s="1"/>
  <c r="F151" i="94"/>
  <c r="F1065" i="94" s="1"/>
  <c r="I348" i="94"/>
  <c r="I1080" i="94" s="1"/>
  <c r="D123" i="94"/>
  <c r="D1063" i="94" s="1"/>
  <c r="X28" i="106"/>
  <c r="M62" i="17"/>
  <c r="M585" i="94" s="1"/>
  <c r="M973" i="94"/>
  <c r="H63" i="27"/>
  <c r="H598" i="94" s="1"/>
  <c r="I14" i="64"/>
  <c r="N19" i="101"/>
  <c r="F16" i="73"/>
  <c r="P39" i="65"/>
  <c r="M519" i="94"/>
  <c r="N64" i="65"/>
  <c r="M817" i="94"/>
  <c r="B58" i="36"/>
  <c r="F58" i="36" s="1"/>
  <c r="I44" i="118"/>
  <c r="G736" i="94"/>
  <c r="G1118" i="94" s="1"/>
  <c r="D61" i="16"/>
  <c r="E65" i="94"/>
  <c r="E1057" i="94" s="1"/>
  <c r="H320" i="94"/>
  <c r="H1078" i="94" s="1"/>
  <c r="H880" i="94"/>
  <c r="H1132" i="94" s="1"/>
  <c r="H1134" i="94" s="1"/>
  <c r="J624" i="94"/>
  <c r="J1110" i="94" s="1"/>
  <c r="D23" i="65"/>
  <c r="V57" i="65"/>
  <c r="R24" i="84"/>
  <c r="D539" i="94"/>
  <c r="D1102" i="94" s="1"/>
  <c r="G306" i="94"/>
  <c r="G1077" i="94" s="1"/>
  <c r="K850" i="94"/>
  <c r="K1128" i="94" s="1"/>
  <c r="J32" i="16"/>
  <c r="M541" i="94"/>
  <c r="F46" i="105"/>
  <c r="E11" i="63"/>
  <c r="X11" i="100"/>
  <c r="G20" i="97"/>
  <c r="B43" i="91"/>
  <c r="M630" i="94"/>
  <c r="D42" i="65"/>
  <c r="M560" i="94"/>
  <c r="F14" i="109"/>
  <c r="J14" i="109" s="1"/>
  <c r="J736" i="94"/>
  <c r="J1118" i="94" s="1"/>
  <c r="D235" i="94"/>
  <c r="D1071" i="94" s="1"/>
  <c r="E850" i="94"/>
  <c r="E1128" i="94" s="1"/>
  <c r="E249" i="94"/>
  <c r="E1072" i="94" s="1"/>
  <c r="M89" i="118"/>
  <c r="F179" i="94"/>
  <c r="F1067" i="94" s="1"/>
  <c r="D15" i="26"/>
  <c r="J638" i="94"/>
  <c r="J1111" i="94" s="1"/>
  <c r="M868" i="94"/>
  <c r="D44" i="17"/>
  <c r="D437" i="94" s="1"/>
  <c r="M42" i="27"/>
  <c r="AB14" i="100" s="1"/>
  <c r="AJ14" i="100" s="1"/>
  <c r="G15" i="80"/>
  <c r="J850" i="94"/>
  <c r="J1128" i="94" s="1"/>
  <c r="J10" i="65"/>
  <c r="G151" i="94"/>
  <c r="G1065" i="94" s="1"/>
  <c r="E624" i="94"/>
  <c r="E1110" i="94" s="1"/>
  <c r="U77" i="84"/>
  <c r="F822" i="94"/>
  <c r="F1126" i="94" s="1"/>
  <c r="M62" i="22"/>
  <c r="M583" i="94" s="1"/>
  <c r="B42" i="36"/>
  <c r="F42" i="36" s="1"/>
  <c r="Y65" i="110"/>
  <c r="J511" i="94"/>
  <c r="J1100" i="94" s="1"/>
  <c r="F722" i="94"/>
  <c r="F1117" i="94" s="1"/>
  <c r="AC6" i="65"/>
  <c r="AC7" i="65" s="1"/>
  <c r="X22" i="102"/>
  <c r="G23" i="80"/>
  <c r="F23" i="73"/>
  <c r="N23" i="101"/>
  <c r="R23" i="99"/>
  <c r="G23" i="98"/>
  <c r="L525" i="94"/>
  <c r="L1101" i="94" s="1"/>
  <c r="L1106" i="94" s="1"/>
  <c r="M115" i="94"/>
  <c r="K652" i="94"/>
  <c r="K1112" i="94" s="1"/>
  <c r="G348" i="94"/>
  <c r="G1080" i="94" s="1"/>
  <c r="M15" i="92"/>
  <c r="M85" i="94" s="1"/>
  <c r="D61" i="31"/>
  <c r="N33" i="65"/>
  <c r="F22" i="100"/>
  <c r="F47" i="46"/>
  <c r="K47" i="46" s="1"/>
  <c r="M47" i="46" s="1"/>
  <c r="M29" i="84"/>
  <c r="B18" i="83" s="1"/>
  <c r="R19" i="99"/>
  <c r="O6" i="65"/>
  <c r="O7" i="65" s="1"/>
  <c r="L822" i="94"/>
  <c r="L1126" i="94" s="1"/>
  <c r="P76" i="14"/>
  <c r="I5" i="81" s="1"/>
  <c r="D105" i="104"/>
  <c r="K722" i="94"/>
  <c r="K1117" i="94" s="1"/>
  <c r="D221" i="94"/>
  <c r="D1070" i="94" s="1"/>
  <c r="G63" i="118"/>
  <c r="G91" i="118" s="1"/>
  <c r="G98" i="118" s="1"/>
  <c r="L750" i="94"/>
  <c r="L1119" i="94" s="1"/>
  <c r="L111" i="42"/>
  <c r="L123" i="42" s="1"/>
  <c r="L107" i="42" s="1"/>
  <c r="F11" i="81" s="1"/>
  <c r="R28" i="14"/>
  <c r="D722" i="94"/>
  <c r="D1117" i="94" s="1"/>
  <c r="H51" i="63"/>
  <c r="D66" i="86"/>
  <c r="F60" i="86"/>
  <c r="N22" i="80" s="1"/>
  <c r="F880" i="94"/>
  <c r="D77" i="57" s="1"/>
  <c r="D38" i="26"/>
  <c r="D17" i="79"/>
  <c r="I10" i="64"/>
  <c r="L102" i="71"/>
  <c r="M102" i="71" s="1"/>
  <c r="X14" i="102"/>
  <c r="E14" i="63"/>
  <c r="F43" i="63" s="1"/>
  <c r="N14" i="101"/>
  <c r="G19" i="98"/>
  <c r="F19" i="73"/>
  <c r="U6" i="65"/>
  <c r="U7" i="65" s="1"/>
  <c r="C15" i="57"/>
  <c r="R15" i="99"/>
  <c r="G16" i="80"/>
  <c r="I11" i="64"/>
  <c r="K63" i="118"/>
  <c r="K91" i="118" s="1"/>
  <c r="K98" i="118" s="1"/>
  <c r="E44" i="87"/>
  <c r="E63" i="87" s="1"/>
  <c r="F894" i="94"/>
  <c r="D61" i="86"/>
  <c r="Y71" i="87"/>
  <c r="J750" i="94"/>
  <c r="J1119" i="94" s="1"/>
  <c r="I17" i="100"/>
  <c r="M159" i="94"/>
  <c r="F33" i="41"/>
  <c r="J33" i="41" s="1"/>
  <c r="D61" i="40"/>
  <c r="E86" i="63"/>
  <c r="M190" i="94"/>
  <c r="K20" i="100"/>
  <c r="H20" i="97"/>
  <c r="X34" i="84"/>
  <c r="X45" i="84"/>
  <c r="D624" i="94"/>
  <c r="D1110" i="94" s="1"/>
  <c r="J722" i="94"/>
  <c r="J1117" i="94" s="1"/>
  <c r="H666" i="94"/>
  <c r="H1113" i="94" s="1"/>
  <c r="J880" i="94"/>
  <c r="J1132" i="94" s="1"/>
  <c r="E836" i="94"/>
  <c r="E1127" i="94" s="1"/>
  <c r="G652" i="94"/>
  <c r="G1112" i="94" s="1"/>
  <c r="X25" i="87"/>
  <c r="X47" i="42"/>
  <c r="M17" i="74" s="1"/>
  <c r="F20" i="100"/>
  <c r="M120" i="94"/>
  <c r="M544" i="94"/>
  <c r="L41" i="65"/>
  <c r="B35" i="31"/>
  <c r="O19" i="101"/>
  <c r="H12" i="98"/>
  <c r="M113" i="94"/>
  <c r="F12" i="100"/>
  <c r="L32" i="65"/>
  <c r="M470" i="94"/>
  <c r="E72" i="31"/>
  <c r="B26" i="31"/>
  <c r="F65" i="113"/>
  <c r="D61" i="46"/>
  <c r="M89" i="37"/>
  <c r="M903" i="94" s="1"/>
  <c r="P76" i="62"/>
  <c r="I13" i="81" s="1"/>
  <c r="D61" i="105"/>
  <c r="D57" i="116"/>
  <c r="E764" i="94"/>
  <c r="E1120" i="94" s="1"/>
  <c r="D61" i="1"/>
  <c r="E80" i="63"/>
  <c r="K44" i="114"/>
  <c r="K63" i="114" s="1"/>
  <c r="K91" i="114" s="1"/>
  <c r="K98" i="114" s="1"/>
  <c r="G808" i="94"/>
  <c r="G1125" i="94" s="1"/>
  <c r="K23" i="94"/>
  <c r="K1054" i="94" s="1"/>
  <c r="F59" i="83"/>
  <c r="H80" i="63"/>
  <c r="F36" i="2"/>
  <c r="J36" i="2" s="1"/>
  <c r="D64" i="1"/>
  <c r="K71" i="71"/>
  <c r="M29" i="94"/>
  <c r="Z11" i="65"/>
  <c r="B11" i="91"/>
  <c r="C6" i="21"/>
  <c r="R17" i="99" s="1"/>
  <c r="D57" i="65"/>
  <c r="B51" i="2"/>
  <c r="Y20" i="100"/>
  <c r="M387" i="94"/>
  <c r="R20" i="97"/>
  <c r="M20" i="100"/>
  <c r="X25" i="84"/>
  <c r="J20" i="97"/>
  <c r="M218" i="94"/>
  <c r="Q36" i="84"/>
  <c r="G14" i="81" s="1"/>
  <c r="P76" i="92"/>
  <c r="I16" i="81" s="1"/>
  <c r="F708" i="94"/>
  <c r="F1116" i="94" s="1"/>
  <c r="K908" i="94"/>
  <c r="H63" i="42"/>
  <c r="H603" i="94" s="1"/>
  <c r="D54" i="116"/>
  <c r="M989" i="94"/>
  <c r="N85" i="65"/>
  <c r="F110" i="71"/>
  <c r="L97" i="71"/>
  <c r="M97" i="71" s="1"/>
  <c r="O17" i="101"/>
  <c r="H15" i="98"/>
  <c r="O15" i="100"/>
  <c r="L18" i="97"/>
  <c r="M240" i="94"/>
  <c r="L836" i="94"/>
  <c r="L1127" i="94" s="1"/>
  <c r="H404" i="94"/>
  <c r="H1084" i="94" s="1"/>
  <c r="H1086" i="94" s="1"/>
  <c r="K193" i="94"/>
  <c r="K1068" i="94" s="1"/>
  <c r="K1073" i="94" s="1"/>
  <c r="M726" i="94"/>
  <c r="Y73" i="17"/>
  <c r="Z20" i="100"/>
  <c r="S20" i="97"/>
  <c r="M401" i="94"/>
  <c r="X28" i="84"/>
  <c r="X30" i="84" s="1"/>
  <c r="I20" i="74" s="1"/>
  <c r="N17" i="101"/>
  <c r="X17" i="102"/>
  <c r="G18" i="80"/>
  <c r="E10" i="63"/>
  <c r="G15" i="98"/>
  <c r="F15" i="73"/>
  <c r="I13" i="64"/>
  <c r="C10" i="57"/>
  <c r="M6" i="65"/>
  <c r="M7" i="65" s="1"/>
  <c r="E73" i="117"/>
  <c r="B29" i="117"/>
  <c r="M100" i="71"/>
  <c r="K429" i="94"/>
  <c r="K44" i="84"/>
  <c r="K444" i="94" s="1"/>
  <c r="B23" i="31"/>
  <c r="L29" i="65"/>
  <c r="M454" i="94"/>
  <c r="D63" i="27"/>
  <c r="E894" i="94"/>
  <c r="E1133" i="94" s="1"/>
  <c r="J426" i="94"/>
  <c r="J44" i="42"/>
  <c r="M738" i="94"/>
  <c r="D74" i="21"/>
  <c r="H57" i="65"/>
  <c r="Y74" i="22"/>
  <c r="B51" i="21"/>
  <c r="F249" i="94"/>
  <c r="F1072" i="94" s="1"/>
  <c r="B59" i="21"/>
  <c r="F59" i="21" s="1"/>
  <c r="M824" i="94"/>
  <c r="H65" i="65"/>
  <c r="J255" i="94"/>
  <c r="J44" i="92"/>
  <c r="J439" i="94" s="1"/>
  <c r="F624" i="94"/>
  <c r="F1110" i="94" s="1"/>
  <c r="H65" i="94"/>
  <c r="H1057" i="94" s="1"/>
  <c r="H1059" i="94" s="1"/>
  <c r="C6" i="46"/>
  <c r="J34" i="46" s="1"/>
  <c r="J74" i="71"/>
  <c r="K74" i="71" s="1"/>
  <c r="C6" i="117" s="1"/>
  <c r="I46" i="117" s="1"/>
  <c r="I118" i="63"/>
  <c r="M99" i="71"/>
  <c r="S74" i="118"/>
  <c r="S78" i="118" s="1"/>
  <c r="D708" i="94"/>
  <c r="D1116" i="94" s="1"/>
  <c r="F123" i="94"/>
  <c r="F1063" i="94" s="1"/>
  <c r="M42" i="47"/>
  <c r="U77" i="92"/>
  <c r="X34" i="87"/>
  <c r="R28" i="87"/>
  <c r="Q22" i="87"/>
  <c r="S68" i="87"/>
  <c r="S74" i="87" s="1"/>
  <c r="S78" i="87" s="1"/>
  <c r="F58" i="86"/>
  <c r="X45" i="87"/>
  <c r="F348" i="94"/>
  <c r="F1080" i="94" s="1"/>
  <c r="F33" i="86"/>
  <c r="F966" i="94"/>
  <c r="F1140" i="94" s="1"/>
  <c r="Y73" i="87"/>
  <c r="D836" i="94"/>
  <c r="D1127" i="94" s="1"/>
  <c r="M29" i="87"/>
  <c r="L44" i="87"/>
  <c r="U77" i="87"/>
  <c r="D20" i="86"/>
  <c r="F44" i="87"/>
  <c r="F63" i="87" s="1"/>
  <c r="J864" i="94"/>
  <c r="I235" i="94"/>
  <c r="I1071" i="94" s="1"/>
  <c r="O13" i="87"/>
  <c r="F539" i="94"/>
  <c r="D47" i="57" s="1"/>
  <c r="D666" i="94"/>
  <c r="D1113" i="94" s="1"/>
  <c r="D1134" i="94"/>
  <c r="G376" i="94"/>
  <c r="G1082" i="94" s="1"/>
  <c r="D44" i="87"/>
  <c r="H44" i="87"/>
  <c r="Y70" i="87"/>
  <c r="G37" i="94"/>
  <c r="G1055" i="94" s="1"/>
  <c r="G1059" i="94" s="1"/>
  <c r="I137" i="94"/>
  <c r="I1064" i="94" s="1"/>
  <c r="F64" i="86"/>
  <c r="J836" i="94"/>
  <c r="J1127" i="94" s="1"/>
  <c r="O18" i="101"/>
  <c r="H25" i="98"/>
  <c r="O24" i="101"/>
  <c r="X77" i="110"/>
  <c r="D64" i="108"/>
  <c r="F33" i="109"/>
  <c r="J33" i="109" s="1"/>
  <c r="D91" i="27"/>
  <c r="D598" i="94"/>
  <c r="E1080" i="94"/>
  <c r="D34" i="79"/>
  <c r="F34" i="79" s="1"/>
  <c r="B13" i="26"/>
  <c r="M54" i="94"/>
  <c r="J13" i="65"/>
  <c r="O13" i="27"/>
  <c r="X26" i="118"/>
  <c r="X27" i="118" s="1"/>
  <c r="X41" i="118"/>
  <c r="B57" i="91"/>
  <c r="F57" i="91" s="1"/>
  <c r="Z63" i="65"/>
  <c r="M800" i="94"/>
  <c r="S68" i="47"/>
  <c r="S74" i="47" s="1"/>
  <c r="S78" i="47" s="1"/>
  <c r="E15" i="68" s="1"/>
  <c r="B37" i="91"/>
  <c r="Z43" i="65"/>
  <c r="M573" i="94"/>
  <c r="P66" i="65"/>
  <c r="M844" i="94"/>
  <c r="B60" i="41"/>
  <c r="F60" i="41" s="1"/>
  <c r="N13" i="80" s="1"/>
  <c r="D822" i="94"/>
  <c r="D1126" i="94" s="1"/>
  <c r="D18" i="26"/>
  <c r="I109" i="94"/>
  <c r="Y72" i="27"/>
  <c r="V85" i="65"/>
  <c r="M991" i="94"/>
  <c r="Q30" i="114"/>
  <c r="Q36" i="114" s="1"/>
  <c r="G19" i="81" s="1"/>
  <c r="X28" i="110"/>
  <c r="E334" i="94"/>
  <c r="E1079" i="94" s="1"/>
  <c r="D306" i="94"/>
  <c r="D1077" i="94" s="1"/>
  <c r="F57" i="86"/>
  <c r="H525" i="94"/>
  <c r="H1101" i="94" s="1"/>
  <c r="F52" i="46"/>
  <c r="K52" i="46" s="1"/>
  <c r="O52" i="46" s="1"/>
  <c r="O54" i="46" s="1"/>
  <c r="D694" i="94"/>
  <c r="D1115" i="94" s="1"/>
  <c r="F63" i="84"/>
  <c r="F91" i="84" s="1"/>
  <c r="F994" i="94"/>
  <c r="F1142" i="94" s="1"/>
  <c r="K320" i="94"/>
  <c r="K1078" i="94" s="1"/>
  <c r="M31" i="87"/>
  <c r="M62" i="37"/>
  <c r="M590" i="94" s="1"/>
  <c r="F666" i="94"/>
  <c r="F1113" i="94" s="1"/>
  <c r="G694" i="94"/>
  <c r="G1115" i="94" s="1"/>
  <c r="M524" i="94"/>
  <c r="D111" i="45"/>
  <c r="H260" i="94"/>
  <c r="H44" i="84"/>
  <c r="D74" i="117"/>
  <c r="B51" i="117"/>
  <c r="M242" i="94"/>
  <c r="L11" i="97"/>
  <c r="O11" i="100"/>
  <c r="T13" i="100"/>
  <c r="M308" i="94"/>
  <c r="O17" i="100"/>
  <c r="L13" i="97"/>
  <c r="M243" i="94"/>
  <c r="R24" i="42"/>
  <c r="R30" i="42" s="1"/>
  <c r="P19" i="65"/>
  <c r="D85" i="65"/>
  <c r="M987" i="94"/>
  <c r="M313" i="94"/>
  <c r="T11" i="100"/>
  <c r="X41" i="14"/>
  <c r="X43" i="14" s="1"/>
  <c r="L11" i="74" s="1"/>
  <c r="F11" i="86"/>
  <c r="D20" i="79"/>
  <c r="D445" i="94"/>
  <c r="Y66" i="87"/>
  <c r="X33" i="17"/>
  <c r="X35" i="17" s="1"/>
  <c r="J12" i="74" s="1"/>
  <c r="M282" i="94"/>
  <c r="R12" i="100"/>
  <c r="N82" i="65"/>
  <c r="M947" i="94"/>
  <c r="B43" i="16"/>
  <c r="F49" i="65"/>
  <c r="Y76" i="87"/>
  <c r="F792" i="94"/>
  <c r="Y71" i="110"/>
  <c r="D38" i="51"/>
  <c r="M62" i="42"/>
  <c r="M589" i="94" s="1"/>
  <c r="B52" i="91"/>
  <c r="Z58" i="65"/>
  <c r="M756" i="94"/>
  <c r="M692" i="94"/>
  <c r="AB53" i="65"/>
  <c r="B47" i="105"/>
  <c r="F35" i="16"/>
  <c r="J35" i="16" s="1"/>
  <c r="G81" i="63"/>
  <c r="D63" i="15"/>
  <c r="M706" i="94"/>
  <c r="AB54" i="65"/>
  <c r="Y71" i="106"/>
  <c r="B48" i="105"/>
  <c r="B64" i="36"/>
  <c r="F64" i="36" s="1"/>
  <c r="M875" i="94"/>
  <c r="N70" i="65"/>
  <c r="B35" i="46"/>
  <c r="R41" i="65"/>
  <c r="M552" i="94"/>
  <c r="M62" i="114"/>
  <c r="L44" i="114"/>
  <c r="L63" i="114" s="1"/>
  <c r="L91" i="114" s="1"/>
  <c r="L98" i="114" s="1"/>
  <c r="H44" i="110"/>
  <c r="H63" i="110" s="1"/>
  <c r="H91" i="110" s="1"/>
  <c r="H98" i="110" s="1"/>
  <c r="H44" i="114"/>
  <c r="X27" i="110"/>
  <c r="Y72" i="110"/>
  <c r="Y71" i="114"/>
  <c r="U77" i="47"/>
  <c r="E708" i="94"/>
  <c r="E1116" i="94" s="1"/>
  <c r="G894" i="94"/>
  <c r="G1133" i="94" s="1"/>
  <c r="G1134" i="94" s="1"/>
  <c r="U77" i="37"/>
  <c r="G418" i="94"/>
  <c r="G1085" i="94" s="1"/>
  <c r="H808" i="94"/>
  <c r="H1125" i="94" s="1"/>
  <c r="E44" i="14"/>
  <c r="E440" i="94" s="1"/>
  <c r="I980" i="94"/>
  <c r="I1141" i="94" s="1"/>
  <c r="E750" i="94"/>
  <c r="E1119" i="94" s="1"/>
  <c r="L894" i="94"/>
  <c r="L1133" i="94" s="1"/>
  <c r="F652" i="94"/>
  <c r="F1112" i="94" s="1"/>
  <c r="H93" i="94"/>
  <c r="X36" i="110"/>
  <c r="J595" i="94"/>
  <c r="I123" i="94"/>
  <c r="I1063" i="94" s="1"/>
  <c r="X42" i="84"/>
  <c r="N118" i="63"/>
  <c r="P76" i="47"/>
  <c r="I12" i="81" s="1"/>
  <c r="K11" i="97"/>
  <c r="N11" i="100"/>
  <c r="M228" i="94"/>
  <c r="X28" i="14"/>
  <c r="M1028" i="94"/>
  <c r="M84" i="106"/>
  <c r="M862" i="94" s="1"/>
  <c r="E75" i="2"/>
  <c r="B44" i="2"/>
  <c r="M645" i="94"/>
  <c r="D50" i="65"/>
  <c r="V58" i="65"/>
  <c r="M761" i="94"/>
  <c r="B52" i="83"/>
  <c r="M42" i="106"/>
  <c r="E44" i="105"/>
  <c r="D104" i="104"/>
  <c r="F13" i="31"/>
  <c r="G26" i="63"/>
  <c r="D56" i="30"/>
  <c r="D98" i="103"/>
  <c r="F48" i="46"/>
  <c r="D107" i="45"/>
  <c r="J118" i="63"/>
  <c r="E421" i="94"/>
  <c r="E44" i="27"/>
  <c r="E436" i="94" s="1"/>
  <c r="M89" i="42"/>
  <c r="M902" i="94" s="1"/>
  <c r="J902" i="94"/>
  <c r="J908" i="94" s="1"/>
  <c r="B35" i="2"/>
  <c r="M546" i="94"/>
  <c r="D41" i="65"/>
  <c r="L652" i="94"/>
  <c r="L1112" i="94" s="1"/>
  <c r="B53" i="2"/>
  <c r="F53" i="2" s="1"/>
  <c r="K53" i="2" s="1"/>
  <c r="O53" i="2" s="1"/>
  <c r="D59" i="65"/>
  <c r="M771" i="94"/>
  <c r="R16" i="100"/>
  <c r="M287" i="94"/>
  <c r="L808" i="94"/>
  <c r="L1125" i="94" s="1"/>
  <c r="M15" i="47"/>
  <c r="M92" i="94" s="1"/>
  <c r="M18" i="118"/>
  <c r="F808" i="94"/>
  <c r="D70" i="57" s="1"/>
  <c r="J44" i="110"/>
  <c r="D19" i="113"/>
  <c r="D20" i="113" s="1"/>
  <c r="D39" i="113" s="1"/>
  <c r="I306" i="94"/>
  <c r="I1077" i="94" s="1"/>
  <c r="F320" i="94"/>
  <c r="F1078" i="94" s="1"/>
  <c r="J63" i="84"/>
  <c r="K539" i="94"/>
  <c r="K1102" i="94" s="1"/>
  <c r="F35" i="41"/>
  <c r="J35" i="41" s="1"/>
  <c r="H722" i="94"/>
  <c r="H1117" i="94" s="1"/>
  <c r="L44" i="106"/>
  <c r="L445" i="94" s="1"/>
  <c r="F736" i="94"/>
  <c r="D63" i="57" s="1"/>
  <c r="I80" i="63"/>
  <c r="K44" i="110"/>
  <c r="K63" i="110" s="1"/>
  <c r="K91" i="110" s="1"/>
  <c r="K98" i="110" s="1"/>
  <c r="F463" i="94"/>
  <c r="D36" i="57" s="1"/>
  <c r="J539" i="94"/>
  <c r="J1102" i="94" s="1"/>
  <c r="F680" i="94"/>
  <c r="F1114" i="94" s="1"/>
  <c r="I63" i="47"/>
  <c r="J306" i="94"/>
  <c r="J1077" i="94" s="1"/>
  <c r="I44" i="22"/>
  <c r="I435" i="94" s="1"/>
  <c r="B49" i="2"/>
  <c r="D108" i="1" s="1"/>
  <c r="O13" i="118"/>
  <c r="B13" i="117"/>
  <c r="X36" i="106"/>
  <c r="X38" i="106" s="1"/>
  <c r="M986" i="94"/>
  <c r="Z85" i="65"/>
  <c r="M559" i="94"/>
  <c r="Z42" i="65"/>
  <c r="B36" i="91"/>
  <c r="M504" i="94"/>
  <c r="B32" i="2"/>
  <c r="D38" i="65"/>
  <c r="D53" i="45"/>
  <c r="M233" i="94"/>
  <c r="N23" i="100"/>
  <c r="B53" i="83"/>
  <c r="M775" i="94"/>
  <c r="V59" i="65"/>
  <c r="Y66" i="17"/>
  <c r="R24" i="37"/>
  <c r="J495" i="94"/>
  <c r="J1097" i="94" s="1"/>
  <c r="D65" i="116"/>
  <c r="F37" i="117"/>
  <c r="J22" i="100"/>
  <c r="M171" i="94"/>
  <c r="Q22" i="92"/>
  <c r="Q30" i="92" s="1"/>
  <c r="Z18" i="65"/>
  <c r="G21" i="97"/>
  <c r="M769" i="94"/>
  <c r="B53" i="31"/>
  <c r="L59" i="65"/>
  <c r="D446" i="94"/>
  <c r="D63" i="47"/>
  <c r="D608" i="94" s="1"/>
  <c r="J55" i="65"/>
  <c r="B49" i="26"/>
  <c r="E91" i="114"/>
  <c r="E98" i="114" s="1"/>
  <c r="I581" i="94"/>
  <c r="I1105" i="94" s="1"/>
  <c r="I1106" i="94" s="1"/>
  <c r="F908" i="94"/>
  <c r="L37" i="94"/>
  <c r="L1055" i="94" s="1"/>
  <c r="J179" i="94"/>
  <c r="J1067" i="94" s="1"/>
  <c r="J1073" i="94" s="1"/>
  <c r="I23" i="94"/>
  <c r="I1054" i="94" s="1"/>
  <c r="I1059" i="94" s="1"/>
  <c r="P76" i="32"/>
  <c r="I9" i="81" s="1"/>
  <c r="L23" i="94"/>
  <c r="L1054" i="94" s="1"/>
  <c r="D63" i="84"/>
  <c r="U77" i="106"/>
  <c r="I249" i="94"/>
  <c r="I1072" i="94" s="1"/>
  <c r="D193" i="94"/>
  <c r="D1068" i="94" s="1"/>
  <c r="K418" i="94"/>
  <c r="K1085" i="94" s="1"/>
  <c r="K65" i="94"/>
  <c r="K1057" i="94" s="1"/>
  <c r="G86" i="63"/>
  <c r="D65" i="1"/>
  <c r="F850" i="94"/>
  <c r="E938" i="94"/>
  <c r="E1138" i="94" s="1"/>
  <c r="Y72" i="14"/>
  <c r="D66" i="51"/>
  <c r="M763" i="94"/>
  <c r="B45" i="117"/>
  <c r="Y68" i="118"/>
  <c r="E74" i="117"/>
  <c r="Y76" i="47"/>
  <c r="R83" i="65"/>
  <c r="M965" i="94"/>
  <c r="D66" i="105"/>
  <c r="F65" i="105"/>
  <c r="F421" i="94"/>
  <c r="F44" i="27"/>
  <c r="F436" i="94" s="1"/>
  <c r="D19" i="26"/>
  <c r="M284" i="94"/>
  <c r="R22" i="100"/>
  <c r="G424" i="94"/>
  <c r="G44" i="92"/>
  <c r="G439" i="94" s="1"/>
  <c r="S22" i="100"/>
  <c r="M298" i="94"/>
  <c r="M318" i="94"/>
  <c r="T23" i="100"/>
  <c r="B50" i="105"/>
  <c r="Y73" i="106"/>
  <c r="M734" i="94"/>
  <c r="AB56" i="65"/>
  <c r="F23" i="83"/>
  <c r="D13" i="82"/>
  <c r="D59" i="82"/>
  <c r="V23" i="100"/>
  <c r="AB22" i="65"/>
  <c r="Q26" i="106"/>
  <c r="Q30" i="106" s="1"/>
  <c r="M346" i="94"/>
  <c r="O23" i="97"/>
  <c r="L111" i="27"/>
  <c r="L123" i="27" s="1"/>
  <c r="L107" i="27" s="1"/>
  <c r="F8" i="81" s="1"/>
  <c r="M77" i="118"/>
  <c r="B48" i="117"/>
  <c r="Y71" i="118"/>
  <c r="E694" i="94"/>
  <c r="E1115" i="94" s="1"/>
  <c r="M15" i="62"/>
  <c r="M89" i="94" s="1"/>
  <c r="M685" i="94"/>
  <c r="B47" i="31"/>
  <c r="Y70" i="32"/>
  <c r="L53" i="65"/>
  <c r="AB14" i="65"/>
  <c r="M77" i="94"/>
  <c r="B14" i="105"/>
  <c r="F11" i="41"/>
  <c r="J11" i="41" s="1"/>
  <c r="E28" i="63"/>
  <c r="C11" i="41"/>
  <c r="D54" i="40"/>
  <c r="M677" i="94"/>
  <c r="B46" i="83"/>
  <c r="Y69" i="84"/>
  <c r="V52" i="65"/>
  <c r="K880" i="94"/>
  <c r="K1132" i="94" s="1"/>
  <c r="P33" i="65"/>
  <c r="D63" i="103"/>
  <c r="X28" i="87"/>
  <c r="X30" i="87" s="1"/>
  <c r="I22" i="74" s="1"/>
  <c r="Y72" i="87"/>
  <c r="L111" i="17"/>
  <c r="J91" i="118"/>
  <c r="J98" i="118" s="1"/>
  <c r="G63" i="114"/>
  <c r="G91" i="114" s="1"/>
  <c r="G98" i="114" s="1"/>
  <c r="X33" i="118"/>
  <c r="F37" i="109"/>
  <c r="J37" i="109" s="1"/>
  <c r="J894" i="94"/>
  <c r="J1133" i="94" s="1"/>
  <c r="H908" i="94"/>
  <c r="G778" i="94"/>
  <c r="G1121" i="94" s="1"/>
  <c r="K595" i="94"/>
  <c r="B50" i="21"/>
  <c r="K430" i="94"/>
  <c r="G638" i="94"/>
  <c r="G1111" i="94" s="1"/>
  <c r="F34" i="41"/>
  <c r="D764" i="94"/>
  <c r="D1120" i="94" s="1"/>
  <c r="D61" i="51"/>
  <c r="K778" i="94"/>
  <c r="K1121" i="94" s="1"/>
  <c r="F638" i="94"/>
  <c r="D56" i="57" s="1"/>
  <c r="K624" i="94"/>
  <c r="K1110" i="94" s="1"/>
  <c r="M715" i="94"/>
  <c r="R58" i="65"/>
  <c r="Y71" i="27"/>
  <c r="M697" i="94"/>
  <c r="B53" i="41"/>
  <c r="P59" i="65"/>
  <c r="M772" i="94"/>
  <c r="B64" i="91"/>
  <c r="Z70" i="65"/>
  <c r="M872" i="94"/>
  <c r="E435" i="94"/>
  <c r="E63" i="22"/>
  <c r="E597" i="94" s="1"/>
  <c r="B34" i="2"/>
  <c r="D40" i="65"/>
  <c r="M532" i="94"/>
  <c r="M42" i="42"/>
  <c r="V42" i="65"/>
  <c r="M564" i="94"/>
  <c r="B36" i="83"/>
  <c r="D64" i="82" s="1"/>
  <c r="F57" i="105"/>
  <c r="M926" i="94"/>
  <c r="X75" i="22"/>
  <c r="H81" i="65"/>
  <c r="D151" i="94"/>
  <c r="D1065" i="94" s="1"/>
  <c r="M130" i="94"/>
  <c r="G11" i="100"/>
  <c r="F34" i="21"/>
  <c r="F82" i="63"/>
  <c r="D62" i="20"/>
  <c r="F64" i="41"/>
  <c r="F66" i="41" s="1"/>
  <c r="B66" i="41"/>
  <c r="M537" i="94"/>
  <c r="AB40" i="65"/>
  <c r="B34" i="105"/>
  <c r="F34" i="105" s="1"/>
  <c r="B65" i="91"/>
  <c r="F65" i="91" s="1"/>
  <c r="Z71" i="65"/>
  <c r="M886" i="94"/>
  <c r="P20" i="100"/>
  <c r="M260" i="94"/>
  <c r="B52" i="31"/>
  <c r="M755" i="94"/>
  <c r="L58" i="65"/>
  <c r="M89" i="84"/>
  <c r="M905" i="94" s="1"/>
  <c r="M62" i="118"/>
  <c r="X28" i="114"/>
  <c r="D62" i="112"/>
  <c r="D652" i="94"/>
  <c r="D1112" i="94" s="1"/>
  <c r="E553" i="94"/>
  <c r="E1103" i="94" s="1"/>
  <c r="E1106" i="94" s="1"/>
  <c r="K567" i="94"/>
  <c r="K1104" i="94" s="1"/>
  <c r="M628" i="94"/>
  <c r="D62" i="40"/>
  <c r="B59" i="105"/>
  <c r="F59" i="105" s="1"/>
  <c r="M89" i="87"/>
  <c r="N71" i="65"/>
  <c r="M84" i="92"/>
  <c r="M856" i="94" s="1"/>
  <c r="W13" i="100"/>
  <c r="M350" i="94"/>
  <c r="P17" i="97"/>
  <c r="E44" i="32"/>
  <c r="E423" i="94"/>
  <c r="H20" i="100"/>
  <c r="M148" i="94"/>
  <c r="M951" i="94"/>
  <c r="R82" i="65"/>
  <c r="D27" i="68"/>
  <c r="M614" i="94"/>
  <c r="Y65" i="17"/>
  <c r="F48" i="65"/>
  <c r="B42" i="16"/>
  <c r="F255" i="94"/>
  <c r="D18" i="91"/>
  <c r="D20" i="91" s="1"/>
  <c r="D39" i="91" s="1"/>
  <c r="B35" i="105"/>
  <c r="M551" i="94"/>
  <c r="AB41" i="65"/>
  <c r="D89" i="103"/>
  <c r="V30" i="65"/>
  <c r="D102" i="104"/>
  <c r="F42" i="105"/>
  <c r="Y67" i="87"/>
  <c r="M280" i="94"/>
  <c r="R13" i="100"/>
  <c r="F11" i="36"/>
  <c r="D54" i="35"/>
  <c r="E27" i="63"/>
  <c r="M724" i="94"/>
  <c r="H56" i="65"/>
  <c r="M977" i="94"/>
  <c r="V84" i="65"/>
  <c r="B23" i="91"/>
  <c r="M455" i="94"/>
  <c r="Z29" i="65"/>
  <c r="M304" i="94"/>
  <c r="S23" i="100"/>
  <c r="M129" i="94"/>
  <c r="X36" i="92"/>
  <c r="X38" i="92" s="1"/>
  <c r="G22" i="100"/>
  <c r="F10" i="117"/>
  <c r="G11" i="117" s="1"/>
  <c r="D20" i="109"/>
  <c r="D39" i="109" s="1"/>
  <c r="X25" i="114"/>
  <c r="H278" i="94"/>
  <c r="J65" i="94"/>
  <c r="J1057" i="94" s="1"/>
  <c r="J1059" i="94" s="1"/>
  <c r="AB65" i="65"/>
  <c r="B23" i="21"/>
  <c r="M451" i="94"/>
  <c r="H29" i="65"/>
  <c r="M30" i="94"/>
  <c r="B11" i="2"/>
  <c r="D11" i="65"/>
  <c r="I13" i="100"/>
  <c r="M153" i="94"/>
  <c r="Y74" i="87"/>
  <c r="Y70" i="106"/>
  <c r="M969" i="94"/>
  <c r="J84" i="65"/>
  <c r="D112" i="90"/>
  <c r="Y75" i="47"/>
  <c r="X77" i="47"/>
  <c r="M62" i="14"/>
  <c r="M588" i="94" s="1"/>
  <c r="G588" i="94"/>
  <c r="AB19" i="65"/>
  <c r="AB20" i="65" s="1"/>
  <c r="M191" i="94"/>
  <c r="K23" i="100"/>
  <c r="R24" i="106"/>
  <c r="H23" i="97"/>
  <c r="M23" i="97" s="1"/>
  <c r="R63" i="65"/>
  <c r="M807" i="94"/>
  <c r="J64" i="65"/>
  <c r="M811" i="94"/>
  <c r="B58" i="26"/>
  <c r="F58" i="26" s="1"/>
  <c r="D61" i="21"/>
  <c r="G334" i="94"/>
  <c r="G1079" i="94" s="1"/>
  <c r="G1075" i="94" s="1"/>
  <c r="M312" i="94"/>
  <c r="T22" i="100"/>
  <c r="N81" i="65"/>
  <c r="M933" i="94"/>
  <c r="X75" i="37"/>
  <c r="L44" i="92"/>
  <c r="L439" i="94" s="1"/>
  <c r="L424" i="94"/>
  <c r="M42" i="92"/>
  <c r="P85" i="65"/>
  <c r="M988" i="94"/>
  <c r="M89" i="110"/>
  <c r="Y75" i="118"/>
  <c r="X77" i="118"/>
  <c r="D38" i="105"/>
  <c r="I44" i="114"/>
  <c r="I63" i="114" s="1"/>
  <c r="I91" i="114" s="1"/>
  <c r="I98" i="114" s="1"/>
  <c r="D49" i="57"/>
  <c r="F1104" i="94"/>
  <c r="L111" i="106"/>
  <c r="L123" i="106" s="1"/>
  <c r="L107" i="106" s="1"/>
  <c r="F17" i="81" s="1"/>
  <c r="M641" i="94"/>
  <c r="J50" i="65"/>
  <c r="Y67" i="27"/>
  <c r="B44" i="26"/>
  <c r="E75" i="26"/>
  <c r="E780" i="94"/>
  <c r="U77" i="14"/>
  <c r="M178" i="94"/>
  <c r="Q22" i="47"/>
  <c r="Q30" i="47" s="1"/>
  <c r="G14" i="97"/>
  <c r="R18" i="65"/>
  <c r="J18" i="100"/>
  <c r="G587" i="94"/>
  <c r="M62" i="92"/>
  <c r="M587" i="94" s="1"/>
  <c r="P57" i="65"/>
  <c r="B51" i="41"/>
  <c r="M744" i="94"/>
  <c r="D74" i="41"/>
  <c r="L44" i="22"/>
  <c r="L420" i="94"/>
  <c r="M42" i="22"/>
  <c r="G272" i="94"/>
  <c r="G278" i="94" s="1"/>
  <c r="M31" i="42"/>
  <c r="X33" i="87"/>
  <c r="X35" i="87" s="1"/>
  <c r="J22" i="74" s="1"/>
  <c r="D23" i="57"/>
  <c r="F1054" i="94"/>
  <c r="F57" i="117"/>
  <c r="F61" i="117" s="1"/>
  <c r="B61" i="117"/>
  <c r="B50" i="113"/>
  <c r="Y73" i="114"/>
  <c r="X41" i="114"/>
  <c r="X26" i="114"/>
  <c r="E75" i="31"/>
  <c r="L50" i="65"/>
  <c r="B44" i="31"/>
  <c r="Y67" i="32"/>
  <c r="M643" i="94"/>
  <c r="F441" i="94"/>
  <c r="F63" i="42"/>
  <c r="D102" i="1"/>
  <c r="C42" i="2"/>
  <c r="F42" i="2"/>
  <c r="D111" i="63"/>
  <c r="J58" i="63"/>
  <c r="E29" i="46"/>
  <c r="F29" i="46" s="1"/>
  <c r="D67" i="45"/>
  <c r="E89" i="94"/>
  <c r="U77" i="118"/>
  <c r="F1097" i="94"/>
  <c r="B23" i="105"/>
  <c r="M461" i="94"/>
  <c r="AB29" i="65"/>
  <c r="AB30" i="65" s="1"/>
  <c r="G425" i="94"/>
  <c r="G44" i="14"/>
  <c r="F55" i="65"/>
  <c r="M712" i="94"/>
  <c r="B49" i="16"/>
  <c r="Y72" i="17"/>
  <c r="P63" i="65"/>
  <c r="M802" i="94"/>
  <c r="B57" i="41"/>
  <c r="Y74" i="42"/>
  <c r="D292" i="94"/>
  <c r="D1076" i="94" s="1"/>
  <c r="L1075" i="94"/>
  <c r="L1086" i="94"/>
  <c r="B50" i="51"/>
  <c r="M732" i="94"/>
  <c r="Y73" i="62"/>
  <c r="T56" i="65"/>
  <c r="H84" i="65"/>
  <c r="M968" i="94"/>
  <c r="O19" i="100"/>
  <c r="M245" i="94"/>
  <c r="L16" i="97"/>
  <c r="D44" i="14"/>
  <c r="M29" i="14"/>
  <c r="D256" i="94"/>
  <c r="G607" i="94"/>
  <c r="G91" i="106"/>
  <c r="G422" i="94"/>
  <c r="G44" i="17"/>
  <c r="G437" i="94" s="1"/>
  <c r="D1067" i="94"/>
  <c r="D31" i="79"/>
  <c r="M825" i="94"/>
  <c r="J65" i="65"/>
  <c r="B59" i="26"/>
  <c r="L586" i="94"/>
  <c r="L595" i="94" s="1"/>
  <c r="L63" i="32"/>
  <c r="B23" i="16"/>
  <c r="M453" i="94"/>
  <c r="F29" i="65"/>
  <c r="J423" i="94"/>
  <c r="J44" i="32"/>
  <c r="M42" i="32"/>
  <c r="D60" i="116"/>
  <c r="F32" i="117"/>
  <c r="B38" i="117"/>
  <c r="D14" i="116" s="1"/>
  <c r="I624" i="94"/>
  <c r="I1110" i="94" s="1"/>
  <c r="I1122" i="94" s="1"/>
  <c r="F89" i="94"/>
  <c r="P21" i="97"/>
  <c r="U21" i="97" s="1"/>
  <c r="Z23" i="65"/>
  <c r="Z24" i="65" s="1"/>
  <c r="W22" i="100"/>
  <c r="M354" i="94"/>
  <c r="X45" i="92"/>
  <c r="X47" i="92" s="1"/>
  <c r="M21" i="74" s="1"/>
  <c r="R28" i="92"/>
  <c r="X34" i="92"/>
  <c r="E72" i="117"/>
  <c r="B26" i="117"/>
  <c r="H53" i="65"/>
  <c r="Y70" i="22"/>
  <c r="B47" i="21"/>
  <c r="M682" i="94"/>
  <c r="F34" i="16"/>
  <c r="D62" i="15"/>
  <c r="F81" i="63"/>
  <c r="B38" i="16"/>
  <c r="D14" i="15" s="1"/>
  <c r="B61" i="113"/>
  <c r="F57" i="113"/>
  <c r="F61" i="113" s="1"/>
  <c r="B60" i="31"/>
  <c r="F60" i="31" s="1"/>
  <c r="N18" i="80" s="1"/>
  <c r="L66" i="65"/>
  <c r="L67" i="65" s="1"/>
  <c r="M841" i="94"/>
  <c r="E73" i="109"/>
  <c r="B29" i="109"/>
  <c r="X29" i="42"/>
  <c r="X30" i="42" s="1"/>
  <c r="I17" i="74" s="1"/>
  <c r="U17" i="100"/>
  <c r="X42" i="42"/>
  <c r="M328" i="94"/>
  <c r="B49" i="113"/>
  <c r="Y72" i="114"/>
  <c r="M139" i="94"/>
  <c r="X26" i="22"/>
  <c r="H13" i="100"/>
  <c r="X41" i="22"/>
  <c r="B49" i="91"/>
  <c r="Y72" i="92"/>
  <c r="Z55" i="65"/>
  <c r="M714" i="94"/>
  <c r="B66" i="109"/>
  <c r="F64" i="109"/>
  <c r="F66" i="109" s="1"/>
  <c r="M31" i="27"/>
  <c r="D267" i="94"/>
  <c r="S68" i="32"/>
  <c r="S74" i="32" s="1"/>
  <c r="S78" i="32" s="1"/>
  <c r="E12" i="68" s="1"/>
  <c r="D13" i="95"/>
  <c r="F13" i="95" s="1"/>
  <c r="B61" i="109"/>
  <c r="F57" i="109"/>
  <c r="F61" i="109" s="1"/>
  <c r="D1086" i="94"/>
  <c r="Y73" i="14"/>
  <c r="M729" i="94"/>
  <c r="D56" i="65"/>
  <c r="B50" i="2"/>
  <c r="E83" i="94"/>
  <c r="I1086" i="94"/>
  <c r="F84" i="65"/>
  <c r="M970" i="94"/>
  <c r="D66" i="65"/>
  <c r="M843" i="94"/>
  <c r="B60" i="2"/>
  <c r="F60" i="2" s="1"/>
  <c r="N11" i="80" s="1"/>
  <c r="X26" i="62"/>
  <c r="M147" i="94"/>
  <c r="X41" i="62"/>
  <c r="H19" i="100"/>
  <c r="X29" i="118"/>
  <c r="X42" i="118"/>
  <c r="F46" i="113"/>
  <c r="D105" i="112"/>
  <c r="Y71" i="92"/>
  <c r="B48" i="91"/>
  <c r="Z54" i="65"/>
  <c r="M700" i="94"/>
  <c r="E75" i="16"/>
  <c r="Y67" i="17"/>
  <c r="B44" i="16"/>
  <c r="F50" i="65"/>
  <c r="M642" i="94"/>
  <c r="X29" i="110"/>
  <c r="X42" i="110"/>
  <c r="M225" i="94"/>
  <c r="N12" i="100"/>
  <c r="K19" i="97"/>
  <c r="X28" i="17"/>
  <c r="R24" i="17"/>
  <c r="M29" i="62"/>
  <c r="D259" i="94"/>
  <c r="D74" i="113"/>
  <c r="B51" i="113"/>
  <c r="Y74" i="114"/>
  <c r="M613" i="94"/>
  <c r="D29" i="68"/>
  <c r="J48" i="65"/>
  <c r="Y65" i="27"/>
  <c r="B42" i="26"/>
  <c r="L112" i="63"/>
  <c r="D109" i="15"/>
  <c r="F50" i="16"/>
  <c r="K50" i="16" s="1"/>
  <c r="M50" i="16" s="1"/>
  <c r="C50" i="16"/>
  <c r="F1101" i="94"/>
  <c r="L90" i="94"/>
  <c r="L63" i="84"/>
  <c r="H52" i="65"/>
  <c r="M668" i="94"/>
  <c r="B46" i="21"/>
  <c r="Y69" i="22"/>
  <c r="R28" i="118"/>
  <c r="X45" i="118"/>
  <c r="X34" i="118"/>
  <c r="E44" i="118"/>
  <c r="E63" i="118" s="1"/>
  <c r="E91" i="118" s="1"/>
  <c r="E98" i="118" s="1"/>
  <c r="M42" i="118"/>
  <c r="B19" i="117" s="1"/>
  <c r="Y69" i="114"/>
  <c r="M29" i="114"/>
  <c r="B18" i="113" s="1"/>
  <c r="B47" i="113"/>
  <c r="Y70" i="114"/>
  <c r="D57" i="112"/>
  <c r="F14" i="113"/>
  <c r="J14" i="113" s="1"/>
  <c r="E72" i="109"/>
  <c r="B26" i="109"/>
  <c r="D38" i="21"/>
  <c r="F33" i="21"/>
  <c r="E26" i="91"/>
  <c r="F26" i="91" s="1"/>
  <c r="D66" i="90"/>
  <c r="M216" i="94"/>
  <c r="M16" i="100"/>
  <c r="J15" i="97"/>
  <c r="X25" i="37"/>
  <c r="F52" i="41"/>
  <c r="K52" i="41" s="1"/>
  <c r="O52" i="41" s="1"/>
  <c r="N117" i="63"/>
  <c r="C52" i="41"/>
  <c r="D111" i="40"/>
  <c r="J53" i="63"/>
  <c r="D67" i="20"/>
  <c r="E29" i="21"/>
  <c r="F29" i="21" s="1"/>
  <c r="S16" i="97"/>
  <c r="Z19" i="100"/>
  <c r="M400" i="94"/>
  <c r="Z83" i="65"/>
  <c r="M958" i="94"/>
  <c r="Y76" i="92"/>
  <c r="M957" i="94"/>
  <c r="L83" i="65"/>
  <c r="Y76" i="32"/>
  <c r="F11" i="31"/>
  <c r="E26" i="63"/>
  <c r="D54" i="30"/>
  <c r="E74" i="109"/>
  <c r="Y68" i="110"/>
  <c r="B45" i="109"/>
  <c r="G252" i="94"/>
  <c r="G44" i="27"/>
  <c r="M29" i="27"/>
  <c r="D73" i="57"/>
  <c r="F1128" i="94"/>
  <c r="M326" i="94"/>
  <c r="U22" i="100"/>
  <c r="X42" i="92"/>
  <c r="X29" i="92"/>
  <c r="M675" i="94"/>
  <c r="N52" i="65"/>
  <c r="B46" i="36"/>
  <c r="Y69" i="37"/>
  <c r="M687" i="94"/>
  <c r="D53" i="65"/>
  <c r="Y70" i="14"/>
  <c r="B47" i="2"/>
  <c r="M234" i="94"/>
  <c r="X28" i="47"/>
  <c r="N18" i="100"/>
  <c r="K14" i="97"/>
  <c r="M77" i="27"/>
  <c r="M781" i="94" s="1"/>
  <c r="D781" i="94"/>
  <c r="D44" i="118"/>
  <c r="M29" i="118"/>
  <c r="B18" i="117" s="1"/>
  <c r="M19" i="94"/>
  <c r="B10" i="51"/>
  <c r="X45" i="114"/>
  <c r="X34" i="114"/>
  <c r="X35" i="114" s="1"/>
  <c r="R24" i="114"/>
  <c r="D111" i="112"/>
  <c r="F52" i="113"/>
  <c r="K52" i="113" s="1"/>
  <c r="O52" i="113" s="1"/>
  <c r="M29" i="110"/>
  <c r="B18" i="109" s="1"/>
  <c r="R28" i="114"/>
  <c r="L111" i="114"/>
  <c r="L123" i="114" s="1"/>
  <c r="L107" i="114" s="1"/>
  <c r="F19" i="81" s="1"/>
  <c r="B46" i="109"/>
  <c r="Y69" i="110"/>
  <c r="F23" i="109"/>
  <c r="J23" i="109" s="1"/>
  <c r="D59" i="108"/>
  <c r="D13" i="108"/>
  <c r="D18" i="16"/>
  <c r="D20" i="16" s="1"/>
  <c r="F253" i="94"/>
  <c r="F44" i="17"/>
  <c r="F437" i="94" s="1"/>
  <c r="B26" i="83"/>
  <c r="M476" i="94"/>
  <c r="V32" i="65"/>
  <c r="E72" i="83"/>
  <c r="B43" i="31"/>
  <c r="M629" i="94"/>
  <c r="L49" i="65"/>
  <c r="Y66" i="32"/>
  <c r="E103" i="94"/>
  <c r="M18" i="42"/>
  <c r="M839" i="94"/>
  <c r="J66" i="65"/>
  <c r="B60" i="26"/>
  <c r="F60" i="26" s="1"/>
  <c r="N12" i="80" s="1"/>
  <c r="Y74" i="27"/>
  <c r="B51" i="26"/>
  <c r="J57" i="65"/>
  <c r="D74" i="26"/>
  <c r="M739" i="94"/>
  <c r="J34" i="41"/>
  <c r="AA12" i="100"/>
  <c r="M408" i="94"/>
  <c r="T19" i="97"/>
  <c r="L88" i="94"/>
  <c r="D258" i="94"/>
  <c r="M29" i="37"/>
  <c r="D44" i="37"/>
  <c r="D105" i="94"/>
  <c r="M18" i="62"/>
  <c r="E235" i="94"/>
  <c r="E1071" i="94" s="1"/>
  <c r="E1073" i="94" s="1"/>
  <c r="I16" i="100"/>
  <c r="X29" i="37"/>
  <c r="X30" i="37" s="1"/>
  <c r="I16" i="74" s="1"/>
  <c r="M160" i="94"/>
  <c r="X42" i="37"/>
  <c r="J422" i="94"/>
  <c r="J44" i="17"/>
  <c r="M805" i="94"/>
  <c r="B57" i="83"/>
  <c r="V63" i="65"/>
  <c r="F586" i="94"/>
  <c r="F595" i="94" s="1"/>
  <c r="M62" i="32"/>
  <c r="M586" i="94" s="1"/>
  <c r="F63" i="32"/>
  <c r="F58" i="65"/>
  <c r="B52" i="16"/>
  <c r="M754" i="94"/>
  <c r="L123" i="17"/>
  <c r="L107" i="17" s="1"/>
  <c r="F6" i="81" s="1"/>
  <c r="K428" i="94"/>
  <c r="K44" i="62"/>
  <c r="D111" i="108"/>
  <c r="F52" i="109"/>
  <c r="K52" i="109" s="1"/>
  <c r="O52" i="109" s="1"/>
  <c r="M142" i="94"/>
  <c r="X26" i="32"/>
  <c r="X27" i="32" s="1"/>
  <c r="H15" i="100"/>
  <c r="X41" i="32"/>
  <c r="G428" i="94"/>
  <c r="G44" i="62"/>
  <c r="G443" i="94" s="1"/>
  <c r="U11" i="100"/>
  <c r="M327" i="94"/>
  <c r="D105" i="45"/>
  <c r="F46" i="46"/>
  <c r="H118" i="63"/>
  <c r="X29" i="14"/>
  <c r="D61" i="112"/>
  <c r="F33" i="113"/>
  <c r="J33" i="113" s="1"/>
  <c r="R28" i="110"/>
  <c r="X46" i="110"/>
  <c r="E592" i="94"/>
  <c r="E595" i="94" s="1"/>
  <c r="M62" i="84"/>
  <c r="M592" i="94" s="1"/>
  <c r="K44" i="17"/>
  <c r="K422" i="94"/>
  <c r="L425" i="94"/>
  <c r="L44" i="14"/>
  <c r="L440" i="94" s="1"/>
  <c r="Z84" i="65"/>
  <c r="M972" i="94"/>
  <c r="L89" i="94"/>
  <c r="M18" i="94"/>
  <c r="B10" i="36"/>
  <c r="O13" i="22"/>
  <c r="H13" i="65"/>
  <c r="M53" i="94"/>
  <c r="B13" i="21"/>
  <c r="M99" i="94"/>
  <c r="E12" i="100"/>
  <c r="X46" i="62"/>
  <c r="M203" i="94"/>
  <c r="L19" i="100"/>
  <c r="X37" i="62"/>
  <c r="I16" i="97"/>
  <c r="B13" i="113"/>
  <c r="O13" i="114"/>
  <c r="Y65" i="114"/>
  <c r="I63" i="110"/>
  <c r="I91" i="110" s="1"/>
  <c r="I98" i="110" s="1"/>
  <c r="M31" i="118"/>
  <c r="D19" i="117"/>
  <c r="D20" i="117" s="1"/>
  <c r="D39" i="117" s="1"/>
  <c r="F44" i="118"/>
  <c r="F63" i="118" s="1"/>
  <c r="F91" i="118" s="1"/>
  <c r="M62" i="110"/>
  <c r="B66" i="117"/>
  <c r="F64" i="117"/>
  <c r="F66" i="117" s="1"/>
  <c r="U77" i="114"/>
  <c r="F63" i="114"/>
  <c r="F91" i="114" s="1"/>
  <c r="E74" i="113"/>
  <c r="B45" i="113"/>
  <c r="Y68" i="114"/>
  <c r="D60" i="112"/>
  <c r="F32" i="113"/>
  <c r="B38" i="113"/>
  <c r="D14" i="112" s="1"/>
  <c r="Y73" i="110"/>
  <c r="P76" i="110"/>
  <c r="I18" i="81" s="1"/>
  <c r="X29" i="114"/>
  <c r="X42" i="114"/>
  <c r="D74" i="109"/>
  <c r="B51" i="109"/>
  <c r="F855" i="94"/>
  <c r="M84" i="32"/>
  <c r="M855" i="94" s="1"/>
  <c r="V66" i="65"/>
  <c r="M847" i="94"/>
  <c r="B60" i="83"/>
  <c r="F60" i="83" s="1"/>
  <c r="N20" i="80" s="1"/>
  <c r="O20" i="80" s="1"/>
  <c r="I261" i="94"/>
  <c r="I263" i="94" s="1"/>
  <c r="M29" i="106"/>
  <c r="I44" i="106"/>
  <c r="J44" i="87"/>
  <c r="M149" i="94"/>
  <c r="X26" i="106"/>
  <c r="X27" i="106" s="1"/>
  <c r="X41" i="106"/>
  <c r="X43" i="106" s="1"/>
  <c r="H23" i="100"/>
  <c r="M77" i="87"/>
  <c r="E853" i="94"/>
  <c r="M84" i="27"/>
  <c r="M853" i="94" s="1"/>
  <c r="I63" i="32"/>
  <c r="I84" i="94"/>
  <c r="M15" i="32"/>
  <c r="J63" i="92"/>
  <c r="J85" i="94"/>
  <c r="E75" i="41"/>
  <c r="E77" i="41" s="1"/>
  <c r="E80" i="41" s="1"/>
  <c r="M646" i="94"/>
  <c r="Y67" i="42"/>
  <c r="P50" i="65"/>
  <c r="B44" i="41"/>
  <c r="K90" i="94"/>
  <c r="L278" i="94"/>
  <c r="J24" i="65"/>
  <c r="J39" i="65"/>
  <c r="B33" i="26"/>
  <c r="M514" i="94"/>
  <c r="M631" i="94"/>
  <c r="D49" i="65"/>
  <c r="B43" i="2"/>
  <c r="M467" i="94"/>
  <c r="E72" i="21"/>
  <c r="H32" i="65"/>
  <c r="B26" i="21"/>
  <c r="Z39" i="65"/>
  <c r="B33" i="91"/>
  <c r="M517" i="94"/>
  <c r="H63" i="106"/>
  <c r="E44" i="117"/>
  <c r="F44" i="117" s="1"/>
  <c r="D104" i="116"/>
  <c r="M18" i="87"/>
  <c r="I19" i="100"/>
  <c r="X29" i="62"/>
  <c r="X42" i="62"/>
  <c r="M161" i="94"/>
  <c r="I428" i="94"/>
  <c r="I44" i="62"/>
  <c r="I443" i="94" s="1"/>
  <c r="D436" i="94"/>
  <c r="F43" i="46"/>
  <c r="E118" i="63"/>
  <c r="D103" i="45"/>
  <c r="M18" i="27"/>
  <c r="E98" i="94"/>
  <c r="I861" i="94"/>
  <c r="I864" i="94" s="1"/>
  <c r="M84" i="84"/>
  <c r="M861" i="94" s="1"/>
  <c r="M928" i="94"/>
  <c r="F81" i="65"/>
  <c r="X75" i="17"/>
  <c r="J109" i="94"/>
  <c r="K1062" i="94"/>
  <c r="B43" i="26"/>
  <c r="Y66" i="27"/>
  <c r="M627" i="94"/>
  <c r="J49" i="65"/>
  <c r="L16" i="100"/>
  <c r="M202" i="94"/>
  <c r="X37" i="37"/>
  <c r="I15" i="97"/>
  <c r="X46" i="37"/>
  <c r="X47" i="37" s="1"/>
  <c r="M16" i="74" s="1"/>
  <c r="T15" i="97"/>
  <c r="AA16" i="100"/>
  <c r="M413" i="94"/>
  <c r="R28" i="37"/>
  <c r="R30" i="37" s="1"/>
  <c r="I608" i="94"/>
  <c r="I91" i="47"/>
  <c r="K109" i="94"/>
  <c r="T84" i="65"/>
  <c r="M976" i="94"/>
  <c r="H63" i="114"/>
  <c r="H91" i="114" s="1"/>
  <c r="H98" i="114" s="1"/>
  <c r="H63" i="118"/>
  <c r="H91" i="118" s="1"/>
  <c r="H98" i="118" s="1"/>
  <c r="M324" i="94"/>
  <c r="U12" i="100"/>
  <c r="X42" i="17"/>
  <c r="X43" i="17" s="1"/>
  <c r="X29" i="17"/>
  <c r="F836" i="94"/>
  <c r="X75" i="87"/>
  <c r="B44" i="109"/>
  <c r="Y67" i="110"/>
  <c r="E75" i="109"/>
  <c r="F42" i="113"/>
  <c r="D102" i="112"/>
  <c r="B43" i="113"/>
  <c r="Y66" i="114"/>
  <c r="D45" i="57"/>
  <c r="F1100" i="94"/>
  <c r="J44" i="114"/>
  <c r="J63" i="114" s="1"/>
  <c r="J91" i="114" s="1"/>
  <c r="J98" i="114" s="1"/>
  <c r="G12" i="100"/>
  <c r="M127" i="94"/>
  <c r="X36" i="17"/>
  <c r="M689" i="94"/>
  <c r="Y70" i="37"/>
  <c r="B47" i="36"/>
  <c r="N53" i="65"/>
  <c r="J278" i="94"/>
  <c r="G722" i="94"/>
  <c r="G1117" i="94" s="1"/>
  <c r="S68" i="17"/>
  <c r="S74" i="17" s="1"/>
  <c r="S78" i="17" s="1"/>
  <c r="E9" i="68" s="1"/>
  <c r="D10" i="95"/>
  <c r="F10" i="95" s="1"/>
  <c r="G17" i="97"/>
  <c r="J13" i="100"/>
  <c r="H18" i="65"/>
  <c r="M167" i="94"/>
  <c r="Q22" i="22"/>
  <c r="J42" i="65"/>
  <c r="B36" i="26"/>
  <c r="M556" i="94"/>
  <c r="M941" i="94"/>
  <c r="J82" i="65"/>
  <c r="X45" i="22"/>
  <c r="X34" i="22"/>
  <c r="H19" i="65"/>
  <c r="K13" i="100"/>
  <c r="H17" i="97"/>
  <c r="M181" i="94"/>
  <c r="R24" i="22"/>
  <c r="M300" i="94"/>
  <c r="S17" i="100"/>
  <c r="L11" i="100"/>
  <c r="M200" i="94"/>
  <c r="X46" i="14"/>
  <c r="X47" i="14" s="1"/>
  <c r="M11" i="74" s="1"/>
  <c r="X37" i="14"/>
  <c r="D19" i="65"/>
  <c r="R24" i="14"/>
  <c r="I11" i="97"/>
  <c r="M934" i="94"/>
  <c r="X75" i="62"/>
  <c r="T81" i="65"/>
  <c r="G680" i="94"/>
  <c r="G1114" i="94" s="1"/>
  <c r="F63" i="22"/>
  <c r="F435" i="94"/>
  <c r="U16" i="100"/>
  <c r="M329" i="94"/>
  <c r="H59" i="65"/>
  <c r="M766" i="94"/>
  <c r="B53" i="21"/>
  <c r="M77" i="110"/>
  <c r="M31" i="110"/>
  <c r="M62" i="106"/>
  <c r="M593" i="94" s="1"/>
  <c r="M60" i="94"/>
  <c r="B13" i="36"/>
  <c r="N13" i="65"/>
  <c r="N15" i="65" s="1"/>
  <c r="O13" i="37"/>
  <c r="M828" i="94"/>
  <c r="B59" i="91"/>
  <c r="Z65" i="65"/>
  <c r="Z67" i="65" s="1"/>
  <c r="Z68" i="65" s="1"/>
  <c r="X46" i="17"/>
  <c r="X37" i="17"/>
  <c r="F19" i="65"/>
  <c r="M197" i="94"/>
  <c r="L12" i="100"/>
  <c r="I19" i="97"/>
  <c r="H14" i="65"/>
  <c r="M67" i="94"/>
  <c r="B14" i="21"/>
  <c r="F277" i="94"/>
  <c r="M31" i="47"/>
  <c r="J71" i="65"/>
  <c r="B65" i="26"/>
  <c r="F65" i="26" s="1"/>
  <c r="M883" i="94"/>
  <c r="H44" i="17"/>
  <c r="F26" i="41"/>
  <c r="M291" i="94"/>
  <c r="R18" i="100"/>
  <c r="E74" i="2"/>
  <c r="M659" i="94"/>
  <c r="Y68" i="14"/>
  <c r="D51" i="65"/>
  <c r="B45" i="2"/>
  <c r="D39" i="57"/>
  <c r="E89" i="57" s="1"/>
  <c r="F1094" i="94"/>
  <c r="S12" i="100"/>
  <c r="M296" i="94"/>
  <c r="M768" i="94"/>
  <c r="F59" i="65"/>
  <c r="B53" i="16"/>
  <c r="M77" i="114"/>
  <c r="F53" i="109"/>
  <c r="K53" i="109" s="1"/>
  <c r="O53" i="109" s="1"/>
  <c r="D112" i="108"/>
  <c r="F854" i="94"/>
  <c r="F864" i="94" s="1"/>
  <c r="M84" i="17"/>
  <c r="M854" i="94" s="1"/>
  <c r="O14" i="100"/>
  <c r="L12" i="97"/>
  <c r="M12" i="97" s="1"/>
  <c r="R24" i="27"/>
  <c r="R30" i="27" s="1"/>
  <c r="J19" i="65"/>
  <c r="M238" i="94"/>
  <c r="M887" i="94"/>
  <c r="B65" i="2"/>
  <c r="F65" i="2" s="1"/>
  <c r="D71" i="65"/>
  <c r="T54" i="65"/>
  <c r="Y71" i="62"/>
  <c r="M704" i="94"/>
  <c r="B48" i="51"/>
  <c r="M239" i="94"/>
  <c r="O12" i="100"/>
  <c r="L19" i="97"/>
  <c r="S18" i="100"/>
  <c r="M305" i="94"/>
  <c r="B57" i="51"/>
  <c r="T63" i="65"/>
  <c r="M804" i="94"/>
  <c r="S74" i="114"/>
  <c r="S78" i="114" s="1"/>
  <c r="P76" i="17"/>
  <c r="I6" i="81" s="1"/>
  <c r="L111" i="47"/>
  <c r="L123" i="47" s="1"/>
  <c r="L107" i="47" s="1"/>
  <c r="F12" i="81" s="1"/>
  <c r="N19" i="65"/>
  <c r="L111" i="84"/>
  <c r="L123" i="84" s="1"/>
  <c r="L107" i="84" s="1"/>
  <c r="F14" i="81" s="1"/>
  <c r="F34" i="117"/>
  <c r="D62" i="116"/>
  <c r="L111" i="37"/>
  <c r="L123" i="37" s="1"/>
  <c r="L107" i="37" s="1"/>
  <c r="F10" i="81" s="1"/>
  <c r="G44" i="110"/>
  <c r="G63" i="110" s="1"/>
  <c r="G91" i="110" s="1"/>
  <c r="G98" i="110" s="1"/>
  <c r="Y75" i="114"/>
  <c r="X77" i="114"/>
  <c r="E73" i="113"/>
  <c r="B29" i="113"/>
  <c r="F50" i="109"/>
  <c r="K50" i="109" s="1"/>
  <c r="M50" i="109" s="1"/>
  <c r="D109" i="108"/>
  <c r="F44" i="113"/>
  <c r="P76" i="114"/>
  <c r="I19" i="81" s="1"/>
  <c r="D54" i="112"/>
  <c r="F11" i="113"/>
  <c r="J11" i="113" s="1"/>
  <c r="F36" i="117"/>
  <c r="D64" i="116"/>
  <c r="M62" i="27"/>
  <c r="M584" i="94" s="1"/>
  <c r="D584" i="94"/>
  <c r="B48" i="31"/>
  <c r="L54" i="65"/>
  <c r="Y71" i="32"/>
  <c r="M699" i="94"/>
  <c r="F46" i="41"/>
  <c r="H117" i="63"/>
  <c r="D105" i="40"/>
  <c r="C46" i="41"/>
  <c r="S74" i="84"/>
  <c r="S78" i="84" s="1"/>
  <c r="N65" i="65"/>
  <c r="M831" i="94"/>
  <c r="B59" i="36"/>
  <c r="F59" i="36" s="1"/>
  <c r="M367" i="94"/>
  <c r="Q18" i="97"/>
  <c r="X15" i="100"/>
  <c r="X37" i="32"/>
  <c r="J348" i="94"/>
  <c r="J1080" i="94" s="1"/>
  <c r="S68" i="42"/>
  <c r="S74" i="42" s="1"/>
  <c r="S78" i="42" s="1"/>
  <c r="E14" i="68" s="1"/>
  <c r="D15" i="95"/>
  <c r="F15" i="95" s="1"/>
  <c r="M656" i="94"/>
  <c r="F51" i="65"/>
  <c r="E74" i="16"/>
  <c r="Y68" i="17"/>
  <c r="B45" i="16"/>
  <c r="D782" i="94"/>
  <c r="M77" i="17"/>
  <c r="M782" i="94" s="1"/>
  <c r="P84" i="65"/>
  <c r="M974" i="94"/>
  <c r="D780" i="94"/>
  <c r="M77" i="22"/>
  <c r="M780" i="94" s="1"/>
  <c r="X20" i="100"/>
  <c r="M373" i="94"/>
  <c r="V23" i="65"/>
  <c r="Q20" i="97"/>
  <c r="R28" i="84"/>
  <c r="X46" i="84"/>
  <c r="X47" i="84" s="1"/>
  <c r="M20" i="74" s="1"/>
  <c r="F47" i="26"/>
  <c r="K47" i="26" s="1"/>
  <c r="M47" i="26" s="1"/>
  <c r="D106" i="25"/>
  <c r="C47" i="26"/>
  <c r="I114" i="63"/>
  <c r="I128" i="63" s="1"/>
  <c r="D15" i="68"/>
  <c r="X35" i="92"/>
  <c r="J21" i="74" s="1"/>
  <c r="Y71" i="37"/>
  <c r="N54" i="65"/>
  <c r="B48" i="36"/>
  <c r="M703" i="94"/>
  <c r="J606" i="94"/>
  <c r="J91" i="84"/>
  <c r="D32" i="65"/>
  <c r="B26" i="2"/>
  <c r="E72" i="2"/>
  <c r="M472" i="94"/>
  <c r="H428" i="94"/>
  <c r="H44" i="62"/>
  <c r="M983" i="94"/>
  <c r="J85" i="65"/>
  <c r="F778" i="94"/>
  <c r="X37" i="84"/>
  <c r="E88" i="94"/>
  <c r="E63" i="37"/>
  <c r="Z12" i="100"/>
  <c r="S19" i="97"/>
  <c r="M394" i="94"/>
  <c r="J446" i="94"/>
  <c r="J63" i="47"/>
  <c r="AA19" i="100"/>
  <c r="T16" i="97"/>
  <c r="M414" i="94"/>
  <c r="M940" i="94"/>
  <c r="H82" i="65"/>
  <c r="M869" i="94"/>
  <c r="J70" i="65"/>
  <c r="B64" i="26"/>
  <c r="B37" i="51"/>
  <c r="M577" i="94"/>
  <c r="T43" i="65"/>
  <c r="S68" i="27"/>
  <c r="S74" i="27" s="1"/>
  <c r="S78" i="27" s="1"/>
  <c r="E11" i="68" s="1"/>
  <c r="D12" i="95"/>
  <c r="F12" i="95" s="1"/>
  <c r="M615" i="94"/>
  <c r="B42" i="31"/>
  <c r="L48" i="65"/>
  <c r="Y65" i="32"/>
  <c r="D30" i="68"/>
  <c r="T50" i="65"/>
  <c r="B44" i="51"/>
  <c r="M648" i="94"/>
  <c r="E75" i="51"/>
  <c r="X25" i="62"/>
  <c r="M217" i="94"/>
  <c r="J16" i="97"/>
  <c r="M19" i="100"/>
  <c r="F11" i="109"/>
  <c r="J11" i="109" s="1"/>
  <c r="D54" i="108"/>
  <c r="R24" i="110"/>
  <c r="X45" i="110"/>
  <c r="X34" i="110"/>
  <c r="E785" i="94"/>
  <c r="M77" i="14"/>
  <c r="M785" i="94" s="1"/>
  <c r="B53" i="105"/>
  <c r="AB59" i="65"/>
  <c r="M776" i="94"/>
  <c r="E266" i="94"/>
  <c r="M31" i="22"/>
  <c r="M429" i="94"/>
  <c r="B19" i="83"/>
  <c r="AB20" i="100"/>
  <c r="B32" i="91"/>
  <c r="Z38" i="65"/>
  <c r="M503" i="94"/>
  <c r="D110" i="82"/>
  <c r="D51" i="83"/>
  <c r="D54" i="83" s="1"/>
  <c r="D106" i="116"/>
  <c r="F47" i="117"/>
  <c r="L111" i="110"/>
  <c r="L123" i="110" s="1"/>
  <c r="L107" i="110" s="1"/>
  <c r="F18" i="81" s="1"/>
  <c r="D50" i="57"/>
  <c r="F1105" i="94"/>
  <c r="F35" i="113"/>
  <c r="J35" i="113" s="1"/>
  <c r="D63" i="112"/>
  <c r="D255" i="94"/>
  <c r="M29" i="92"/>
  <c r="D44" i="92"/>
  <c r="V82" i="65"/>
  <c r="M949" i="94"/>
  <c r="S74" i="110"/>
  <c r="S78" i="110" s="1"/>
  <c r="J33" i="83"/>
  <c r="X37" i="114"/>
  <c r="X46" i="114"/>
  <c r="Q35" i="110"/>
  <c r="Q36" i="110"/>
  <c r="G18" i="81" s="1"/>
  <c r="L111" i="87"/>
  <c r="L123" i="87" s="1"/>
  <c r="L107" i="87" s="1"/>
  <c r="F15" i="81" s="1"/>
  <c r="M89" i="114"/>
  <c r="L63" i="118"/>
  <c r="L91" i="118" s="1"/>
  <c r="L98" i="118" s="1"/>
  <c r="D65" i="112"/>
  <c r="F37" i="113"/>
  <c r="J37" i="113" s="1"/>
  <c r="Y67" i="47"/>
  <c r="M651" i="94"/>
  <c r="E75" i="46"/>
  <c r="R50" i="65"/>
  <c r="B44" i="46"/>
  <c r="X42" i="27"/>
  <c r="M154" i="94"/>
  <c r="I14" i="100"/>
  <c r="X29" i="27"/>
  <c r="X30" i="27" s="1"/>
  <c r="I14" i="74" s="1"/>
  <c r="M621" i="94"/>
  <c r="Y65" i="84"/>
  <c r="B42" i="83"/>
  <c r="V48" i="65"/>
  <c r="H789" i="94"/>
  <c r="B36" i="31"/>
  <c r="M558" i="94"/>
  <c r="L42" i="65"/>
  <c r="G18" i="100"/>
  <c r="M136" i="94"/>
  <c r="X36" i="47"/>
  <c r="X38" i="47" s="1"/>
  <c r="U14" i="100"/>
  <c r="M323" i="94"/>
  <c r="B29" i="83"/>
  <c r="E73" i="83"/>
  <c r="V35" i="65"/>
  <c r="M492" i="94"/>
  <c r="I44" i="87"/>
  <c r="G858" i="94"/>
  <c r="M84" i="42"/>
  <c r="M858" i="94" s="1"/>
  <c r="B42" i="21"/>
  <c r="H48" i="65"/>
  <c r="Y65" i="22"/>
  <c r="M612" i="94"/>
  <c r="D28" i="68"/>
  <c r="H71" i="65"/>
  <c r="M882" i="94"/>
  <c r="B65" i="21"/>
  <c r="F1133" i="94"/>
  <c r="D78" i="57"/>
  <c r="B35" i="26"/>
  <c r="M542" i="94"/>
  <c r="J41" i="65"/>
  <c r="M128" i="94"/>
  <c r="X36" i="32"/>
  <c r="X38" i="32" s="1"/>
  <c r="G15" i="100"/>
  <c r="M195" i="94"/>
  <c r="I17" i="97"/>
  <c r="X46" i="22"/>
  <c r="L13" i="100"/>
  <c r="X37" i="22"/>
  <c r="I908" i="94"/>
  <c r="X75" i="92"/>
  <c r="M930" i="94"/>
  <c r="Z81" i="65"/>
  <c r="J786" i="94"/>
  <c r="J792" i="94" s="1"/>
  <c r="G445" i="94"/>
  <c r="X33" i="14"/>
  <c r="X35" i="14" s="1"/>
  <c r="J11" i="74" s="1"/>
  <c r="M116" i="94"/>
  <c r="F11" i="100"/>
  <c r="F44" i="110"/>
  <c r="F63" i="110" s="1"/>
  <c r="F91" i="110" s="1"/>
  <c r="L137" i="94"/>
  <c r="L1064" i="94" s="1"/>
  <c r="F83" i="94"/>
  <c r="F9" i="95"/>
  <c r="M873" i="94"/>
  <c r="D70" i="65"/>
  <c r="B64" i="2"/>
  <c r="X38" i="37"/>
  <c r="F57" i="46"/>
  <c r="G952" i="94"/>
  <c r="G1139" i="94" s="1"/>
  <c r="D274" i="94"/>
  <c r="M31" i="62"/>
  <c r="J32" i="105"/>
  <c r="E74" i="26"/>
  <c r="E77" i="26" s="1"/>
  <c r="E80" i="26" s="1"/>
  <c r="B45" i="26"/>
  <c r="J51" i="65"/>
  <c r="M655" i="94"/>
  <c r="Y68" i="27"/>
  <c r="K81" i="94"/>
  <c r="K63" i="22"/>
  <c r="D788" i="94"/>
  <c r="M77" i="62"/>
  <c r="M788" i="94" s="1"/>
  <c r="M42" i="114"/>
  <c r="B19" i="113" s="1"/>
  <c r="D44" i="114"/>
  <c r="D48" i="57"/>
  <c r="F1103" i="94"/>
  <c r="L899" i="94"/>
  <c r="L908" i="94" s="1"/>
  <c r="M89" i="32"/>
  <c r="M899" i="94" s="1"/>
  <c r="F16" i="100"/>
  <c r="M118" i="94"/>
  <c r="X33" i="37"/>
  <c r="X35" i="37" s="1"/>
  <c r="J16" i="74" s="1"/>
  <c r="D784" i="94"/>
  <c r="M77" i="92"/>
  <c r="M784" i="94" s="1"/>
  <c r="F108" i="94"/>
  <c r="M18" i="47"/>
  <c r="H425" i="94"/>
  <c r="H44" i="14"/>
  <c r="F49" i="31"/>
  <c r="K49" i="31" s="1"/>
  <c r="N49" i="31" s="1"/>
  <c r="U77" i="32"/>
  <c r="K113" i="63"/>
  <c r="D108" i="20"/>
  <c r="F49" i="21"/>
  <c r="K49" i="21" s="1"/>
  <c r="N49" i="21" s="1"/>
  <c r="M927" i="94"/>
  <c r="J81" i="65"/>
  <c r="X75" i="27"/>
  <c r="H86" i="63"/>
  <c r="F36" i="41"/>
  <c r="J36" i="41" s="1"/>
  <c r="D64" i="40"/>
  <c r="B38" i="41"/>
  <c r="D14" i="40" s="1"/>
  <c r="L91" i="110"/>
  <c r="L98" i="110" s="1"/>
  <c r="B38" i="109"/>
  <c r="D14" i="108" s="1"/>
  <c r="F32" i="109"/>
  <c r="D60" i="108"/>
  <c r="M174" i="94"/>
  <c r="N18" i="65"/>
  <c r="J16" i="100"/>
  <c r="Q22" i="37"/>
  <c r="G15" i="97"/>
  <c r="J56" i="65"/>
  <c r="M725" i="94"/>
  <c r="B50" i="26"/>
  <c r="Y73" i="27"/>
  <c r="Y68" i="87"/>
  <c r="G444" i="94"/>
  <c r="G63" i="84"/>
  <c r="M821" i="94"/>
  <c r="R64" i="65"/>
  <c r="B58" i="46"/>
  <c r="F58" i="46" s="1"/>
  <c r="F37" i="94"/>
  <c r="B44" i="83"/>
  <c r="E75" i="83"/>
  <c r="M649" i="94"/>
  <c r="V50" i="65"/>
  <c r="Y67" i="84"/>
  <c r="L111" i="22"/>
  <c r="L123" i="22" s="1"/>
  <c r="L107" i="22" s="1"/>
  <c r="F7" i="81" s="1"/>
  <c r="L111" i="118"/>
  <c r="L123" i="118" s="1"/>
  <c r="L107" i="118" s="1"/>
  <c r="F20" i="81" s="1"/>
  <c r="J428" i="94"/>
  <c r="J44" i="62"/>
  <c r="J443" i="94" s="1"/>
  <c r="M15" i="110"/>
  <c r="D63" i="116"/>
  <c r="F35" i="117"/>
  <c r="X37" i="110"/>
  <c r="B66" i="113"/>
  <c r="F64" i="113"/>
  <c r="B26" i="113"/>
  <c r="E72" i="113"/>
  <c r="F35" i="109"/>
  <c r="J35" i="109" s="1"/>
  <c r="D63" i="108"/>
  <c r="D276" i="94"/>
  <c r="M31" i="106"/>
  <c r="F36" i="113"/>
  <c r="J36" i="113" s="1"/>
  <c r="D64" i="112"/>
  <c r="F48" i="113"/>
  <c r="D107" i="112"/>
  <c r="M796" i="94"/>
  <c r="B57" i="21"/>
  <c r="H63" i="65"/>
  <c r="Q26" i="87"/>
  <c r="M816" i="94"/>
  <c r="P64" i="65"/>
  <c r="B58" i="41"/>
  <c r="F58" i="41" s="1"/>
  <c r="M310" i="94"/>
  <c r="T12" i="100"/>
  <c r="X26" i="17"/>
  <c r="F64" i="105"/>
  <c r="F66" i="105" s="1"/>
  <c r="B66" i="105"/>
  <c r="M309" i="94"/>
  <c r="T14" i="100"/>
  <c r="M580" i="94"/>
  <c r="R43" i="65"/>
  <c r="B37" i="46"/>
  <c r="B38" i="46" s="1"/>
  <c r="D14" i="45" s="1"/>
  <c r="F19" i="100"/>
  <c r="M119" i="94"/>
  <c r="X33" i="62"/>
  <c r="R16" i="97"/>
  <c r="Y19" i="100"/>
  <c r="M386" i="94"/>
  <c r="G89" i="94"/>
  <c r="B10" i="2"/>
  <c r="M16" i="94"/>
  <c r="D10" i="65"/>
  <c r="M146" i="94"/>
  <c r="H16" i="100"/>
  <c r="X26" i="37"/>
  <c r="X41" i="37"/>
  <c r="X43" i="37" s="1"/>
  <c r="N30" i="65"/>
  <c r="D53" i="103"/>
  <c r="G28" i="63"/>
  <c r="D56" i="40"/>
  <c r="F13" i="41"/>
  <c r="C13" i="41"/>
  <c r="F13" i="83"/>
  <c r="D56" i="82"/>
  <c r="C13" i="83"/>
  <c r="K17" i="97"/>
  <c r="M223" i="94"/>
  <c r="N13" i="100"/>
  <c r="X28" i="22"/>
  <c r="G44" i="37"/>
  <c r="G427" i="94"/>
  <c r="M42" i="37"/>
  <c r="F14" i="65"/>
  <c r="M69" i="94"/>
  <c r="B14" i="16"/>
  <c r="M672" i="94"/>
  <c r="B46" i="91"/>
  <c r="Z52" i="65"/>
  <c r="Y69" i="92"/>
  <c r="I63" i="27"/>
  <c r="H435" i="94"/>
  <c r="H63" i="22"/>
  <c r="K864" i="94"/>
  <c r="R19" i="100"/>
  <c r="M288" i="94"/>
  <c r="J83" i="65"/>
  <c r="M955" i="94"/>
  <c r="Y76" i="27"/>
  <c r="L63" i="87"/>
  <c r="G922" i="94"/>
  <c r="G98" i="47"/>
  <c r="G1007" i="94" s="1"/>
  <c r="G666" i="94"/>
  <c r="G1113" i="94" s="1"/>
  <c r="E786" i="94"/>
  <c r="E91" i="42"/>
  <c r="D67" i="40"/>
  <c r="J57" i="63"/>
  <c r="D15" i="40"/>
  <c r="E29" i="41"/>
  <c r="F29" i="41" s="1"/>
  <c r="D783" i="94"/>
  <c r="M77" i="32"/>
  <c r="M783" i="94" s="1"/>
  <c r="AB18" i="100"/>
  <c r="AJ18" i="100" s="1"/>
  <c r="M431" i="94"/>
  <c r="B19" i="46"/>
  <c r="M89" i="62"/>
  <c r="M904" i="94" s="1"/>
  <c r="E904" i="94"/>
  <c r="T35" i="65"/>
  <c r="E73" i="51"/>
  <c r="M491" i="94"/>
  <c r="B29" i="51"/>
  <c r="B14" i="51"/>
  <c r="M75" i="94"/>
  <c r="T14" i="65"/>
  <c r="D860" i="94"/>
  <c r="M84" i="62"/>
  <c r="M860" i="94" s="1"/>
  <c r="M84" i="114"/>
  <c r="M18" i="114"/>
  <c r="D15" i="105"/>
  <c r="F13" i="105"/>
  <c r="D39" i="41"/>
  <c r="O19" i="97"/>
  <c r="F22" i="65"/>
  <c r="M338" i="94"/>
  <c r="Q26" i="17"/>
  <c r="Q30" i="17" s="1"/>
  <c r="V12" i="100"/>
  <c r="F14" i="100"/>
  <c r="M112" i="94"/>
  <c r="X33" i="27"/>
  <c r="X35" i="27" s="1"/>
  <c r="J14" i="74" s="1"/>
  <c r="Y70" i="62"/>
  <c r="M690" i="94"/>
  <c r="T53" i="65"/>
  <c r="B47" i="51"/>
  <c r="T22" i="65"/>
  <c r="Q26" i="62"/>
  <c r="M344" i="94"/>
  <c r="V19" i="100"/>
  <c r="O16" i="97"/>
  <c r="D112" i="116"/>
  <c r="F53" i="117"/>
  <c r="K53" i="117" s="1"/>
  <c r="O53" i="117" s="1"/>
  <c r="O54" i="117" s="1"/>
  <c r="L44" i="37"/>
  <c r="L442" i="94" s="1"/>
  <c r="L258" i="94"/>
  <c r="L263" i="94" s="1"/>
  <c r="B49" i="117"/>
  <c r="Y72" i="118"/>
  <c r="B42" i="117"/>
  <c r="Y65" i="118"/>
  <c r="X37" i="118"/>
  <c r="X38" i="118" s="1"/>
  <c r="X46" i="118"/>
  <c r="R24" i="118"/>
  <c r="M31" i="114"/>
  <c r="M42" i="110"/>
  <c r="B19" i="109" s="1"/>
  <c r="F19" i="109" s="1"/>
  <c r="J19" i="109" s="1"/>
  <c r="D44" i="110"/>
  <c r="M84" i="118"/>
  <c r="X41" i="110"/>
  <c r="F53" i="113"/>
  <c r="K53" i="113" s="1"/>
  <c r="O53" i="113" s="1"/>
  <c r="D112" i="112"/>
  <c r="D15" i="16"/>
  <c r="F11" i="16"/>
  <c r="J11" i="16" s="1"/>
  <c r="I63" i="118"/>
  <c r="I91" i="118" s="1"/>
  <c r="I98" i="118" s="1"/>
  <c r="B47" i="109"/>
  <c r="Y70" i="110"/>
  <c r="F34" i="109"/>
  <c r="J34" i="109" s="1"/>
  <c r="D62" i="108"/>
  <c r="L786" i="94"/>
  <c r="L792" i="94" s="1"/>
  <c r="J261" i="94"/>
  <c r="J44" i="106"/>
  <c r="M289" i="94"/>
  <c r="R20" i="100"/>
  <c r="X33" i="84"/>
  <c r="X35" i="84" s="1"/>
  <c r="J20" i="74" s="1"/>
  <c r="H781" i="94"/>
  <c r="F14" i="36"/>
  <c r="D15" i="36"/>
  <c r="I90" i="94"/>
  <c r="M15" i="84"/>
  <c r="I63" i="84"/>
  <c r="M985" i="94"/>
  <c r="L85" i="65"/>
  <c r="M647" i="94"/>
  <c r="N50" i="65"/>
  <c r="B44" i="36"/>
  <c r="E75" i="36"/>
  <c r="I792" i="94"/>
  <c r="I278" i="94"/>
  <c r="F439" i="94"/>
  <c r="F63" i="92"/>
  <c r="T16" i="100"/>
  <c r="M315" i="94"/>
  <c r="J137" i="94"/>
  <c r="J1064" i="94" s="1"/>
  <c r="K278" i="94"/>
  <c r="D83" i="63"/>
  <c r="D60" i="25"/>
  <c r="F32" i="26"/>
  <c r="O13" i="100"/>
  <c r="L17" i="97"/>
  <c r="M237" i="94"/>
  <c r="H594" i="94"/>
  <c r="M62" i="47"/>
  <c r="M594" i="94" s="1"/>
  <c r="L111" i="92"/>
  <c r="L123" i="92" s="1"/>
  <c r="L107" i="92" s="1"/>
  <c r="F16" i="81" s="1"/>
  <c r="B48" i="2"/>
  <c r="D54" i="65"/>
  <c r="M701" i="94"/>
  <c r="Y71" i="14"/>
  <c r="I85" i="94"/>
  <c r="I63" i="92"/>
  <c r="R55" i="65"/>
  <c r="B49" i="46"/>
  <c r="Y72" i="47"/>
  <c r="M721" i="94"/>
  <c r="U77" i="22"/>
  <c r="B49" i="36"/>
  <c r="Y72" i="37"/>
  <c r="M717" i="94"/>
  <c r="N55" i="65"/>
  <c r="I46" i="105"/>
  <c r="I22" i="102" s="1"/>
  <c r="K46" i="105"/>
  <c r="L46" i="105" s="1"/>
  <c r="E104" i="94"/>
  <c r="M18" i="37"/>
  <c r="N23" i="65"/>
  <c r="Y66" i="84"/>
  <c r="B43" i="83"/>
  <c r="V49" i="65"/>
  <c r="M635" i="94"/>
  <c r="L436" i="94"/>
  <c r="L63" i="27"/>
  <c r="D28" i="103"/>
  <c r="H36" i="65"/>
  <c r="F79" i="94"/>
  <c r="M521" i="94"/>
  <c r="B33" i="51"/>
  <c r="T39" i="65"/>
  <c r="B34" i="51"/>
  <c r="M535" i="94"/>
  <c r="T40" i="65"/>
  <c r="K808" i="94"/>
  <c r="K1125" i="94" s="1"/>
  <c r="D778" i="94"/>
  <c r="D1121" i="94" s="1"/>
  <c r="B45" i="31"/>
  <c r="L51" i="65"/>
  <c r="Y68" i="32"/>
  <c r="E74" i="31"/>
  <c r="M657" i="94"/>
  <c r="H446" i="94"/>
  <c r="H63" i="47"/>
  <c r="B64" i="51"/>
  <c r="T70" i="65"/>
  <c r="M876" i="94"/>
  <c r="M84" i="110"/>
  <c r="E783" i="94"/>
  <c r="G511" i="94"/>
  <c r="G1100" i="94" s="1"/>
  <c r="G1106" i="94" s="1"/>
  <c r="G907" i="94"/>
  <c r="M89" i="47"/>
  <c r="M301" i="94"/>
  <c r="S16" i="100"/>
  <c r="F165" i="94"/>
  <c r="F1066" i="94" s="1"/>
  <c r="X26" i="42"/>
  <c r="X27" i="42" s="1"/>
  <c r="X41" i="42"/>
  <c r="M145" i="94"/>
  <c r="H17" i="100"/>
  <c r="B52" i="21"/>
  <c r="H58" i="65"/>
  <c r="P76" i="22"/>
  <c r="I7" i="81" s="1"/>
  <c r="M752" i="94"/>
  <c r="J29" i="65"/>
  <c r="B23" i="26"/>
  <c r="M452" i="94"/>
  <c r="U77" i="17"/>
  <c r="M14" i="94"/>
  <c r="L10" i="65"/>
  <c r="Q26" i="22"/>
  <c r="O17" i="97"/>
  <c r="H22" i="65"/>
  <c r="V13" i="100"/>
  <c r="M336" i="94"/>
  <c r="M131" i="94"/>
  <c r="G17" i="100"/>
  <c r="X36" i="42"/>
  <c r="X38" i="42" s="1"/>
  <c r="D896" i="94"/>
  <c r="D908" i="94" s="1"/>
  <c r="M89" i="22"/>
  <c r="M896" i="94" s="1"/>
  <c r="L83" i="94"/>
  <c r="D38" i="83"/>
  <c r="D39" i="83" s="1"/>
  <c r="D68" i="83" s="1"/>
  <c r="Y76" i="14"/>
  <c r="D83" i="65"/>
  <c r="M959" i="94"/>
  <c r="P76" i="27"/>
  <c r="I8" i="81" s="1"/>
  <c r="E680" i="94"/>
  <c r="E1114" i="94" s="1"/>
  <c r="M31" i="14"/>
  <c r="D271" i="94"/>
  <c r="D791" i="94"/>
  <c r="M77" i="47"/>
  <c r="M791" i="94" s="1"/>
  <c r="L864" i="94"/>
  <c r="G438" i="94"/>
  <c r="G63" i="32"/>
  <c r="M943" i="94"/>
  <c r="L82" i="65"/>
  <c r="J114" i="63"/>
  <c r="C48" i="26"/>
  <c r="F48" i="26"/>
  <c r="D107" i="25"/>
  <c r="B59" i="41"/>
  <c r="F59" i="41" s="1"/>
  <c r="P65" i="65"/>
  <c r="M830" i="94"/>
  <c r="D44" i="22"/>
  <c r="D63" i="22" s="1"/>
  <c r="D251" i="94"/>
  <c r="M29" i="22"/>
  <c r="I151" i="94"/>
  <c r="I1065" i="94" s="1"/>
  <c r="D73" i="103"/>
  <c r="R36" i="65"/>
  <c r="Z40" i="65"/>
  <c r="B34" i="91"/>
  <c r="M531" i="94"/>
  <c r="R14" i="100"/>
  <c r="M281" i="94"/>
  <c r="M77" i="37"/>
  <c r="M787" i="94" s="1"/>
  <c r="F65" i="83"/>
  <c r="F66" i="83" s="1"/>
  <c r="B66" i="83"/>
  <c r="I86" i="94"/>
  <c r="M15" i="14"/>
  <c r="Y69" i="27"/>
  <c r="M669" i="94"/>
  <c r="J52" i="65"/>
  <c r="B46" i="26"/>
  <c r="D20" i="31"/>
  <c r="D39" i="31" s="1"/>
  <c r="X47" i="17"/>
  <c r="M12" i="74" s="1"/>
  <c r="U77" i="27"/>
  <c r="D57" i="90"/>
  <c r="F14" i="91"/>
  <c r="J14" i="91" s="1"/>
  <c r="X30" i="106"/>
  <c r="Y66" i="110"/>
  <c r="B43" i="109"/>
  <c r="D102" i="108"/>
  <c r="F42" i="109"/>
  <c r="T82" i="65"/>
  <c r="M948" i="94"/>
  <c r="D65" i="94"/>
  <c r="D1057" i="94" s="1"/>
  <c r="F427" i="94"/>
  <c r="F44" i="37"/>
  <c r="D19" i="36"/>
  <c r="D20" i="36" s="1"/>
  <c r="S68" i="92"/>
  <c r="S74" i="92" s="1"/>
  <c r="S78" i="92" s="1"/>
  <c r="D19" i="95"/>
  <c r="F19" i="95" s="1"/>
  <c r="I422" i="94"/>
  <c r="I44" i="17"/>
  <c r="L40" i="65"/>
  <c r="M530" i="94"/>
  <c r="B34" i="31"/>
  <c r="D54" i="91"/>
  <c r="G18" i="97"/>
  <c r="J15" i="100"/>
  <c r="M170" i="94"/>
  <c r="L18" i="65"/>
  <c r="Q22" i="32"/>
  <c r="Q30" i="32" s="1"/>
  <c r="Y72" i="62"/>
  <c r="B49" i="51"/>
  <c r="M718" i="94"/>
  <c r="T55" i="65"/>
  <c r="X26" i="87"/>
  <c r="X41" i="87"/>
  <c r="X43" i="87" s="1"/>
  <c r="D62" i="82"/>
  <c r="F34" i="83"/>
  <c r="J34" i="83" s="1"/>
  <c r="D15" i="51"/>
  <c r="M231" i="94"/>
  <c r="N19" i="100"/>
  <c r="X28" i="62"/>
  <c r="K16" i="97"/>
  <c r="M84" i="47"/>
  <c r="M863" i="94" s="1"/>
  <c r="M297" i="94"/>
  <c r="S15" i="100"/>
  <c r="Y76" i="62"/>
  <c r="T83" i="65"/>
  <c r="M962" i="94"/>
  <c r="B46" i="51"/>
  <c r="T52" i="65"/>
  <c r="M676" i="94"/>
  <c r="Y69" i="62"/>
  <c r="B58" i="51"/>
  <c r="F58" i="51" s="1"/>
  <c r="M818" i="94"/>
  <c r="T64" i="65"/>
  <c r="T49" i="65"/>
  <c r="M634" i="94"/>
  <c r="B43" i="51"/>
  <c r="M932" i="94"/>
  <c r="X75" i="42"/>
  <c r="P81" i="65"/>
  <c r="R24" i="92"/>
  <c r="N22" i="100"/>
  <c r="K21" i="97"/>
  <c r="X28" i="92"/>
  <c r="Z19" i="65"/>
  <c r="M227" i="94"/>
  <c r="M929" i="94"/>
  <c r="L81" i="65"/>
  <c r="X75" i="32"/>
  <c r="H539" i="94"/>
  <c r="H1102" i="94" s="1"/>
  <c r="O13" i="17"/>
  <c r="M55" i="94"/>
  <c r="F13" i="65"/>
  <c r="B13" i="16"/>
  <c r="B14" i="31"/>
  <c r="L14" i="65"/>
  <c r="M70" i="94"/>
  <c r="D85" i="63"/>
  <c r="F32" i="36"/>
  <c r="D60" i="35"/>
  <c r="M214" i="94"/>
  <c r="M11" i="100"/>
  <c r="J11" i="97"/>
  <c r="X25" i="14"/>
  <c r="X27" i="14" s="1"/>
  <c r="B57" i="36"/>
  <c r="M803" i="94"/>
  <c r="N63" i="65"/>
  <c r="M810" i="94"/>
  <c r="H64" i="65"/>
  <c r="B58" i="21"/>
  <c r="F58" i="21" s="1"/>
  <c r="D18" i="21"/>
  <c r="D20" i="21" s="1"/>
  <c r="D39" i="21" s="1"/>
  <c r="F251" i="94"/>
  <c r="Y66" i="22"/>
  <c r="H49" i="65"/>
  <c r="M626" i="94"/>
  <c r="B43" i="21"/>
  <c r="E808" i="94"/>
  <c r="E1125" i="94" s="1"/>
  <c r="D33" i="68"/>
  <c r="R48" i="65"/>
  <c r="Y65" i="47"/>
  <c r="M623" i="94"/>
  <c r="B42" i="46"/>
  <c r="L111" i="14"/>
  <c r="L123" i="14" s="1"/>
  <c r="L107" i="14" s="1"/>
  <c r="F5" i="81" s="1"/>
  <c r="X29" i="32"/>
  <c r="M156" i="94"/>
  <c r="I15" i="100"/>
  <c r="X42" i="32"/>
  <c r="H14" i="100"/>
  <c r="M140" i="94"/>
  <c r="X26" i="27"/>
  <c r="X27" i="27" s="1"/>
  <c r="X41" i="27"/>
  <c r="D101" i="94"/>
  <c r="M18" i="92"/>
  <c r="G44" i="22"/>
  <c r="G435" i="94" s="1"/>
  <c r="G251" i="94"/>
  <c r="M673" i="94"/>
  <c r="B46" i="2"/>
  <c r="D52" i="65"/>
  <c r="M192" i="94"/>
  <c r="H14" i="97"/>
  <c r="X34" i="47"/>
  <c r="R24" i="47"/>
  <c r="R30" i="47" s="1"/>
  <c r="X45" i="47"/>
  <c r="X47" i="47" s="1"/>
  <c r="M18" i="74" s="1"/>
  <c r="R19" i="65"/>
  <c r="K18" i="100"/>
  <c r="R29" i="65"/>
  <c r="M462" i="94"/>
  <c r="B23" i="46"/>
  <c r="M749" i="94"/>
  <c r="B51" i="46"/>
  <c r="Y74" i="47"/>
  <c r="R57" i="65"/>
  <c r="D74" i="46"/>
  <c r="K85" i="94"/>
  <c r="K63" i="92"/>
  <c r="M42" i="62"/>
  <c r="D428" i="94"/>
  <c r="D44" i="62"/>
  <c r="F70" i="65"/>
  <c r="B64" i="16"/>
  <c r="M870" i="94"/>
  <c r="D273" i="94"/>
  <c r="M31" i="37"/>
  <c r="M18" i="110"/>
  <c r="L428" i="94"/>
  <c r="L44" i="62"/>
  <c r="L443" i="94" s="1"/>
  <c r="U77" i="110"/>
  <c r="J63" i="110"/>
  <c r="J91" i="110" s="1"/>
  <c r="J98" i="110" s="1"/>
  <c r="D789" i="94"/>
  <c r="M77" i="84"/>
  <c r="M789" i="94" s="1"/>
  <c r="M89" i="27"/>
  <c r="M897" i="94" s="1"/>
  <c r="D108" i="103"/>
  <c r="D117" i="103"/>
  <c r="Z33" i="65"/>
  <c r="Q26" i="37"/>
  <c r="Q30" i="37" s="1"/>
  <c r="O15" i="97"/>
  <c r="N22" i="65"/>
  <c r="M343" i="94"/>
  <c r="V16" i="100"/>
  <c r="Y69" i="87"/>
  <c r="D207" i="94"/>
  <c r="D1069" i="94" s="1"/>
  <c r="M469" i="94"/>
  <c r="F32" i="65"/>
  <c r="B26" i="16"/>
  <c r="E72" i="16"/>
  <c r="H427" i="94"/>
  <c r="H44" i="37"/>
  <c r="P19" i="97"/>
  <c r="F23" i="65"/>
  <c r="W12" i="100"/>
  <c r="R28" i="17"/>
  <c r="M352" i="94"/>
  <c r="K792" i="94"/>
  <c r="M122" i="94"/>
  <c r="X33" i="47"/>
  <c r="F18" i="100"/>
  <c r="G19" i="100"/>
  <c r="X36" i="62"/>
  <c r="M133" i="94"/>
  <c r="B23" i="51"/>
  <c r="M459" i="94"/>
  <c r="T29" i="65"/>
  <c r="J436" i="94"/>
  <c r="J63" i="27"/>
  <c r="K836" i="94"/>
  <c r="K1127" i="94" s="1"/>
  <c r="B65" i="51"/>
  <c r="F65" i="51" s="1"/>
  <c r="M890" i="94"/>
  <c r="T71" i="65"/>
  <c r="F52" i="65"/>
  <c r="Y69" i="17"/>
  <c r="B46" i="16"/>
  <c r="M670" i="94"/>
  <c r="B59" i="51"/>
  <c r="F59" i="51" s="1"/>
  <c r="T65" i="65"/>
  <c r="M832" i="94"/>
  <c r="M760" i="94"/>
  <c r="T58" i="65"/>
  <c r="B52" i="51"/>
  <c r="F100" i="94"/>
  <c r="M18" i="32"/>
  <c r="M372" i="94"/>
  <c r="X19" i="100"/>
  <c r="Q16" i="97"/>
  <c r="Y74" i="62"/>
  <c r="D74" i="51"/>
  <c r="B51" i="51"/>
  <c r="T57" i="65"/>
  <c r="M746" i="94"/>
  <c r="M702" i="94"/>
  <c r="Y71" i="42"/>
  <c r="B48" i="41"/>
  <c r="P54" i="65"/>
  <c r="T51" i="65"/>
  <c r="B45" i="51"/>
  <c r="E74" i="51"/>
  <c r="M662" i="94"/>
  <c r="M845" i="94"/>
  <c r="B60" i="36"/>
  <c r="F60" i="36" s="1"/>
  <c r="N15" i="80" s="1"/>
  <c r="N66" i="65"/>
  <c r="B42" i="41"/>
  <c r="P48" i="65"/>
  <c r="D32" i="68"/>
  <c r="Y65" i="42"/>
  <c r="M618" i="94"/>
  <c r="U77" i="62"/>
  <c r="D638" i="94"/>
  <c r="D1111" i="94" s="1"/>
  <c r="D111" i="35"/>
  <c r="N116" i="63"/>
  <c r="F52" i="36"/>
  <c r="K52" i="36" s="1"/>
  <c r="O52" i="36" s="1"/>
  <c r="O54" i="36" s="1"/>
  <c r="F82" i="94"/>
  <c r="L111" i="32"/>
  <c r="L123" i="32" s="1"/>
  <c r="L107" i="32" s="1"/>
  <c r="F9" i="81" s="1"/>
  <c r="Y73" i="92"/>
  <c r="B50" i="91"/>
  <c r="M728" i="94"/>
  <c r="Z56" i="65"/>
  <c r="M740" i="94"/>
  <c r="F57" i="65"/>
  <c r="D74" i="16"/>
  <c r="Y74" i="17"/>
  <c r="B51" i="16"/>
  <c r="B52" i="2"/>
  <c r="M757" i="94"/>
  <c r="D58" i="65"/>
  <c r="M18" i="14"/>
  <c r="E102" i="94"/>
  <c r="L85" i="94"/>
  <c r="G859" i="94"/>
  <c r="M84" i="37"/>
  <c r="M859" i="94" s="1"/>
  <c r="G822" i="94"/>
  <c r="G1126" i="94" s="1"/>
  <c r="K441" i="94"/>
  <c r="K63" i="42"/>
  <c r="X34" i="32"/>
  <c r="P18" i="97"/>
  <c r="M353" i="94"/>
  <c r="R28" i="32"/>
  <c r="L23" i="65"/>
  <c r="W15" i="100"/>
  <c r="X45" i="32"/>
  <c r="X47" i="32" s="1"/>
  <c r="M15" i="74" s="1"/>
  <c r="B65" i="16"/>
  <c r="F65" i="16" s="1"/>
  <c r="F71" i="65"/>
  <c r="M884" i="94"/>
  <c r="I604" i="94"/>
  <c r="I91" i="37"/>
  <c r="E82" i="94"/>
  <c r="L70" i="65"/>
  <c r="L72" i="65" s="1"/>
  <c r="M871" i="94"/>
  <c r="B64" i="31"/>
  <c r="D63" i="65"/>
  <c r="B57" i="2"/>
  <c r="M801" i="94"/>
  <c r="X41" i="84"/>
  <c r="X26" i="84"/>
  <c r="X27" i="84" s="1"/>
  <c r="M317" i="94"/>
  <c r="T20" i="100"/>
  <c r="D165" i="94"/>
  <c r="D1066" i="94" s="1"/>
  <c r="G14" i="100"/>
  <c r="M126" i="94"/>
  <c r="X36" i="27"/>
  <c r="X38" i="27" s="1"/>
  <c r="R30" i="14"/>
  <c r="H22" i="100"/>
  <c r="X41" i="92"/>
  <c r="X43" i="92" s="1"/>
  <c r="X26" i="92"/>
  <c r="M143" i="94"/>
  <c r="G91" i="42"/>
  <c r="G603" i="94"/>
  <c r="M209" i="94"/>
  <c r="J17" i="97"/>
  <c r="X25" i="22"/>
  <c r="M13" i="100"/>
  <c r="AA13" i="100"/>
  <c r="M406" i="94"/>
  <c r="T17" i="97"/>
  <c r="H23" i="65"/>
  <c r="K262" i="94"/>
  <c r="K44" i="47"/>
  <c r="D438" i="94"/>
  <c r="V11" i="100"/>
  <c r="D22" i="65"/>
  <c r="Q26" i="14"/>
  <c r="Q30" i="14" s="1"/>
  <c r="M341" i="94"/>
  <c r="O11" i="97"/>
  <c r="Z35" i="65"/>
  <c r="B29" i="91"/>
  <c r="E73" i="91"/>
  <c r="M487" i="94"/>
  <c r="K63" i="27"/>
  <c r="K436" i="94"/>
  <c r="M62" i="62"/>
  <c r="M591" i="94" s="1"/>
  <c r="D591" i="94"/>
  <c r="D13" i="65"/>
  <c r="M58" i="94"/>
  <c r="O13" i="14"/>
  <c r="B13" i="2"/>
  <c r="E880" i="94"/>
  <c r="E1132" i="94" s="1"/>
  <c r="B38" i="21"/>
  <c r="D14" i="20" s="1"/>
  <c r="D82" i="63"/>
  <c r="F32" i="21"/>
  <c r="D60" i="20"/>
  <c r="K63" i="106"/>
  <c r="H109" i="94"/>
  <c r="X35" i="110"/>
  <c r="Y74" i="37"/>
  <c r="B51" i="36"/>
  <c r="M745" i="94"/>
  <c r="D74" i="36"/>
  <c r="N57" i="65"/>
  <c r="B13" i="109"/>
  <c r="B15" i="109" s="1"/>
  <c r="O13" i="110"/>
  <c r="X36" i="87"/>
  <c r="D253" i="94"/>
  <c r="M29" i="17"/>
  <c r="L422" i="94"/>
  <c r="L44" i="17"/>
  <c r="L437" i="94" s="1"/>
  <c r="H254" i="94"/>
  <c r="H263" i="94" s="1"/>
  <c r="H44" i="32"/>
  <c r="D64" i="65"/>
  <c r="B58" i="2"/>
  <c r="F58" i="2" s="1"/>
  <c r="M815" i="94"/>
  <c r="E901" i="94"/>
  <c r="E908" i="94" s="1"/>
  <c r="M89" i="14"/>
  <c r="M901" i="94" s="1"/>
  <c r="M658" i="94"/>
  <c r="E74" i="91"/>
  <c r="B45" i="91"/>
  <c r="Z51" i="65"/>
  <c r="J680" i="94"/>
  <c r="J1114" i="94" s="1"/>
  <c r="K10" i="101"/>
  <c r="L11" i="98"/>
  <c r="J23" i="2"/>
  <c r="J11" i="73" s="1"/>
  <c r="U14" i="97"/>
  <c r="F15" i="100"/>
  <c r="M114" i="94"/>
  <c r="X33" i="32"/>
  <c r="G966" i="94"/>
  <c r="G1140" i="94" s="1"/>
  <c r="M684" i="94"/>
  <c r="B47" i="16"/>
  <c r="F53" i="65"/>
  <c r="Y70" i="17"/>
  <c r="X34" i="62"/>
  <c r="T19" i="65"/>
  <c r="K19" i="100"/>
  <c r="X45" i="62"/>
  <c r="M189" i="94"/>
  <c r="H16" i="97"/>
  <c r="R24" i="62"/>
  <c r="M330" i="94"/>
  <c r="U19" i="100"/>
  <c r="M302" i="94"/>
  <c r="S19" i="100"/>
  <c r="W19" i="100"/>
  <c r="R28" i="62"/>
  <c r="T23" i="65"/>
  <c r="M358" i="94"/>
  <c r="P16" i="97"/>
  <c r="M316" i="94"/>
  <c r="T19" i="100"/>
  <c r="D108" i="108"/>
  <c r="F49" i="109"/>
  <c r="K49" i="109" s="1"/>
  <c r="N49" i="109" s="1"/>
  <c r="M633" i="94"/>
  <c r="Y66" i="37"/>
  <c r="B43" i="36"/>
  <c r="N49" i="65"/>
  <c r="M226" i="94"/>
  <c r="N15" i="100"/>
  <c r="K18" i="97"/>
  <c r="L19" i="65"/>
  <c r="R24" i="32"/>
  <c r="X28" i="32"/>
  <c r="P76" i="87"/>
  <c r="F59" i="86"/>
  <c r="P55" i="65"/>
  <c r="M716" i="94"/>
  <c r="B49" i="41"/>
  <c r="B52" i="26"/>
  <c r="M753" i="94"/>
  <c r="J58" i="65"/>
  <c r="K58" i="65" s="1"/>
  <c r="F85" i="65"/>
  <c r="M984" i="94"/>
  <c r="G790" i="94"/>
  <c r="G792" i="94" s="1"/>
  <c r="M77" i="106"/>
  <c r="M790" i="94" s="1"/>
  <c r="L109" i="94"/>
  <c r="J19" i="97"/>
  <c r="M12" i="100"/>
  <c r="X25" i="17"/>
  <c r="X27" i="17" s="1"/>
  <c r="M211" i="94"/>
  <c r="M42" i="87"/>
  <c r="G44" i="87"/>
  <c r="M942" i="94"/>
  <c r="F82" i="65"/>
  <c r="G117" i="63"/>
  <c r="E45" i="41"/>
  <c r="F45" i="41"/>
  <c r="D113" i="40"/>
  <c r="J86" i="94"/>
  <c r="J63" i="14"/>
  <c r="G898" i="94"/>
  <c r="M89" i="17"/>
  <c r="M898" i="94" s="1"/>
  <c r="D109" i="82"/>
  <c r="C50" i="83"/>
  <c r="F50" i="83"/>
  <c r="K50" i="83" s="1"/>
  <c r="M50" i="83" s="1"/>
  <c r="E23" i="94"/>
  <c r="E1054" i="94" s="1"/>
  <c r="E1059" i="94" s="1"/>
  <c r="D808" i="94"/>
  <c r="D1125" i="94" s="1"/>
  <c r="D39" i="46"/>
  <c r="E275" i="94"/>
  <c r="M31" i="84"/>
  <c r="R85" i="65"/>
  <c r="M993" i="94"/>
  <c r="R28" i="22"/>
  <c r="K44" i="14"/>
  <c r="K425" i="94"/>
  <c r="D852" i="94"/>
  <c r="M84" i="22"/>
  <c r="M852" i="94" s="1"/>
  <c r="D1106" i="94"/>
  <c r="J89" i="94"/>
  <c r="F44" i="14"/>
  <c r="D19" i="2"/>
  <c r="D20" i="2" s="1"/>
  <c r="D39" i="2" s="1"/>
  <c r="F425" i="94"/>
  <c r="M42" i="14"/>
  <c r="D51" i="105"/>
  <c r="D54" i="105" s="1"/>
  <c r="D110" i="104"/>
  <c r="D12" i="68"/>
  <c r="M731" i="94"/>
  <c r="Y73" i="37"/>
  <c r="N56" i="65"/>
  <c r="B50" i="36"/>
  <c r="M325" i="94"/>
  <c r="U15" i="100"/>
  <c r="F268" i="94"/>
  <c r="F278" i="94" s="1"/>
  <c r="M31" i="17"/>
  <c r="F57" i="31"/>
  <c r="J59" i="65"/>
  <c r="B53" i="26"/>
  <c r="M767" i="94"/>
  <c r="M360" i="94"/>
  <c r="P23" i="97"/>
  <c r="R28" i="106"/>
  <c r="R30" i="106" s="1"/>
  <c r="W23" i="100"/>
  <c r="X45" i="106"/>
  <c r="X47" i="106" s="1"/>
  <c r="X34" i="106"/>
  <c r="X35" i="106" s="1"/>
  <c r="AB23" i="65"/>
  <c r="Q35" i="27"/>
  <c r="Q36" i="27"/>
  <c r="G8" i="81" s="1"/>
  <c r="L43" i="65"/>
  <c r="M572" i="94"/>
  <c r="B37" i="31"/>
  <c r="G81" i="94"/>
  <c r="X12" i="100"/>
  <c r="Q19" i="97"/>
  <c r="M366" i="94"/>
  <c r="B47" i="91"/>
  <c r="Z53" i="65"/>
  <c r="M686" i="94"/>
  <c r="M311" i="94"/>
  <c r="T15" i="100"/>
  <c r="B18" i="41"/>
  <c r="P17" i="100"/>
  <c r="M257" i="94"/>
  <c r="F446" i="94"/>
  <c r="F63" i="47"/>
  <c r="D63" i="32"/>
  <c r="F428" i="94"/>
  <c r="D19" i="51"/>
  <c r="F44" i="62"/>
  <c r="F443" i="94" s="1"/>
  <c r="Y76" i="22"/>
  <c r="M954" i="94"/>
  <c r="H83" i="65"/>
  <c r="B36" i="51"/>
  <c r="M563" i="94"/>
  <c r="T42" i="65"/>
  <c r="N83" i="65"/>
  <c r="M961" i="94"/>
  <c r="Y76" i="37"/>
  <c r="D64" i="103"/>
  <c r="P36" i="65"/>
  <c r="M77" i="42"/>
  <c r="M786" i="94" s="1"/>
  <c r="D786" i="94"/>
  <c r="E428" i="94"/>
  <c r="E44" i="62"/>
  <c r="E443" i="94" s="1"/>
  <c r="B42" i="51"/>
  <c r="T48" i="65"/>
  <c r="D34" i="68"/>
  <c r="Y65" i="62"/>
  <c r="M620" i="94"/>
  <c r="I595" i="94"/>
  <c r="K894" i="94"/>
  <c r="K1133" i="94" s="1"/>
  <c r="I836" i="94"/>
  <c r="I1127" i="94" s="1"/>
  <c r="V41" i="65"/>
  <c r="B35" i="83"/>
  <c r="M550" i="94"/>
  <c r="L123" i="94"/>
  <c r="L1063" i="94" s="1"/>
  <c r="S13" i="100"/>
  <c r="M294" i="94"/>
  <c r="U13" i="100"/>
  <c r="X29" i="22"/>
  <c r="M322" i="94"/>
  <c r="X42" i="22"/>
  <c r="K44" i="87"/>
  <c r="Y71" i="84"/>
  <c r="V54" i="65"/>
  <c r="B48" i="83"/>
  <c r="M705" i="94"/>
  <c r="D750" i="94"/>
  <c r="D1119" i="94" s="1"/>
  <c r="F764" i="94"/>
  <c r="D14" i="95"/>
  <c r="F14" i="95" s="1"/>
  <c r="S68" i="37"/>
  <c r="S74" i="37" s="1"/>
  <c r="S78" i="37" s="1"/>
  <c r="E13" i="68" s="1"/>
  <c r="B45" i="21"/>
  <c r="M654" i="94"/>
  <c r="E74" i="21"/>
  <c r="Y68" i="22"/>
  <c r="H51" i="65"/>
  <c r="P15" i="100"/>
  <c r="M254" i="94"/>
  <c r="B18" i="31"/>
  <c r="F750" i="94"/>
  <c r="E97" i="94"/>
  <c r="M18" i="22"/>
  <c r="M978" i="94"/>
  <c r="AB84" i="65"/>
  <c r="G20" i="100"/>
  <c r="M134" i="94"/>
  <c r="X36" i="84"/>
  <c r="M696" i="94"/>
  <c r="Y71" i="22"/>
  <c r="B48" i="21"/>
  <c r="H54" i="65"/>
  <c r="D54" i="45"/>
  <c r="F11" i="46"/>
  <c r="E29" i="63"/>
  <c r="U12" i="97"/>
  <c r="D857" i="94"/>
  <c r="M84" i="14"/>
  <c r="M857" i="94" s="1"/>
  <c r="I880" i="94"/>
  <c r="I1132" i="94" s="1"/>
  <c r="I1134" i="94" s="1"/>
  <c r="F14" i="26"/>
  <c r="B58" i="83"/>
  <c r="F58" i="83" s="1"/>
  <c r="V64" i="65"/>
  <c r="M819" i="94"/>
  <c r="B44" i="21"/>
  <c r="H50" i="65"/>
  <c r="E75" i="21"/>
  <c r="M640" i="94"/>
  <c r="F37" i="21"/>
  <c r="D65" i="20"/>
  <c r="I82" i="63"/>
  <c r="E72" i="46"/>
  <c r="E77" i="46" s="1"/>
  <c r="E80" i="46" s="1"/>
  <c r="M478" i="94"/>
  <c r="R32" i="65"/>
  <c r="B26" i="46"/>
  <c r="M632" i="94"/>
  <c r="P49" i="65"/>
  <c r="B43" i="41"/>
  <c r="Y66" i="42"/>
  <c r="D81" i="65"/>
  <c r="M931" i="94"/>
  <c r="X75" i="14"/>
  <c r="J14" i="97"/>
  <c r="X25" i="47"/>
  <c r="X27" i="47" s="1"/>
  <c r="M18" i="100"/>
  <c r="M220" i="94"/>
  <c r="H858" i="94"/>
  <c r="H864" i="94" s="1"/>
  <c r="H66" i="65"/>
  <c r="M838" i="94"/>
  <c r="B60" i="21"/>
  <c r="F60" i="21" s="1"/>
  <c r="N17" i="80" s="1"/>
  <c r="D106" i="82"/>
  <c r="F47" i="83"/>
  <c r="K47" i="83" s="1"/>
  <c r="M47" i="83" s="1"/>
  <c r="C47" i="83"/>
  <c r="B32" i="51"/>
  <c r="M507" i="94"/>
  <c r="T38" i="65"/>
  <c r="M383" i="94"/>
  <c r="M390" i="94" s="1"/>
  <c r="M1083" i="94" s="1"/>
  <c r="Y11" i="100"/>
  <c r="R11" i="97"/>
  <c r="F65" i="65"/>
  <c r="M826" i="94"/>
  <c r="B59" i="16"/>
  <c r="F59" i="16" s="1"/>
  <c r="M31" i="92"/>
  <c r="D66" i="104"/>
  <c r="E26" i="105"/>
  <c r="E39" i="105" s="1"/>
  <c r="F26" i="105"/>
  <c r="D15" i="104"/>
  <c r="E269" i="94"/>
  <c r="M31" i="32"/>
  <c r="H137" i="94"/>
  <c r="H1064" i="94" s="1"/>
  <c r="H56" i="63"/>
  <c r="F23" i="36"/>
  <c r="D59" i="35"/>
  <c r="D13" i="35"/>
  <c r="E63" i="110"/>
  <c r="E91" i="110" s="1"/>
  <c r="E98" i="110" s="1"/>
  <c r="J258" i="94"/>
  <c r="J44" i="37"/>
  <c r="B45" i="83"/>
  <c r="E74" i="83"/>
  <c r="M663" i="94"/>
  <c r="Y68" i="84"/>
  <c r="V51" i="65"/>
  <c r="E73" i="16"/>
  <c r="B29" i="16"/>
  <c r="M485" i="94"/>
  <c r="F35" i="65"/>
  <c r="K44" i="37"/>
  <c r="K442" i="94" s="1"/>
  <c r="K258" i="94"/>
  <c r="B33" i="31"/>
  <c r="M516" i="94"/>
  <c r="L39" i="65"/>
  <c r="K438" i="94"/>
  <c r="K63" i="32"/>
  <c r="I63" i="42"/>
  <c r="I441" i="94"/>
  <c r="G123" i="94"/>
  <c r="G1063" i="94" s="1"/>
  <c r="G1062" i="94" s="1"/>
  <c r="J91" i="22"/>
  <c r="C14" i="83"/>
  <c r="D57" i="82"/>
  <c r="F14" i="83"/>
  <c r="J14" i="83" s="1"/>
  <c r="M549" i="94"/>
  <c r="B35" i="51"/>
  <c r="T41" i="65"/>
  <c r="L111" i="62"/>
  <c r="L123" i="62" s="1"/>
  <c r="L107" i="62" s="1"/>
  <c r="F13" i="81" s="1"/>
  <c r="E864" i="94"/>
  <c r="M990" i="94"/>
  <c r="T85" i="65"/>
  <c r="D17" i="95"/>
  <c r="F17" i="95" s="1"/>
  <c r="S68" i="62"/>
  <c r="S74" i="62" s="1"/>
  <c r="S78" i="62" s="1"/>
  <c r="E16" i="68" s="1"/>
  <c r="U18" i="100"/>
  <c r="M333" i="94"/>
  <c r="X42" i="47"/>
  <c r="X43" i="47" s="1"/>
  <c r="X29" i="47"/>
  <c r="D334" i="94"/>
  <c r="D1079" i="94" s="1"/>
  <c r="G83" i="94"/>
  <c r="X46" i="87"/>
  <c r="X37" i="87"/>
  <c r="R24" i="87"/>
  <c r="L113" i="63"/>
  <c r="F50" i="21"/>
  <c r="K50" i="21" s="1"/>
  <c r="M50" i="21" s="1"/>
  <c r="M661" i="94"/>
  <c r="Y68" i="37"/>
  <c r="B45" i="36"/>
  <c r="N51" i="65"/>
  <c r="E74" i="36"/>
  <c r="D11" i="95"/>
  <c r="F11" i="95" s="1"/>
  <c r="S68" i="22"/>
  <c r="S74" i="22" s="1"/>
  <c r="S78" i="22" s="1"/>
  <c r="E10" i="68" s="1"/>
  <c r="B57" i="16"/>
  <c r="M798" i="94"/>
  <c r="F63" i="65"/>
  <c r="V11" i="65"/>
  <c r="B11" i="83"/>
  <c r="M34" i="94"/>
  <c r="Y73" i="32"/>
  <c r="L56" i="65"/>
  <c r="M727" i="94"/>
  <c r="B50" i="31"/>
  <c r="M111" i="94"/>
  <c r="X33" i="22"/>
  <c r="X35" i="22" s="1"/>
  <c r="J13" i="74" s="1"/>
  <c r="F13" i="100"/>
  <c r="L86" i="94"/>
  <c r="M18" i="84"/>
  <c r="D106" i="94"/>
  <c r="M741" i="94"/>
  <c r="B51" i="31"/>
  <c r="L57" i="65"/>
  <c r="D74" i="31"/>
  <c r="M26" i="94"/>
  <c r="B11" i="26"/>
  <c r="J11" i="65"/>
  <c r="Q35" i="42"/>
  <c r="Q36" i="42"/>
  <c r="G11" i="81" s="1"/>
  <c r="M299" i="94"/>
  <c r="S11" i="100"/>
  <c r="X36" i="14"/>
  <c r="E262" i="94"/>
  <c r="E263" i="94" s="1"/>
  <c r="E44" i="47"/>
  <c r="M29" i="47"/>
  <c r="M57" i="94"/>
  <c r="B13" i="91"/>
  <c r="O13" i="92"/>
  <c r="Z13" i="65"/>
  <c r="F37" i="26"/>
  <c r="J37" i="26" s="1"/>
  <c r="D65" i="25"/>
  <c r="I83" i="63"/>
  <c r="I96" i="63" s="1"/>
  <c r="H587" i="94"/>
  <c r="H63" i="92"/>
  <c r="D850" i="94"/>
  <c r="D1128" i="94" s="1"/>
  <c r="F259" i="94"/>
  <c r="D18" i="51"/>
  <c r="F58" i="16"/>
  <c r="X36" i="22"/>
  <c r="X38" i="22" s="1"/>
  <c r="G13" i="100"/>
  <c r="M125" i="94"/>
  <c r="D53" i="108"/>
  <c r="F10" i="109"/>
  <c r="D107" i="108"/>
  <c r="F48" i="109"/>
  <c r="Y72" i="106"/>
  <c r="M720" i="94"/>
  <c r="AB55" i="65"/>
  <c r="B49" i="105"/>
  <c r="R17" i="100"/>
  <c r="M286" i="94"/>
  <c r="M62" i="87"/>
  <c r="K88" i="94"/>
  <c r="U20" i="100"/>
  <c r="M331" i="94"/>
  <c r="M42" i="17"/>
  <c r="E422" i="94"/>
  <c r="E44" i="17"/>
  <c r="E437" i="94" s="1"/>
  <c r="F694" i="94"/>
  <c r="F65" i="36"/>
  <c r="F66" i="36" s="1"/>
  <c r="B66" i="36"/>
  <c r="X33" i="42"/>
  <c r="X35" i="42" s="1"/>
  <c r="J17" i="74" s="1"/>
  <c r="H115" i="63"/>
  <c r="D105" i="30"/>
  <c r="F46" i="31"/>
  <c r="G118" i="63"/>
  <c r="E45" i="46"/>
  <c r="F45" i="46" s="1"/>
  <c r="D113" i="45"/>
  <c r="M730" i="94"/>
  <c r="P56" i="65"/>
  <c r="Q56" i="65" s="1"/>
  <c r="B50" i="41"/>
  <c r="Y73" i="42"/>
  <c r="G109" i="94"/>
  <c r="I89" i="94"/>
  <c r="Q22" i="62"/>
  <c r="T18" i="65"/>
  <c r="J19" i="100"/>
  <c r="G16" i="97"/>
  <c r="M175" i="94"/>
  <c r="Q36" i="118"/>
  <c r="G20" i="81" s="1"/>
  <c r="Q35" i="118"/>
  <c r="M54" i="46"/>
  <c r="R15" i="100"/>
  <c r="M283" i="94"/>
  <c r="M84" i="87"/>
  <c r="L63" i="47"/>
  <c r="L446" i="94"/>
  <c r="B53" i="51"/>
  <c r="T59" i="65"/>
  <c r="M774" i="94"/>
  <c r="D61" i="45"/>
  <c r="E87" i="63"/>
  <c r="F33" i="46"/>
  <c r="M846" i="94"/>
  <c r="T66" i="65"/>
  <c r="B60" i="51"/>
  <c r="F60" i="51" s="1"/>
  <c r="N16" i="80" s="1"/>
  <c r="U77" i="42"/>
  <c r="T32" i="65"/>
  <c r="E72" i="51"/>
  <c r="B26" i="51"/>
  <c r="M475" i="94"/>
  <c r="E607" i="94"/>
  <c r="E91" i="106"/>
  <c r="B11" i="51"/>
  <c r="M33" i="94"/>
  <c r="T11" i="65"/>
  <c r="M61" i="94"/>
  <c r="B13" i="51"/>
  <c r="O13" i="62"/>
  <c r="T13" i="65"/>
  <c r="V10" i="65"/>
  <c r="B10" i="83"/>
  <c r="D23" i="94"/>
  <c r="D1054" i="94" s="1"/>
  <c r="M15" i="118"/>
  <c r="B15" i="117"/>
  <c r="D11" i="116" s="1"/>
  <c r="M15" i="114"/>
  <c r="D63" i="114"/>
  <c r="D91" i="114" s="1"/>
  <c r="F10" i="113"/>
  <c r="B15" i="113"/>
  <c r="D53" i="112"/>
  <c r="M21" i="94"/>
  <c r="AB10" i="65"/>
  <c r="B10" i="105"/>
  <c r="M15" i="106"/>
  <c r="D91" i="94"/>
  <c r="D63" i="106"/>
  <c r="D63" i="87"/>
  <c r="M15" i="87"/>
  <c r="Z10" i="65"/>
  <c r="M15" i="94"/>
  <c r="B10" i="91"/>
  <c r="C10" i="51"/>
  <c r="D30" i="63"/>
  <c r="F10" i="51"/>
  <c r="D53" i="50"/>
  <c r="D87" i="94"/>
  <c r="D63" i="42"/>
  <c r="M15" i="42"/>
  <c r="D53" i="40"/>
  <c r="C10" i="41"/>
  <c r="D28" i="63"/>
  <c r="F10" i="41"/>
  <c r="B15" i="41"/>
  <c r="D88" i="94"/>
  <c r="M15" i="37"/>
  <c r="D53" i="30"/>
  <c r="D26" i="63"/>
  <c r="F10" i="31"/>
  <c r="B15" i="31"/>
  <c r="D912" i="94"/>
  <c r="D98" i="27"/>
  <c r="D997" i="94" s="1"/>
  <c r="D25" i="63"/>
  <c r="D53" i="25"/>
  <c r="C10" i="26"/>
  <c r="F10" i="26"/>
  <c r="H10" i="65"/>
  <c r="B10" i="21"/>
  <c r="M11" i="94"/>
  <c r="M15" i="22"/>
  <c r="D81" i="94"/>
  <c r="F10" i="16"/>
  <c r="D23" i="63"/>
  <c r="C10" i="16"/>
  <c r="D53" i="15"/>
  <c r="D83" i="94"/>
  <c r="M15" i="17"/>
  <c r="Q49" i="65" l="1"/>
  <c r="G22" i="80"/>
  <c r="G22" i="98"/>
  <c r="C6" i="57"/>
  <c r="R22" i="99"/>
  <c r="Y6" i="65"/>
  <c r="Y7" i="65" s="1"/>
  <c r="F22" i="73"/>
  <c r="N21" i="101"/>
  <c r="K1075" i="94"/>
  <c r="Q54" i="65"/>
  <c r="I1075" i="94"/>
  <c r="Q58" i="65"/>
  <c r="L1134" i="94"/>
  <c r="F1073" i="94"/>
  <c r="F1062" i="94"/>
  <c r="D71" i="57"/>
  <c r="W11" i="65"/>
  <c r="E1129" i="94"/>
  <c r="F1057" i="94"/>
  <c r="W52" i="65"/>
  <c r="K1086" i="94"/>
  <c r="D55" i="57"/>
  <c r="W54" i="65"/>
  <c r="F1132" i="94"/>
  <c r="H1106" i="94"/>
  <c r="W22" i="65"/>
  <c r="W53" i="65"/>
  <c r="I67" i="63"/>
  <c r="W18" i="65"/>
  <c r="W56" i="65"/>
  <c r="J34" i="117"/>
  <c r="W49" i="65"/>
  <c r="O11" i="80"/>
  <c r="G52" i="65"/>
  <c r="W58" i="65"/>
  <c r="W14" i="65"/>
  <c r="O12" i="80"/>
  <c r="J128" i="63"/>
  <c r="G49" i="65"/>
  <c r="Q52" i="65"/>
  <c r="K23" i="65"/>
  <c r="E11" i="65"/>
  <c r="Q23" i="65"/>
  <c r="G53" i="65"/>
  <c r="K53" i="65"/>
  <c r="Q13" i="65"/>
  <c r="K22" i="65"/>
  <c r="K18" i="65"/>
  <c r="K54" i="65"/>
  <c r="K14" i="65"/>
  <c r="K49" i="65"/>
  <c r="K10" i="65"/>
  <c r="E48" i="65"/>
  <c r="K13" i="65"/>
  <c r="Q7" i="65"/>
  <c r="G22" i="65"/>
  <c r="E18" i="65"/>
  <c r="Q22" i="65"/>
  <c r="K52" i="65"/>
  <c r="K56" i="65"/>
  <c r="W13" i="65"/>
  <c r="G595" i="94"/>
  <c r="H1075" i="94"/>
  <c r="E23" i="65"/>
  <c r="E14" i="65"/>
  <c r="G131" i="63"/>
  <c r="H131" i="63"/>
  <c r="H99" i="63"/>
  <c r="X21" i="102"/>
  <c r="K58" i="57"/>
  <c r="J37" i="117"/>
  <c r="O13" i="80"/>
  <c r="J33" i="86"/>
  <c r="J11" i="86"/>
  <c r="G99" i="63"/>
  <c r="E99" i="63"/>
  <c r="Q53" i="65"/>
  <c r="Q18" i="65"/>
  <c r="N131" i="63"/>
  <c r="Q14" i="65"/>
  <c r="G41" i="63"/>
  <c r="O22" i="80"/>
  <c r="E41" i="63"/>
  <c r="I70" i="63"/>
  <c r="I93" i="63"/>
  <c r="H64" i="63"/>
  <c r="H93" i="63"/>
  <c r="E93" i="63"/>
  <c r="F41" i="63"/>
  <c r="D99" i="63"/>
  <c r="F99" i="63"/>
  <c r="U10" i="65"/>
  <c r="O18" i="80"/>
  <c r="G48" i="65"/>
  <c r="G56" i="65"/>
  <c r="G18" i="65"/>
  <c r="G58" i="65"/>
  <c r="G54" i="65"/>
  <c r="G11" i="65"/>
  <c r="Q10" i="65"/>
  <c r="AB24" i="65"/>
  <c r="AB26" i="65" s="1"/>
  <c r="AB27" i="65" s="1"/>
  <c r="G7" i="65"/>
  <c r="H72" i="65"/>
  <c r="D24" i="65"/>
  <c r="B15" i="26"/>
  <c r="E1134" i="94"/>
  <c r="L63" i="14"/>
  <c r="X43" i="118"/>
  <c r="H1129" i="94"/>
  <c r="F48" i="86"/>
  <c r="K48" i="86" s="1"/>
  <c r="N48" i="86" s="1"/>
  <c r="J35" i="21"/>
  <c r="D432" i="94"/>
  <c r="X30" i="118"/>
  <c r="L68" i="65"/>
  <c r="K1106" i="94"/>
  <c r="F37" i="41"/>
  <c r="J37" i="41" s="1"/>
  <c r="J38" i="41" s="1"/>
  <c r="K17" i="73" s="1"/>
  <c r="I86" i="63"/>
  <c r="I99" i="63" s="1"/>
  <c r="D65" i="40"/>
  <c r="D61" i="15"/>
  <c r="F33" i="16"/>
  <c r="J33" i="16" s="1"/>
  <c r="E81" i="63"/>
  <c r="J81" i="63" s="1"/>
  <c r="K81" i="63" s="1"/>
  <c r="B66" i="46"/>
  <c r="F64" i="46"/>
  <c r="F66" i="46" s="1"/>
  <c r="H63" i="87"/>
  <c r="AB67" i="65"/>
  <c r="D15" i="25"/>
  <c r="J54" i="63"/>
  <c r="J67" i="63" s="1"/>
  <c r="E29" i="26"/>
  <c r="D67" i="25"/>
  <c r="E54" i="105"/>
  <c r="J1129" i="94"/>
  <c r="D57" i="1"/>
  <c r="F14" i="2"/>
  <c r="J14" i="2" s="1"/>
  <c r="C14" i="2"/>
  <c r="H22" i="63"/>
  <c r="H35" i="63" s="1"/>
  <c r="D55" i="103"/>
  <c r="N36" i="65"/>
  <c r="D37" i="103"/>
  <c r="J36" i="65"/>
  <c r="F33" i="105"/>
  <c r="J33" i="105" s="1"/>
  <c r="D61" i="104"/>
  <c r="F91" i="106"/>
  <c r="H91" i="42"/>
  <c r="X27" i="92"/>
  <c r="B61" i="105"/>
  <c r="J72" i="65"/>
  <c r="J73" i="65" s="1"/>
  <c r="N72" i="65"/>
  <c r="N73" i="65" s="1"/>
  <c r="E29" i="36"/>
  <c r="E39" i="36" s="1"/>
  <c r="F29" i="36"/>
  <c r="J56" i="63"/>
  <c r="D15" i="35"/>
  <c r="D67" i="35"/>
  <c r="D20" i="51"/>
  <c r="X30" i="32"/>
  <c r="I15" i="74" s="1"/>
  <c r="R30" i="84"/>
  <c r="H42" i="98"/>
  <c r="L24" i="65"/>
  <c r="D39" i="105"/>
  <c r="G1073" i="94"/>
  <c r="E45" i="105"/>
  <c r="F45" i="105" s="1"/>
  <c r="D69" i="103"/>
  <c r="R16" i="65"/>
  <c r="D65" i="15"/>
  <c r="F37" i="16"/>
  <c r="J37" i="16" s="1"/>
  <c r="I81" i="63"/>
  <c r="L63" i="42"/>
  <c r="L441" i="94"/>
  <c r="R25" i="97"/>
  <c r="Z20" i="65"/>
  <c r="Z26" i="65" s="1"/>
  <c r="U20" i="97"/>
  <c r="W20" i="97" s="1"/>
  <c r="R30" i="114"/>
  <c r="R35" i="114" s="1"/>
  <c r="J112" i="63"/>
  <c r="I1073" i="94"/>
  <c r="I1088" i="94" s="1"/>
  <c r="I1107" i="94" s="1"/>
  <c r="F11" i="105"/>
  <c r="J11" i="105" s="1"/>
  <c r="J10" i="46"/>
  <c r="Y77" i="106"/>
  <c r="Y78" i="106" s="1"/>
  <c r="J17" i="81" s="1"/>
  <c r="E63" i="14"/>
  <c r="H1062" i="94"/>
  <c r="Y25" i="100"/>
  <c r="B82" i="65"/>
  <c r="X27" i="87"/>
  <c r="C48" i="16"/>
  <c r="C10" i="46"/>
  <c r="F85" i="63"/>
  <c r="D62" i="35"/>
  <c r="F34" i="36"/>
  <c r="M107" i="94"/>
  <c r="E23" i="100"/>
  <c r="X47" i="87"/>
  <c r="M22" i="74" s="1"/>
  <c r="J11" i="46"/>
  <c r="F48" i="16"/>
  <c r="H1122" i="94"/>
  <c r="E439" i="94"/>
  <c r="E63" i="92"/>
  <c r="E29" i="2"/>
  <c r="F29" i="2" s="1"/>
  <c r="J51" i="63"/>
  <c r="J64" i="63" s="1"/>
  <c r="D67" i="1"/>
  <c r="J86" i="63"/>
  <c r="D108" i="30"/>
  <c r="C11" i="46"/>
  <c r="X38" i="114"/>
  <c r="Y39" i="114" s="1"/>
  <c r="D65" i="82"/>
  <c r="F37" i="83"/>
  <c r="J37" i="83" s="1"/>
  <c r="F67" i="65"/>
  <c r="F68" i="65" s="1"/>
  <c r="C14" i="26"/>
  <c r="H91" i="27"/>
  <c r="H912" i="94" s="1"/>
  <c r="F606" i="94"/>
  <c r="D65" i="35"/>
  <c r="I85" i="63"/>
  <c r="F37" i="36"/>
  <c r="J13" i="46"/>
  <c r="D10" i="103"/>
  <c r="D36" i="65"/>
  <c r="E68" i="105"/>
  <c r="E82" i="105" s="1"/>
  <c r="H25" i="63"/>
  <c r="H38" i="63" s="1"/>
  <c r="D102" i="35"/>
  <c r="M44" i="42"/>
  <c r="O56" i="46"/>
  <c r="P18" i="73" s="1"/>
  <c r="D39" i="86"/>
  <c r="C46" i="46"/>
  <c r="J263" i="94"/>
  <c r="D116" i="63"/>
  <c r="E63" i="27"/>
  <c r="X77" i="106"/>
  <c r="I63" i="14"/>
  <c r="J1062" i="94"/>
  <c r="C43" i="46"/>
  <c r="E63" i="84"/>
  <c r="E91" i="22"/>
  <c r="F14" i="41"/>
  <c r="J14" i="41" s="1"/>
  <c r="H28" i="63"/>
  <c r="H41" i="63" s="1"/>
  <c r="C14" i="41"/>
  <c r="C15" i="41" s="1"/>
  <c r="F12" i="63" s="1"/>
  <c r="H12" i="63" s="1"/>
  <c r="D57" i="40"/>
  <c r="O16" i="80"/>
  <c r="D91" i="47"/>
  <c r="AG23" i="100"/>
  <c r="M13" i="97"/>
  <c r="W13" i="97" s="1"/>
  <c r="W19" i="65"/>
  <c r="C47" i="46"/>
  <c r="F83" i="63"/>
  <c r="F96" i="63" s="1"/>
  <c r="F34" i="26"/>
  <c r="J34" i="26" s="1"/>
  <c r="D62" i="25"/>
  <c r="H27" i="63"/>
  <c r="D57" i="35"/>
  <c r="H29" i="63"/>
  <c r="D57" i="45"/>
  <c r="F14" i="46"/>
  <c r="F43" i="91"/>
  <c r="K43" i="91" s="1"/>
  <c r="L43" i="91" s="1"/>
  <c r="D103" i="90"/>
  <c r="D59" i="40"/>
  <c r="H57" i="63"/>
  <c r="H70" i="63" s="1"/>
  <c r="F23" i="41"/>
  <c r="D13" i="40"/>
  <c r="M56" i="46"/>
  <c r="N18" i="73" s="1"/>
  <c r="R30" i="87"/>
  <c r="R35" i="87" s="1"/>
  <c r="I1129" i="94"/>
  <c r="F38" i="36"/>
  <c r="AH20" i="100"/>
  <c r="K1059" i="94"/>
  <c r="C48" i="46"/>
  <c r="D17" i="68"/>
  <c r="U49" i="65"/>
  <c r="U22" i="65"/>
  <c r="U14" i="65"/>
  <c r="F44" i="105"/>
  <c r="D63" i="17"/>
  <c r="D91" i="17" s="1"/>
  <c r="U11" i="65"/>
  <c r="F51" i="105"/>
  <c r="M421" i="94"/>
  <c r="I63" i="22"/>
  <c r="M44" i="106"/>
  <c r="D62" i="57"/>
  <c r="U56" i="65"/>
  <c r="G63" i="92"/>
  <c r="F13" i="86"/>
  <c r="J13" i="86" s="1"/>
  <c r="J23" i="117"/>
  <c r="F66" i="113"/>
  <c r="X67" i="65"/>
  <c r="X68" i="65" s="1"/>
  <c r="U58" i="65"/>
  <c r="B19" i="26"/>
  <c r="U53" i="65"/>
  <c r="J35" i="117"/>
  <c r="F1111" i="94"/>
  <c r="M20" i="97"/>
  <c r="J10" i="117"/>
  <c r="G908" i="94"/>
  <c r="F61" i="105"/>
  <c r="K63" i="84"/>
  <c r="K91" i="84" s="1"/>
  <c r="J1106" i="94"/>
  <c r="X30" i="110"/>
  <c r="X31" i="110" s="1"/>
  <c r="U54" i="65"/>
  <c r="J36" i="46"/>
  <c r="F63" i="27"/>
  <c r="B54" i="109"/>
  <c r="R67" i="65"/>
  <c r="R68" i="65" s="1"/>
  <c r="W12" i="97"/>
  <c r="U52" i="65"/>
  <c r="M22" i="97"/>
  <c r="D278" i="94"/>
  <c r="Q35" i="114"/>
  <c r="J1134" i="94"/>
  <c r="L1122" i="94"/>
  <c r="F36" i="83"/>
  <c r="J36" i="83" s="1"/>
  <c r="M44" i="84"/>
  <c r="M207" i="94"/>
  <c r="M1069" i="94" s="1"/>
  <c r="AB15" i="65"/>
  <c r="AB16" i="65" s="1"/>
  <c r="U13" i="65"/>
  <c r="U18" i="65"/>
  <c r="G1129" i="94"/>
  <c r="J36" i="117"/>
  <c r="M44" i="118"/>
  <c r="X21" i="118" s="1"/>
  <c r="Q36" i="92"/>
  <c r="G16" i="81" s="1"/>
  <c r="Q35" i="92"/>
  <c r="D68" i="91"/>
  <c r="J34" i="21"/>
  <c r="L1129" i="94"/>
  <c r="F11" i="91"/>
  <c r="J11" i="91" s="1"/>
  <c r="D54" i="90"/>
  <c r="D864" i="94"/>
  <c r="Q30" i="87"/>
  <c r="X27" i="114"/>
  <c r="F263" i="94"/>
  <c r="D31" i="57" s="1"/>
  <c r="F50" i="86"/>
  <c r="K50" i="86" s="1"/>
  <c r="M50" i="86" s="1"/>
  <c r="C17" i="57"/>
  <c r="N13" i="101"/>
  <c r="E13" i="63"/>
  <c r="E132" i="63" s="1"/>
  <c r="X13" i="102"/>
  <c r="R14" i="99"/>
  <c r="F18" i="73"/>
  <c r="G18" i="98"/>
  <c r="S6" i="65"/>
  <c r="S18" i="65" s="1"/>
  <c r="G14" i="80"/>
  <c r="O14" i="80" s="1"/>
  <c r="I9" i="64"/>
  <c r="C13" i="46"/>
  <c r="C14" i="46"/>
  <c r="J32" i="46"/>
  <c r="C50" i="46"/>
  <c r="D67" i="116"/>
  <c r="E29" i="117"/>
  <c r="F29" i="117"/>
  <c r="J36" i="21"/>
  <c r="D45" i="103"/>
  <c r="L33" i="65"/>
  <c r="X27" i="62"/>
  <c r="Z72" i="65"/>
  <c r="Z73" i="65" s="1"/>
  <c r="M495" i="94"/>
  <c r="M1097" i="94" s="1"/>
  <c r="O495" i="94" s="1"/>
  <c r="N60" i="65"/>
  <c r="N61" i="65" s="1"/>
  <c r="J33" i="21"/>
  <c r="C50" i="21"/>
  <c r="J11" i="21"/>
  <c r="E115" i="71"/>
  <c r="L110" i="71"/>
  <c r="J92" i="71"/>
  <c r="J37" i="21"/>
  <c r="E77" i="91"/>
  <c r="E80" i="91" s="1"/>
  <c r="D38" i="79"/>
  <c r="F38" i="79" s="1"/>
  <c r="B55" i="65"/>
  <c r="F63" i="17"/>
  <c r="F599" i="94" s="1"/>
  <c r="M980" i="94"/>
  <c r="M1141" i="94" s="1"/>
  <c r="V73" i="65"/>
  <c r="M113" i="63"/>
  <c r="D110" i="20"/>
  <c r="D51" i="21"/>
  <c r="D54" i="21" s="1"/>
  <c r="D68" i="21" s="1"/>
  <c r="J33" i="117"/>
  <c r="J1122" i="94"/>
  <c r="Y39" i="106"/>
  <c r="Q30" i="22"/>
  <c r="Q35" i="22" s="1"/>
  <c r="D61" i="57"/>
  <c r="Z25" i="100"/>
  <c r="M938" i="94"/>
  <c r="M1138" i="94" s="1"/>
  <c r="L63" i="62"/>
  <c r="L30" i="65"/>
  <c r="D44" i="103"/>
  <c r="C52" i="46"/>
  <c r="G17" i="80"/>
  <c r="O17" i="80" s="1"/>
  <c r="I6" i="65"/>
  <c r="I18" i="65" s="1"/>
  <c r="F13" i="73"/>
  <c r="E8" i="63"/>
  <c r="F95" i="63" s="1"/>
  <c r="N16" i="101"/>
  <c r="G13" i="98"/>
  <c r="I12" i="64"/>
  <c r="X16" i="102"/>
  <c r="C7" i="57"/>
  <c r="C11" i="21"/>
  <c r="K111" i="63"/>
  <c r="K1134" i="94"/>
  <c r="X30" i="22"/>
  <c r="I13" i="74" s="1"/>
  <c r="H55" i="63"/>
  <c r="D59" i="30"/>
  <c r="F23" i="31"/>
  <c r="D13" i="30"/>
  <c r="F35" i="31"/>
  <c r="G84" i="63"/>
  <c r="D63" i="30"/>
  <c r="E77" i="83"/>
  <c r="E80" i="83" s="1"/>
  <c r="X31" i="118"/>
  <c r="M21" i="97"/>
  <c r="W21" i="97" s="1"/>
  <c r="M808" i="94"/>
  <c r="B70" i="57" s="1"/>
  <c r="D68" i="2"/>
  <c r="P73" i="65"/>
  <c r="X35" i="118"/>
  <c r="J63" i="42"/>
  <c r="J441" i="94"/>
  <c r="D51" i="2"/>
  <c r="D54" i="2" s="1"/>
  <c r="M111" i="63"/>
  <c r="M125" i="63" s="1"/>
  <c r="D110" i="1"/>
  <c r="J11" i="117"/>
  <c r="K63" i="37"/>
  <c r="K91" i="37" s="1"/>
  <c r="M418" i="94"/>
  <c r="M1085" i="94" s="1"/>
  <c r="G63" i="22"/>
  <c r="G597" i="94" s="1"/>
  <c r="R30" i="17"/>
  <c r="M11" i="97"/>
  <c r="E77" i="31"/>
  <c r="E80" i="31" s="1"/>
  <c r="D263" i="94"/>
  <c r="D32" i="79" s="1"/>
  <c r="G32" i="79" s="1"/>
  <c r="E26" i="31"/>
  <c r="D66" i="30"/>
  <c r="I55" i="63"/>
  <c r="D15" i="30"/>
  <c r="J14" i="117"/>
  <c r="G25" i="97"/>
  <c r="E1122" i="94"/>
  <c r="M221" i="94"/>
  <c r="M1070" i="94" s="1"/>
  <c r="F1102" i="94"/>
  <c r="F1106" i="94" s="1"/>
  <c r="X20" i="65"/>
  <c r="I25" i="100"/>
  <c r="L1059" i="94"/>
  <c r="M376" i="94"/>
  <c r="M1082" i="94" s="1"/>
  <c r="D59" i="57"/>
  <c r="L1062" i="94"/>
  <c r="F1091" i="94"/>
  <c r="G1086" i="94"/>
  <c r="F14" i="86"/>
  <c r="J14" i="86" s="1"/>
  <c r="X24" i="65"/>
  <c r="M44" i="87"/>
  <c r="X72" i="65"/>
  <c r="X73" i="65" s="1"/>
  <c r="F1125" i="94"/>
  <c r="F61" i="86"/>
  <c r="F47" i="86"/>
  <c r="K47" i="86" s="1"/>
  <c r="M47" i="86" s="1"/>
  <c r="D1129" i="94"/>
  <c r="K1122" i="94"/>
  <c r="F23" i="86"/>
  <c r="I1062" i="94"/>
  <c r="D1059" i="94"/>
  <c r="X15" i="65"/>
  <c r="X16" i="65" s="1"/>
  <c r="B10" i="65"/>
  <c r="F1118" i="94"/>
  <c r="E1075" i="94"/>
  <c r="O51" i="101"/>
  <c r="O55" i="101" s="1"/>
  <c r="X38" i="110"/>
  <c r="Y39" i="110" s="1"/>
  <c r="R30" i="110"/>
  <c r="Y77" i="110"/>
  <c r="Y78" i="110" s="1"/>
  <c r="J18" i="81" s="1"/>
  <c r="K21" i="74"/>
  <c r="Y39" i="92"/>
  <c r="J34" i="105"/>
  <c r="D51" i="103"/>
  <c r="N16" i="65"/>
  <c r="G80" i="63"/>
  <c r="G93" i="63" s="1"/>
  <c r="F35" i="2"/>
  <c r="J35" i="2" s="1"/>
  <c r="D63" i="1"/>
  <c r="F53" i="83"/>
  <c r="K53" i="83" s="1"/>
  <c r="O53" i="83" s="1"/>
  <c r="D112" i="82"/>
  <c r="E1086" i="94"/>
  <c r="E1088" i="94" s="1"/>
  <c r="E1107" i="94" s="1"/>
  <c r="M44" i="17"/>
  <c r="AC12" i="100" s="1"/>
  <c r="Y39" i="118"/>
  <c r="K93" i="94"/>
  <c r="B66" i="65"/>
  <c r="O117" i="63"/>
  <c r="O131" i="63" s="1"/>
  <c r="F53" i="41"/>
  <c r="K53" i="41" s="1"/>
  <c r="O53" i="41" s="1"/>
  <c r="O54" i="41" s="1"/>
  <c r="O56" i="41" s="1"/>
  <c r="P17" i="73" s="1"/>
  <c r="D112" i="40"/>
  <c r="E45" i="117"/>
  <c r="F45" i="117" s="1"/>
  <c r="D113" i="116"/>
  <c r="E29" i="86"/>
  <c r="F29" i="86" s="1"/>
  <c r="AB60" i="65"/>
  <c r="AB61" i="65" s="1"/>
  <c r="D109" i="20"/>
  <c r="AA25" i="100"/>
  <c r="X35" i="47"/>
  <c r="J18" i="74" s="1"/>
  <c r="U15" i="97"/>
  <c r="L63" i="106"/>
  <c r="L607" i="94" s="1"/>
  <c r="X30" i="92"/>
  <c r="I21" i="74" s="1"/>
  <c r="Y77" i="118"/>
  <c r="Y78" i="118" s="1"/>
  <c r="J20" i="81" s="1"/>
  <c r="R44" i="65"/>
  <c r="D74" i="103" s="1"/>
  <c r="E77" i="86"/>
  <c r="E80" i="86" s="1"/>
  <c r="B38" i="26"/>
  <c r="D14" i="25" s="1"/>
  <c r="D51" i="57"/>
  <c r="M14" i="97"/>
  <c r="W14" i="97" s="1"/>
  <c r="F11" i="2"/>
  <c r="J11" i="2" s="1"/>
  <c r="E22" i="63"/>
  <c r="E35" i="63" s="1"/>
  <c r="C11" i="2"/>
  <c r="D54" i="1"/>
  <c r="D56" i="116"/>
  <c r="F13" i="117"/>
  <c r="F15" i="117" s="1"/>
  <c r="D100" i="103"/>
  <c r="D56" i="25"/>
  <c r="C13" i="26"/>
  <c r="F13" i="26"/>
  <c r="J13" i="26" s="1"/>
  <c r="G25" i="63"/>
  <c r="G38" i="63" s="1"/>
  <c r="D102" i="15"/>
  <c r="C42" i="16"/>
  <c r="F42" i="16"/>
  <c r="D112" i="63"/>
  <c r="M426" i="94"/>
  <c r="AB17" i="100"/>
  <c r="AJ17" i="100" s="1"/>
  <c r="B19" i="41"/>
  <c r="B20" i="41" s="1"/>
  <c r="B39" i="41" s="1"/>
  <c r="F47" i="105"/>
  <c r="K47" i="105" s="1"/>
  <c r="M47" i="105" s="1"/>
  <c r="D106" i="104"/>
  <c r="Z15" i="65"/>
  <c r="D114" i="103" s="1"/>
  <c r="G93" i="94"/>
  <c r="M722" i="94"/>
  <c r="M1117" i="94" s="1"/>
  <c r="F42" i="86"/>
  <c r="G87" i="63"/>
  <c r="D63" i="45"/>
  <c r="F35" i="46"/>
  <c r="J35" i="46" s="1"/>
  <c r="J15" i="65"/>
  <c r="U23" i="97"/>
  <c r="W23" i="97" s="1"/>
  <c r="D39" i="16"/>
  <c r="M994" i="94"/>
  <c r="M1142" i="94" s="1"/>
  <c r="B42" i="65"/>
  <c r="S25" i="97"/>
  <c r="B84" i="65"/>
  <c r="K42" i="105"/>
  <c r="L42" i="105" s="1"/>
  <c r="L54" i="105" s="1"/>
  <c r="I42" i="105"/>
  <c r="H22" i="102" s="1"/>
  <c r="D106" i="30"/>
  <c r="F47" i="31"/>
  <c r="K47" i="31" s="1"/>
  <c r="M47" i="31" s="1"/>
  <c r="I115" i="63"/>
  <c r="Q35" i="106"/>
  <c r="Q36" i="106"/>
  <c r="G17" i="81" s="1"/>
  <c r="F50" i="105"/>
  <c r="K50" i="105" s="1"/>
  <c r="M50" i="105" s="1"/>
  <c r="D109" i="104"/>
  <c r="D91" i="84"/>
  <c r="D606" i="94"/>
  <c r="O111" i="63"/>
  <c r="O125" i="63" s="1"/>
  <c r="D112" i="1"/>
  <c r="AB23" i="100"/>
  <c r="AJ23" i="100" s="1"/>
  <c r="M430" i="94"/>
  <c r="B19" i="105"/>
  <c r="F19" i="105" s="1"/>
  <c r="J19" i="105" s="1"/>
  <c r="D65" i="90"/>
  <c r="F37" i="91"/>
  <c r="J37" i="91" s="1"/>
  <c r="F109" i="94"/>
  <c r="J25" i="100"/>
  <c r="Y77" i="47"/>
  <c r="Y78" i="47" s="1"/>
  <c r="J12" i="81" s="1"/>
  <c r="B40" i="65"/>
  <c r="G1122" i="94"/>
  <c r="I29" i="63"/>
  <c r="J29" i="63" s="1"/>
  <c r="M193" i="94"/>
  <c r="M1068" i="94" s="1"/>
  <c r="D58" i="57"/>
  <c r="D111" i="90"/>
  <c r="F52" i="91"/>
  <c r="K52" i="91" s="1"/>
  <c r="O52" i="91" s="1"/>
  <c r="O54" i="91" s="1"/>
  <c r="B65" i="65"/>
  <c r="M966" i="94"/>
  <c r="M1140" i="94" s="1"/>
  <c r="Z60" i="65"/>
  <c r="Z61" i="65" s="1"/>
  <c r="G11" i="46"/>
  <c r="D9" i="64" s="1"/>
  <c r="L63" i="17"/>
  <c r="M249" i="94"/>
  <c r="M1072" i="94" s="1"/>
  <c r="X43" i="110"/>
  <c r="X44" i="65"/>
  <c r="D101" i="103" s="1"/>
  <c r="D109" i="94"/>
  <c r="I93" i="94"/>
  <c r="J432" i="94"/>
  <c r="X30" i="114"/>
  <c r="E77" i="117"/>
  <c r="E80" i="117" s="1"/>
  <c r="H53" i="63"/>
  <c r="D59" i="20"/>
  <c r="F23" i="21"/>
  <c r="D13" i="20"/>
  <c r="E91" i="87"/>
  <c r="AB44" i="65"/>
  <c r="Y75" i="22"/>
  <c r="Y77" i="22" s="1"/>
  <c r="Y78" i="22" s="1"/>
  <c r="J7" i="81" s="1"/>
  <c r="X77" i="22"/>
  <c r="F49" i="86"/>
  <c r="K49" i="86" s="1"/>
  <c r="N49" i="86" s="1"/>
  <c r="D60" i="1"/>
  <c r="D80" i="63"/>
  <c r="F32" i="2"/>
  <c r="B38" i="2"/>
  <c r="D14" i="1" s="1"/>
  <c r="E26" i="86"/>
  <c r="E39" i="86" s="1"/>
  <c r="E438" i="94"/>
  <c r="E63" i="32"/>
  <c r="D57" i="104"/>
  <c r="F14" i="105"/>
  <c r="J14" i="105" s="1"/>
  <c r="T25" i="97"/>
  <c r="X43" i="27"/>
  <c r="H25" i="100"/>
  <c r="B18" i="65"/>
  <c r="U18" i="97"/>
  <c r="M880" i="94"/>
  <c r="B77" i="57" s="1"/>
  <c r="B48" i="65"/>
  <c r="D35" i="68"/>
  <c r="C46" i="83"/>
  <c r="D105" i="82"/>
  <c r="F46" i="83"/>
  <c r="M362" i="94"/>
  <c r="M1081" i="94" s="1"/>
  <c r="M511" i="94"/>
  <c r="I48" i="46"/>
  <c r="J13" i="102" s="1"/>
  <c r="K48" i="46"/>
  <c r="N48" i="46" s="1"/>
  <c r="E112" i="63"/>
  <c r="D103" i="15"/>
  <c r="C43" i="16"/>
  <c r="F43" i="16"/>
  <c r="K43" i="16" s="1"/>
  <c r="L43" i="16" s="1"/>
  <c r="D51" i="117"/>
  <c r="D54" i="117" s="1"/>
  <c r="D68" i="117" s="1"/>
  <c r="F51" i="117"/>
  <c r="D110" i="116"/>
  <c r="H595" i="94"/>
  <c r="X38" i="14"/>
  <c r="Y39" i="14" s="1"/>
  <c r="M708" i="94"/>
  <c r="M1116" i="94" s="1"/>
  <c r="M44" i="32"/>
  <c r="M63" i="32" s="1"/>
  <c r="M600" i="94" s="1"/>
  <c r="X38" i="87"/>
  <c r="K22" i="74" s="1"/>
  <c r="Q25" i="97"/>
  <c r="M15" i="97"/>
  <c r="G864" i="94"/>
  <c r="M404" i="94"/>
  <c r="M1084" i="94" s="1"/>
  <c r="E77" i="2"/>
  <c r="E80" i="2" s="1"/>
  <c r="K25" i="100"/>
  <c r="D11" i="79"/>
  <c r="AB68" i="65"/>
  <c r="D99" i="103"/>
  <c r="P20" i="65"/>
  <c r="P26" i="65" s="1"/>
  <c r="Q19" i="65"/>
  <c r="H444" i="94"/>
  <c r="H63" i="84"/>
  <c r="E39" i="41"/>
  <c r="E44" i="86"/>
  <c r="F44" i="86" s="1"/>
  <c r="L20" i="98"/>
  <c r="J23" i="83"/>
  <c r="J20" i="73" s="1"/>
  <c r="K15" i="101"/>
  <c r="G63" i="17"/>
  <c r="G91" i="17" s="1"/>
  <c r="D51" i="86"/>
  <c r="D111" i="82"/>
  <c r="F52" i="83"/>
  <c r="K52" i="83" s="1"/>
  <c r="O52" i="83" s="1"/>
  <c r="C52" i="83"/>
  <c r="Q30" i="62"/>
  <c r="Q35" i="62" s="1"/>
  <c r="AI21" i="100"/>
  <c r="D62" i="104"/>
  <c r="B38" i="105"/>
  <c r="D14" i="104" s="1"/>
  <c r="F34" i="2"/>
  <c r="J34" i="2" s="1"/>
  <c r="F80" i="63"/>
  <c r="F93" i="63" s="1"/>
  <c r="D62" i="1"/>
  <c r="K114" i="63"/>
  <c r="K128" i="63" s="1"/>
  <c r="F49" i="26"/>
  <c r="K49" i="26" s="1"/>
  <c r="N49" i="26" s="1"/>
  <c r="D108" i="25"/>
  <c r="D44" i="65"/>
  <c r="D11" i="103" s="1"/>
  <c r="D107" i="104"/>
  <c r="F48" i="105"/>
  <c r="F49" i="2"/>
  <c r="K49" i="2" s="1"/>
  <c r="N49" i="2" s="1"/>
  <c r="X38" i="84"/>
  <c r="K20" i="74" s="1"/>
  <c r="V44" i="65"/>
  <c r="D92" i="103" s="1"/>
  <c r="F61" i="31"/>
  <c r="M764" i="94"/>
  <c r="M1120" i="94" s="1"/>
  <c r="D12" i="79"/>
  <c r="D1122" i="94"/>
  <c r="D39" i="51"/>
  <c r="H432" i="94"/>
  <c r="M44" i="114"/>
  <c r="X21" i="114" s="1"/>
  <c r="R25" i="100"/>
  <c r="AG12" i="100"/>
  <c r="F1134" i="94"/>
  <c r="X43" i="22"/>
  <c r="L13" i="74" s="1"/>
  <c r="F52" i="31"/>
  <c r="K52" i="31" s="1"/>
  <c r="O52" i="31" s="1"/>
  <c r="D111" i="30"/>
  <c r="N115" i="63"/>
  <c r="F36" i="91"/>
  <c r="J36" i="91" s="1"/>
  <c r="D64" i="90"/>
  <c r="X22" i="42"/>
  <c r="G17" i="74" s="1"/>
  <c r="R36" i="42"/>
  <c r="H11" i="81" s="1"/>
  <c r="R35" i="42"/>
  <c r="D20" i="26"/>
  <c r="D39" i="26" s="1"/>
  <c r="F64" i="91"/>
  <c r="F66" i="91" s="1"/>
  <c r="B66" i="91"/>
  <c r="D112" i="30"/>
  <c r="F53" i="31"/>
  <c r="K53" i="31" s="1"/>
  <c r="O53" i="31" s="1"/>
  <c r="O115" i="63"/>
  <c r="D59" i="90"/>
  <c r="D13" i="90"/>
  <c r="F23" i="91"/>
  <c r="H792" i="94"/>
  <c r="F432" i="94"/>
  <c r="D32" i="57" s="1"/>
  <c r="D26" i="103"/>
  <c r="H30" i="65"/>
  <c r="F15" i="46"/>
  <c r="X30" i="62"/>
  <c r="I19" i="74" s="1"/>
  <c r="M736" i="94"/>
  <c r="M1118" i="94" s="1"/>
  <c r="B61" i="31"/>
  <c r="X35" i="32"/>
  <c r="J15" i="74" s="1"/>
  <c r="X43" i="84"/>
  <c r="L20" i="74" s="1"/>
  <c r="D39" i="36"/>
  <c r="X35" i="62"/>
  <c r="J19" i="74" s="1"/>
  <c r="E77" i="113"/>
  <c r="E80" i="113" s="1"/>
  <c r="F19" i="113"/>
  <c r="J19" i="113" s="1"/>
  <c r="L60" i="65"/>
  <c r="L61" i="65" s="1"/>
  <c r="M952" i="94"/>
  <c r="M1139" i="94" s="1"/>
  <c r="E54" i="117"/>
  <c r="X30" i="14"/>
  <c r="I11" i="74" s="1"/>
  <c r="D116" i="103"/>
  <c r="D107" i="103"/>
  <c r="Z30" i="65"/>
  <c r="D63" i="104"/>
  <c r="F35" i="105"/>
  <c r="J35" i="105" s="1"/>
  <c r="F18" i="83"/>
  <c r="J18" i="83" s="1"/>
  <c r="C18" i="83"/>
  <c r="F48" i="117"/>
  <c r="D107" i="116"/>
  <c r="E44" i="2"/>
  <c r="F44" i="2" s="1"/>
  <c r="F111" i="63"/>
  <c r="F125" i="63" s="1"/>
  <c r="D104" i="1"/>
  <c r="F43" i="86"/>
  <c r="K43" i="86" s="1"/>
  <c r="L43" i="86" s="1"/>
  <c r="H21" i="74"/>
  <c r="X31" i="92"/>
  <c r="X31" i="42"/>
  <c r="H17" i="74"/>
  <c r="Q35" i="32"/>
  <c r="Q36" i="32"/>
  <c r="G9" i="81" s="1"/>
  <c r="D11" i="108"/>
  <c r="L12" i="74"/>
  <c r="Y48" i="17"/>
  <c r="Q36" i="47"/>
  <c r="G12" i="81" s="1"/>
  <c r="Q35" i="47"/>
  <c r="M438" i="94"/>
  <c r="J82" i="63"/>
  <c r="M118" i="63"/>
  <c r="D51" i="46"/>
  <c r="D54" i="46" s="1"/>
  <c r="D68" i="46" s="1"/>
  <c r="D110" i="45"/>
  <c r="J13" i="41"/>
  <c r="K48" i="113"/>
  <c r="N48" i="113" s="1"/>
  <c r="I48" i="113"/>
  <c r="K443" i="94"/>
  <c r="K63" i="62"/>
  <c r="F46" i="21"/>
  <c r="H113" i="63"/>
  <c r="C46" i="21"/>
  <c r="D105" i="20"/>
  <c r="F50" i="113"/>
  <c r="K50" i="113" s="1"/>
  <c r="M50" i="113" s="1"/>
  <c r="D109" i="112"/>
  <c r="K46" i="31"/>
  <c r="L46" i="31" s="1"/>
  <c r="I46" i="31"/>
  <c r="F13" i="91"/>
  <c r="D56" i="90"/>
  <c r="K42" i="36"/>
  <c r="I42" i="36"/>
  <c r="Y48" i="84"/>
  <c r="F33" i="51"/>
  <c r="J33" i="51" s="1"/>
  <c r="E88" i="63"/>
  <c r="E101" i="63" s="1"/>
  <c r="D61" i="50"/>
  <c r="E44" i="36"/>
  <c r="D104" i="35"/>
  <c r="F116" i="63"/>
  <c r="J63" i="87"/>
  <c r="D13" i="79"/>
  <c r="M44" i="37"/>
  <c r="M63" i="37" s="1"/>
  <c r="M604" i="94" s="1"/>
  <c r="D442" i="94"/>
  <c r="F50" i="2"/>
  <c r="K50" i="2" s="1"/>
  <c r="M50" i="2" s="1"/>
  <c r="C50" i="2"/>
  <c r="L111" i="63"/>
  <c r="D109" i="1"/>
  <c r="G921" i="94"/>
  <c r="G98" i="106"/>
  <c r="G1006" i="94" s="1"/>
  <c r="D13" i="104"/>
  <c r="F23" i="105"/>
  <c r="D59" i="104"/>
  <c r="F603" i="94"/>
  <c r="F91" i="42"/>
  <c r="M269" i="94"/>
  <c r="Q15" i="100"/>
  <c r="AI15" i="100" s="1"/>
  <c r="D118" i="103"/>
  <c r="Z36" i="65"/>
  <c r="D109" i="103"/>
  <c r="D80" i="103"/>
  <c r="T30" i="65"/>
  <c r="D24" i="95"/>
  <c r="D105" i="108"/>
  <c r="F46" i="109"/>
  <c r="F23" i="16"/>
  <c r="H52" i="63"/>
  <c r="D13" i="15"/>
  <c r="D59" i="15"/>
  <c r="B18" i="46"/>
  <c r="M262" i="94"/>
  <c r="P18" i="100"/>
  <c r="M894" i="94"/>
  <c r="B61" i="2"/>
  <c r="F57" i="2"/>
  <c r="F61" i="2" s="1"/>
  <c r="D113" i="50"/>
  <c r="E45" i="51"/>
  <c r="F45" i="51" s="1"/>
  <c r="G119" i="63"/>
  <c r="G133" i="63" s="1"/>
  <c r="F46" i="86"/>
  <c r="F43" i="113"/>
  <c r="D103" i="112"/>
  <c r="D66" i="116"/>
  <c r="E26" i="117"/>
  <c r="E39" i="117" s="1"/>
  <c r="D15" i="116"/>
  <c r="P67" i="65"/>
  <c r="P68" i="65" s="1"/>
  <c r="L432" i="94"/>
  <c r="H18" i="74"/>
  <c r="K263" i="94"/>
  <c r="F24" i="65"/>
  <c r="G23" i="65"/>
  <c r="B23" i="65"/>
  <c r="D56" i="15"/>
  <c r="C13" i="16"/>
  <c r="G23" i="63"/>
  <c r="F13" i="16"/>
  <c r="U17" i="97"/>
  <c r="F49" i="36"/>
  <c r="K49" i="36" s="1"/>
  <c r="N49" i="36" s="1"/>
  <c r="K116" i="63"/>
  <c r="D108" i="35"/>
  <c r="I432" i="94"/>
  <c r="T67" i="65"/>
  <c r="T68" i="65" s="1"/>
  <c r="I25" i="97"/>
  <c r="E77" i="21"/>
  <c r="E80" i="21" s="1"/>
  <c r="D14" i="120"/>
  <c r="D11" i="45"/>
  <c r="D13" i="63"/>
  <c r="G432" i="94"/>
  <c r="D103" i="20"/>
  <c r="F43" i="21"/>
  <c r="E113" i="63"/>
  <c r="C43" i="21"/>
  <c r="M18" i="97"/>
  <c r="E54" i="63"/>
  <c r="E67" i="63" s="1"/>
  <c r="C19" i="26"/>
  <c r="F19" i="26"/>
  <c r="J19" i="26" s="1"/>
  <c r="I598" i="94"/>
  <c r="I91" i="27"/>
  <c r="H73" i="65"/>
  <c r="M44" i="92"/>
  <c r="D439" i="94"/>
  <c r="D18" i="79"/>
  <c r="D63" i="92"/>
  <c r="J1086" i="94"/>
  <c r="J1088" i="94" s="1"/>
  <c r="J1075" i="94"/>
  <c r="M479" i="94"/>
  <c r="X43" i="32"/>
  <c r="P11" i="100"/>
  <c r="M256" i="94"/>
  <c r="B18" i="2"/>
  <c r="X31" i="32"/>
  <c r="H15" i="74"/>
  <c r="D81" i="103"/>
  <c r="T33" i="65"/>
  <c r="D112" i="50"/>
  <c r="O119" i="63"/>
  <c r="O133" i="63" s="1"/>
  <c r="F53" i="51"/>
  <c r="K53" i="51" s="1"/>
  <c r="O53" i="51" s="1"/>
  <c r="M16" i="97"/>
  <c r="G11" i="109"/>
  <c r="J10" i="109"/>
  <c r="H91" i="92"/>
  <c r="H601" i="94"/>
  <c r="M37" i="94"/>
  <c r="L115" i="63"/>
  <c r="F50" i="31"/>
  <c r="K50" i="31" s="1"/>
  <c r="M50" i="31" s="1"/>
  <c r="M54" i="31" s="1"/>
  <c r="D109" i="30"/>
  <c r="E77" i="36"/>
  <c r="E80" i="36" s="1"/>
  <c r="F35" i="51"/>
  <c r="J35" i="51" s="1"/>
  <c r="G88" i="63"/>
  <c r="G101" i="63" s="1"/>
  <c r="D63" i="50"/>
  <c r="I91" i="42"/>
  <c r="I603" i="94"/>
  <c r="J442" i="94"/>
  <c r="J63" i="37"/>
  <c r="Y75" i="14"/>
  <c r="Y77" i="14" s="1"/>
  <c r="Y78" i="14" s="1"/>
  <c r="J5" i="81" s="1"/>
  <c r="X77" i="14"/>
  <c r="J14" i="26"/>
  <c r="M334" i="94"/>
  <c r="M1079" i="94" s="1"/>
  <c r="D600" i="94"/>
  <c r="D91" i="32"/>
  <c r="F53" i="26"/>
  <c r="K53" i="26" s="1"/>
  <c r="O53" i="26" s="1"/>
  <c r="D112" i="25"/>
  <c r="O114" i="63"/>
  <c r="O128" i="63" s="1"/>
  <c r="D109" i="35"/>
  <c r="F50" i="36"/>
  <c r="K50" i="36" s="1"/>
  <c r="M50" i="36" s="1"/>
  <c r="L116" i="63"/>
  <c r="D9" i="79"/>
  <c r="G63" i="87"/>
  <c r="B13" i="65"/>
  <c r="E13" i="65"/>
  <c r="B22" i="65"/>
  <c r="E22" i="65"/>
  <c r="Y39" i="27"/>
  <c r="K14" i="74"/>
  <c r="F50" i="91"/>
  <c r="K50" i="91" s="1"/>
  <c r="M50" i="91" s="1"/>
  <c r="D109" i="90"/>
  <c r="C48" i="41"/>
  <c r="F48" i="41"/>
  <c r="J117" i="63"/>
  <c r="J131" i="63" s="1"/>
  <c r="D107" i="40"/>
  <c r="X38" i="62"/>
  <c r="H63" i="37"/>
  <c r="H442" i="94"/>
  <c r="B19" i="51"/>
  <c r="M428" i="94"/>
  <c r="AB19" i="100"/>
  <c r="AJ19" i="100" s="1"/>
  <c r="R20" i="65"/>
  <c r="R26" i="65" s="1"/>
  <c r="R27" i="65" s="1"/>
  <c r="G263" i="94"/>
  <c r="M638" i="94"/>
  <c r="J25" i="97"/>
  <c r="L22" i="74"/>
  <c r="Y48" i="87"/>
  <c r="F63" i="37"/>
  <c r="F442" i="94"/>
  <c r="M567" i="94"/>
  <c r="C14" i="51"/>
  <c r="H30" i="63"/>
  <c r="H43" i="63" s="1"/>
  <c r="D57" i="50"/>
  <c r="F14" i="51"/>
  <c r="J14" i="51" s="1"/>
  <c r="M235" i="94"/>
  <c r="M1071" i="94" s="1"/>
  <c r="C10" i="2"/>
  <c r="D22" i="63"/>
  <c r="B15" i="2"/>
  <c r="D53" i="1"/>
  <c r="F10" i="2"/>
  <c r="H67" i="65"/>
  <c r="H68" i="65" s="1"/>
  <c r="AC20" i="100"/>
  <c r="AK20" i="100" s="1"/>
  <c r="X21" i="84"/>
  <c r="M444" i="94"/>
  <c r="K15" i="74"/>
  <c r="B66" i="21"/>
  <c r="F65" i="21"/>
  <c r="F66" i="21" s="1"/>
  <c r="H84" i="63"/>
  <c r="F36" i="31"/>
  <c r="D64" i="30"/>
  <c r="M165" i="94"/>
  <c r="M1066" i="94" s="1"/>
  <c r="B18" i="91"/>
  <c r="M255" i="94"/>
  <c r="P22" i="100"/>
  <c r="D112" i="104"/>
  <c r="F53" i="105"/>
  <c r="K53" i="105" s="1"/>
  <c r="O53" i="105" s="1"/>
  <c r="O54" i="105" s="1"/>
  <c r="F1121" i="94"/>
  <c r="D66" i="57"/>
  <c r="J98" i="84"/>
  <c r="J1005" i="94" s="1"/>
  <c r="J920" i="94"/>
  <c r="B51" i="65"/>
  <c r="E19" i="65"/>
  <c r="B19" i="65"/>
  <c r="D20" i="65"/>
  <c r="B54" i="113"/>
  <c r="M98" i="94"/>
  <c r="E14" i="100"/>
  <c r="AG14" i="100" s="1"/>
  <c r="D103" i="1"/>
  <c r="E111" i="63"/>
  <c r="F43" i="2"/>
  <c r="C43" i="2"/>
  <c r="D792" i="94"/>
  <c r="F38" i="113"/>
  <c r="J32" i="113"/>
  <c r="J38" i="113" s="1"/>
  <c r="N112" i="63"/>
  <c r="C52" i="16"/>
  <c r="D111" i="15"/>
  <c r="F52" i="16"/>
  <c r="K52" i="16" s="1"/>
  <c r="O52" i="16" s="1"/>
  <c r="D66" i="82"/>
  <c r="E26" i="83"/>
  <c r="F26" i="83" s="1"/>
  <c r="O54" i="113"/>
  <c r="K25" i="97"/>
  <c r="F19" i="117"/>
  <c r="J19" i="117" s="1"/>
  <c r="B50" i="65"/>
  <c r="F60" i="65"/>
  <c r="F61" i="65" s="1"/>
  <c r="Q14" i="100"/>
  <c r="AI14" i="100" s="1"/>
  <c r="M267" i="94"/>
  <c r="E29" i="109"/>
  <c r="F29" i="109" s="1"/>
  <c r="D67" i="108"/>
  <c r="D15" i="108"/>
  <c r="R30" i="92"/>
  <c r="J67" i="65"/>
  <c r="J68" i="65" s="1"/>
  <c r="D8" i="79"/>
  <c r="M44" i="14"/>
  <c r="M63" i="14" s="1"/>
  <c r="M602" i="94" s="1"/>
  <c r="D440" i="94"/>
  <c r="D63" i="14"/>
  <c r="D108" i="15"/>
  <c r="K112" i="63"/>
  <c r="F49" i="16"/>
  <c r="K49" i="16" s="1"/>
  <c r="N49" i="16" s="1"/>
  <c r="D125" i="63"/>
  <c r="M123" i="94"/>
  <c r="M1063" i="94" s="1"/>
  <c r="C48" i="83"/>
  <c r="D107" i="82"/>
  <c r="F48" i="83"/>
  <c r="B65" i="57"/>
  <c r="B18" i="16"/>
  <c r="M253" i="94"/>
  <c r="P12" i="100"/>
  <c r="K63" i="47"/>
  <c r="K446" i="94"/>
  <c r="J99" i="63"/>
  <c r="K86" i="63"/>
  <c r="X77" i="62"/>
  <c r="Y75" i="62"/>
  <c r="Y77" i="62" s="1"/>
  <c r="Y78" i="62" s="1"/>
  <c r="J13" i="81" s="1"/>
  <c r="D114" i="63"/>
  <c r="D102" i="25"/>
  <c r="F42" i="26"/>
  <c r="B54" i="26"/>
  <c r="C42" i="26"/>
  <c r="F48" i="91"/>
  <c r="D107" i="90"/>
  <c r="F49" i="91"/>
  <c r="K49" i="91" s="1"/>
  <c r="N49" i="91" s="1"/>
  <c r="D108" i="90"/>
  <c r="D17" i="103"/>
  <c r="F30" i="65"/>
  <c r="B29" i="65"/>
  <c r="M441" i="94"/>
  <c r="X21" i="42"/>
  <c r="AC17" i="100"/>
  <c r="AK17" i="100" s="1"/>
  <c r="M272" i="94"/>
  <c r="Q17" i="100"/>
  <c r="AI17" i="100" s="1"/>
  <c r="E921" i="94"/>
  <c r="E98" i="106"/>
  <c r="E1006" i="94" s="1"/>
  <c r="E17" i="68"/>
  <c r="L91" i="14"/>
  <c r="L602" i="94"/>
  <c r="D63" i="82"/>
  <c r="F35" i="83"/>
  <c r="B38" i="83"/>
  <c r="D14" i="82" s="1"/>
  <c r="Q12" i="100"/>
  <c r="AI12" i="100" s="1"/>
  <c r="M268" i="94"/>
  <c r="K42" i="109"/>
  <c r="I42" i="109"/>
  <c r="F920" i="94"/>
  <c r="F98" i="84"/>
  <c r="F1005" i="94" s="1"/>
  <c r="D72" i="83"/>
  <c r="D77" i="83" s="1"/>
  <c r="D80" i="83" s="1"/>
  <c r="D82" i="83" s="1"/>
  <c r="I53" i="63"/>
  <c r="E26" i="21"/>
  <c r="E39" i="21" s="1"/>
  <c r="D66" i="20"/>
  <c r="P16" i="100"/>
  <c r="B18" i="36"/>
  <c r="M258" i="94"/>
  <c r="E56" i="65"/>
  <c r="B56" i="65"/>
  <c r="B19" i="21"/>
  <c r="M420" i="94"/>
  <c r="AB13" i="100"/>
  <c r="AJ13" i="100" s="1"/>
  <c r="F57" i="16"/>
  <c r="F61" i="16" s="1"/>
  <c r="B61" i="16"/>
  <c r="T44" i="65"/>
  <c r="D83" i="103" s="1"/>
  <c r="B38" i="65"/>
  <c r="B64" i="65"/>
  <c r="F46" i="36"/>
  <c r="D105" i="35"/>
  <c r="H116" i="63"/>
  <c r="L600" i="94"/>
  <c r="L91" i="32"/>
  <c r="L117" i="63"/>
  <c r="L131" i="63" s="1"/>
  <c r="D109" i="40"/>
  <c r="C50" i="41"/>
  <c r="F50" i="41"/>
  <c r="K50" i="41" s="1"/>
  <c r="M50" i="41" s="1"/>
  <c r="M54" i="41" s="1"/>
  <c r="M56" i="41" s="1"/>
  <c r="N17" i="73" s="1"/>
  <c r="E446" i="94"/>
  <c r="E63" i="47"/>
  <c r="M44" i="47"/>
  <c r="D15" i="79"/>
  <c r="D113" i="90"/>
  <c r="E45" i="91"/>
  <c r="E54" i="91" s="1"/>
  <c r="B54" i="91"/>
  <c r="F23" i="51"/>
  <c r="D13" i="50"/>
  <c r="H59" i="63"/>
  <c r="H72" i="63" s="1"/>
  <c r="D59" i="50"/>
  <c r="J63" i="17"/>
  <c r="J437" i="94"/>
  <c r="Y39" i="87"/>
  <c r="E15" i="100"/>
  <c r="AG15" i="100" s="1"/>
  <c r="M100" i="94"/>
  <c r="K48" i="26"/>
  <c r="N48" i="26" s="1"/>
  <c r="I48" i="26"/>
  <c r="J11" i="102" s="1"/>
  <c r="I63" i="87"/>
  <c r="M79" i="94"/>
  <c r="H20" i="65"/>
  <c r="K42" i="113"/>
  <c r="I42" i="113"/>
  <c r="D103" i="25"/>
  <c r="E114" i="63"/>
  <c r="E128" i="63" s="1"/>
  <c r="C43" i="26"/>
  <c r="F43" i="26"/>
  <c r="F18" i="109"/>
  <c r="B20" i="109"/>
  <c r="B39" i="109" s="1"/>
  <c r="B68" i="109" s="1"/>
  <c r="F59" i="26"/>
  <c r="F61" i="26" s="1"/>
  <c r="B61" i="26"/>
  <c r="L119" i="63"/>
  <c r="L133" i="63" s="1"/>
  <c r="C50" i="51"/>
  <c r="D109" i="50"/>
  <c r="F50" i="51"/>
  <c r="K50" i="51" s="1"/>
  <c r="M50" i="51" s="1"/>
  <c r="D104" i="30"/>
  <c r="E44" i="31"/>
  <c r="F44" i="31" s="1"/>
  <c r="F115" i="63"/>
  <c r="T15" i="65"/>
  <c r="D78" i="103" s="1"/>
  <c r="M306" i="94"/>
  <c r="M1077" i="94" s="1"/>
  <c r="L18" i="74"/>
  <c r="Y48" i="47"/>
  <c r="M54" i="83"/>
  <c r="M56" i="83" s="1"/>
  <c r="N20" i="73" s="1"/>
  <c r="M97" i="94"/>
  <c r="E13" i="100"/>
  <c r="AG13" i="100" s="1"/>
  <c r="R30" i="22"/>
  <c r="AJ21" i="100"/>
  <c r="F19" i="86"/>
  <c r="J19" i="86" s="1"/>
  <c r="M836" i="94"/>
  <c r="T24" i="65"/>
  <c r="U23" i="65"/>
  <c r="U19" i="65"/>
  <c r="T20" i="65"/>
  <c r="M137" i="94"/>
  <c r="M1064" i="94" s="1"/>
  <c r="V25" i="100"/>
  <c r="X27" i="22"/>
  <c r="L73" i="65"/>
  <c r="R30" i="32"/>
  <c r="M102" i="94"/>
  <c r="E11" i="100"/>
  <c r="K601" i="94"/>
  <c r="K91" i="92"/>
  <c r="M25" i="100"/>
  <c r="X31" i="87"/>
  <c r="H22" i="74"/>
  <c r="F43" i="109"/>
  <c r="D103" i="108"/>
  <c r="K17" i="74"/>
  <c r="Y39" i="42"/>
  <c r="L15" i="65"/>
  <c r="X43" i="42"/>
  <c r="D27" i="57"/>
  <c r="F1058" i="94"/>
  <c r="N24" i="65"/>
  <c r="F601" i="94"/>
  <c r="F91" i="92"/>
  <c r="F42" i="117"/>
  <c r="D102" i="116"/>
  <c r="B54" i="117"/>
  <c r="D67" i="50"/>
  <c r="E29" i="51"/>
  <c r="F29" i="51" s="1"/>
  <c r="D15" i="50"/>
  <c r="J59" i="63"/>
  <c r="L91" i="87"/>
  <c r="G63" i="62"/>
  <c r="T25" i="100"/>
  <c r="F57" i="21"/>
  <c r="F61" i="21" s="1"/>
  <c r="B61" i="21"/>
  <c r="Y75" i="27"/>
  <c r="X77" i="27"/>
  <c r="M108" i="94"/>
  <c r="E18" i="100"/>
  <c r="AG18" i="100" s="1"/>
  <c r="D113" i="25"/>
  <c r="G114" i="63"/>
  <c r="G128" i="63" s="1"/>
  <c r="E45" i="26"/>
  <c r="F45" i="26"/>
  <c r="F51" i="83"/>
  <c r="X47" i="22"/>
  <c r="M13" i="74" s="1"/>
  <c r="B49" i="65"/>
  <c r="E49" i="65"/>
  <c r="D56" i="20"/>
  <c r="F13" i="21"/>
  <c r="G24" i="63"/>
  <c r="C13" i="21"/>
  <c r="K1088" i="94"/>
  <c r="X30" i="17"/>
  <c r="I12" i="74" s="1"/>
  <c r="D104" i="15"/>
  <c r="F112" i="63"/>
  <c r="E44" i="16"/>
  <c r="F44" i="16" s="1"/>
  <c r="B54" i="16"/>
  <c r="X43" i="62"/>
  <c r="F18" i="86"/>
  <c r="J34" i="16"/>
  <c r="F38" i="117"/>
  <c r="J32" i="117"/>
  <c r="K42" i="2"/>
  <c r="I42" i="2"/>
  <c r="H10" i="102" s="1"/>
  <c r="M117" i="63"/>
  <c r="M131" i="63" s="1"/>
  <c r="D51" i="41"/>
  <c r="D54" i="41" s="1"/>
  <c r="D68" i="41" s="1"/>
  <c r="D110" i="40"/>
  <c r="AH15" i="100"/>
  <c r="X31" i="84"/>
  <c r="H20" i="74"/>
  <c r="B52" i="65"/>
  <c r="E52" i="65"/>
  <c r="X77" i="32"/>
  <c r="Y75" i="32"/>
  <c r="Y77" i="32" s="1"/>
  <c r="Y78" i="32" s="1"/>
  <c r="J9" i="81" s="1"/>
  <c r="H60" i="65"/>
  <c r="H61" i="65" s="1"/>
  <c r="D66" i="45"/>
  <c r="I58" i="63"/>
  <c r="E26" i="46"/>
  <c r="E39" i="46" s="1"/>
  <c r="H111" i="63"/>
  <c r="F46" i="2"/>
  <c r="D105" i="1"/>
  <c r="C46" i="2"/>
  <c r="Y75" i="42"/>
  <c r="Y77" i="42" s="1"/>
  <c r="Y78" i="42" s="1"/>
  <c r="J11" i="81" s="1"/>
  <c r="X77" i="42"/>
  <c r="E98" i="42"/>
  <c r="E1002" i="94" s="1"/>
  <c r="E917" i="94"/>
  <c r="V67" i="65"/>
  <c r="V68" i="65" s="1"/>
  <c r="L21" i="74"/>
  <c r="Y48" i="92"/>
  <c r="N67" i="65"/>
  <c r="N68" i="65" s="1"/>
  <c r="L599" i="94"/>
  <c r="L91" i="17"/>
  <c r="F43" i="83"/>
  <c r="C43" i="83"/>
  <c r="D103" i="82"/>
  <c r="U19" i="97"/>
  <c r="M274" i="94"/>
  <c r="Q19" i="100"/>
  <c r="AI19" i="100" s="1"/>
  <c r="B45" i="57"/>
  <c r="M1100" i="94"/>
  <c r="D102" i="30"/>
  <c r="F42" i="31"/>
  <c r="D115" i="63"/>
  <c r="B54" i="31"/>
  <c r="M114" i="63"/>
  <c r="M128" i="63" s="1"/>
  <c r="D110" i="25"/>
  <c r="D51" i="26"/>
  <c r="D54" i="26" s="1"/>
  <c r="D68" i="26" s="1"/>
  <c r="D106" i="112"/>
  <c r="F47" i="113"/>
  <c r="K47" i="113" s="1"/>
  <c r="M47" i="113" s="1"/>
  <c r="F35" i="86"/>
  <c r="J35" i="86" s="1"/>
  <c r="M116" i="63"/>
  <c r="D51" i="36"/>
  <c r="D54" i="36" s="1"/>
  <c r="D110" i="35"/>
  <c r="F72" i="65"/>
  <c r="F73" i="65" s="1"/>
  <c r="D103" i="50"/>
  <c r="E119" i="63"/>
  <c r="E133" i="63" s="1"/>
  <c r="C43" i="51"/>
  <c r="F43" i="51"/>
  <c r="G63" i="37"/>
  <c r="G442" i="94"/>
  <c r="M445" i="94"/>
  <c r="AC23" i="100"/>
  <c r="X21" i="106"/>
  <c r="E26" i="2"/>
  <c r="D15" i="1"/>
  <c r="I51" i="63"/>
  <c r="D66" i="1"/>
  <c r="F1127" i="94"/>
  <c r="F1129" i="94" s="1"/>
  <c r="D72" i="57"/>
  <c r="D74" i="57" s="1"/>
  <c r="D27" i="103"/>
  <c r="H33" i="65"/>
  <c r="G436" i="94"/>
  <c r="G63" i="27"/>
  <c r="F98" i="110"/>
  <c r="D72" i="109"/>
  <c r="D77" i="109" s="1"/>
  <c r="D80" i="109" s="1"/>
  <c r="D15" i="45"/>
  <c r="I48" i="109"/>
  <c r="K48" i="109"/>
  <c r="N48" i="109" s="1"/>
  <c r="N54" i="109" s="1"/>
  <c r="K117" i="63"/>
  <c r="K131" i="63" s="1"/>
  <c r="D108" i="40"/>
  <c r="F49" i="41"/>
  <c r="K49" i="41" s="1"/>
  <c r="N49" i="41" s="1"/>
  <c r="H114" i="63"/>
  <c r="H128" i="63" s="1"/>
  <c r="D105" i="25"/>
  <c r="F46" i="26"/>
  <c r="C46" i="26"/>
  <c r="N113" i="63"/>
  <c r="F52" i="21"/>
  <c r="K52" i="21" s="1"/>
  <c r="O52" i="21" s="1"/>
  <c r="C52" i="21"/>
  <c r="D111" i="20"/>
  <c r="D15" i="65"/>
  <c r="E10" i="65"/>
  <c r="D57" i="20"/>
  <c r="F14" i="21"/>
  <c r="J14" i="21" s="1"/>
  <c r="H24" i="63"/>
  <c r="C14" i="21"/>
  <c r="L63" i="37"/>
  <c r="D113" i="82"/>
  <c r="E45" i="83"/>
  <c r="F45" i="83" s="1"/>
  <c r="R36" i="14"/>
  <c r="H5" i="81" s="1"/>
  <c r="X22" i="14"/>
  <c r="G11" i="74" s="1"/>
  <c r="R35" i="14"/>
  <c r="G13" i="65"/>
  <c r="F15" i="65"/>
  <c r="D15" i="103" s="1"/>
  <c r="F34" i="91"/>
  <c r="J34" i="91" s="1"/>
  <c r="D62" i="90"/>
  <c r="H19" i="74"/>
  <c r="K46" i="41"/>
  <c r="L46" i="41" s="1"/>
  <c r="I46" i="41"/>
  <c r="I12" i="102" s="1"/>
  <c r="E45" i="2"/>
  <c r="E54" i="2" s="1"/>
  <c r="D113" i="1"/>
  <c r="G111" i="63"/>
  <c r="D63" i="37"/>
  <c r="F13" i="51"/>
  <c r="C13" i="51"/>
  <c r="D56" i="50"/>
  <c r="G30" i="63"/>
  <c r="G43" i="63" s="1"/>
  <c r="L91" i="47"/>
  <c r="L608" i="94"/>
  <c r="D60" i="57"/>
  <c r="F1115" i="94"/>
  <c r="K11" i="74"/>
  <c r="E45" i="36"/>
  <c r="F45" i="36" s="1"/>
  <c r="G116" i="63"/>
  <c r="D113" i="35"/>
  <c r="E91" i="14"/>
  <c r="E602" i="94"/>
  <c r="D19" i="103"/>
  <c r="F36" i="65"/>
  <c r="B35" i="65"/>
  <c r="M270" i="94"/>
  <c r="Q22" i="100"/>
  <c r="AI22" i="100" s="1"/>
  <c r="B81" i="65"/>
  <c r="M652" i="94"/>
  <c r="E109" i="94"/>
  <c r="F608" i="94"/>
  <c r="F91" i="47"/>
  <c r="D106" i="90"/>
  <c r="F47" i="91"/>
  <c r="F440" i="94"/>
  <c r="F63" i="14"/>
  <c r="R30" i="62"/>
  <c r="E91" i="27"/>
  <c r="E598" i="94"/>
  <c r="E58" i="65"/>
  <c r="B58" i="65"/>
  <c r="P60" i="65"/>
  <c r="P61" i="65" s="1"/>
  <c r="Q48" i="65"/>
  <c r="F1075" i="94"/>
  <c r="F1086" i="94"/>
  <c r="F1088" i="94" s="1"/>
  <c r="E77" i="16"/>
  <c r="E80" i="16" s="1"/>
  <c r="M101" i="94"/>
  <c r="E22" i="100"/>
  <c r="AG22" i="100" s="1"/>
  <c r="F84" i="63"/>
  <c r="F34" i="31"/>
  <c r="D62" i="30"/>
  <c r="I602" i="94"/>
  <c r="I91" i="14"/>
  <c r="T72" i="65"/>
  <c r="T73" i="65" s="1"/>
  <c r="K1129" i="94"/>
  <c r="E16" i="100"/>
  <c r="AG16" i="100" s="1"/>
  <c r="M104" i="94"/>
  <c r="K118" i="63"/>
  <c r="F49" i="46"/>
  <c r="K49" i="46" s="1"/>
  <c r="N49" i="46" s="1"/>
  <c r="N54" i="46" s="1"/>
  <c r="N56" i="46" s="1"/>
  <c r="O18" i="73" s="1"/>
  <c r="D108" i="45"/>
  <c r="J63" i="106"/>
  <c r="J445" i="94"/>
  <c r="D105" i="90"/>
  <c r="F46" i="91"/>
  <c r="D66" i="112"/>
  <c r="E26" i="113"/>
  <c r="F26" i="113" s="1"/>
  <c r="X60" i="65"/>
  <c r="X61" i="65" s="1"/>
  <c r="B61" i="46"/>
  <c r="B41" i="65"/>
  <c r="D91" i="103"/>
  <c r="V36" i="65"/>
  <c r="F118" i="63"/>
  <c r="E44" i="46"/>
  <c r="E54" i="46" s="1"/>
  <c r="D104" i="45"/>
  <c r="F119" i="63"/>
  <c r="F133" i="63" s="1"/>
  <c r="E44" i="51"/>
  <c r="E54" i="51" s="1"/>
  <c r="D104" i="50"/>
  <c r="F37" i="51"/>
  <c r="J37" i="51" s="1"/>
  <c r="D65" i="50"/>
  <c r="I88" i="63"/>
  <c r="I101" i="63" s="1"/>
  <c r="X31" i="106"/>
  <c r="N20" i="65"/>
  <c r="F91" i="22"/>
  <c r="F597" i="94"/>
  <c r="M179" i="94"/>
  <c r="M1067" i="94" s="1"/>
  <c r="X38" i="17"/>
  <c r="H91" i="87"/>
  <c r="Y77" i="114"/>
  <c r="Y78" i="114" s="1"/>
  <c r="J19" i="81" s="1"/>
  <c r="M65" i="94"/>
  <c r="M103" i="94"/>
  <c r="E17" i="100"/>
  <c r="AG17" i="100" s="1"/>
  <c r="X30" i="47"/>
  <c r="I18" i="74" s="1"/>
  <c r="E45" i="109"/>
  <c r="F45" i="109" s="1"/>
  <c r="D113" i="108"/>
  <c r="AH21" i="100"/>
  <c r="D108" i="112"/>
  <c r="F49" i="113"/>
  <c r="K49" i="113" s="1"/>
  <c r="N49" i="113" s="1"/>
  <c r="F31" i="79"/>
  <c r="F36" i="79" s="1"/>
  <c r="E911" i="94"/>
  <c r="E98" i="22"/>
  <c r="E996" i="94" s="1"/>
  <c r="D60" i="65"/>
  <c r="D61" i="65" s="1"/>
  <c r="F11" i="51"/>
  <c r="J11" i="51" s="1"/>
  <c r="C11" i="51"/>
  <c r="E30" i="63"/>
  <c r="E43" i="63" s="1"/>
  <c r="D54" i="50"/>
  <c r="C18" i="41"/>
  <c r="F18" i="41"/>
  <c r="D57" i="63"/>
  <c r="N114" i="63"/>
  <c r="N128" i="63" s="1"/>
  <c r="D111" i="25"/>
  <c r="F52" i="26"/>
  <c r="K52" i="26" s="1"/>
  <c r="O52" i="26" s="1"/>
  <c r="C52" i="26"/>
  <c r="D10" i="79"/>
  <c r="M44" i="22"/>
  <c r="D435" i="94"/>
  <c r="D35" i="103"/>
  <c r="J30" i="65"/>
  <c r="D96" i="63"/>
  <c r="G14" i="65"/>
  <c r="B14" i="65"/>
  <c r="J32" i="109"/>
  <c r="J38" i="109" s="1"/>
  <c r="F38" i="109"/>
  <c r="D72" i="65"/>
  <c r="D73" i="65" s="1"/>
  <c r="B70" i="65"/>
  <c r="F19" i="83"/>
  <c r="C19" i="83"/>
  <c r="B20" i="83"/>
  <c r="W23" i="65"/>
  <c r="V24" i="65"/>
  <c r="V26" i="65" s="1"/>
  <c r="V27" i="65" s="1"/>
  <c r="M277" i="94"/>
  <c r="Q18" i="100"/>
  <c r="AI18" i="100" s="1"/>
  <c r="M84" i="94"/>
  <c r="E606" i="94"/>
  <c r="E91" i="84"/>
  <c r="E53" i="65"/>
  <c r="B53" i="65"/>
  <c r="B18" i="51"/>
  <c r="M259" i="94"/>
  <c r="P19" i="100"/>
  <c r="J33" i="46"/>
  <c r="F52" i="86"/>
  <c r="R60" i="65"/>
  <c r="R61" i="65" s="1"/>
  <c r="M427" i="94"/>
  <c r="AB16" i="100"/>
  <c r="AJ16" i="100" s="1"/>
  <c r="B19" i="36"/>
  <c r="D24" i="57"/>
  <c r="F1055" i="94"/>
  <c r="D113" i="63"/>
  <c r="F42" i="21"/>
  <c r="B54" i="21"/>
  <c r="C42" i="21"/>
  <c r="D102" i="20"/>
  <c r="F32" i="86"/>
  <c r="B38" i="86"/>
  <c r="D14" i="85" s="1"/>
  <c r="Y77" i="27"/>
  <c r="Y78" i="27" s="1"/>
  <c r="J8" i="81" s="1"/>
  <c r="F57" i="41"/>
  <c r="F61" i="41" s="1"/>
  <c r="B61" i="41"/>
  <c r="R33" i="65"/>
  <c r="D72" i="103"/>
  <c r="R35" i="106"/>
  <c r="R36" i="106"/>
  <c r="H17" i="81" s="1"/>
  <c r="X22" i="106"/>
  <c r="B66" i="16"/>
  <c r="F64" i="16"/>
  <c r="F66" i="16" s="1"/>
  <c r="E54" i="65"/>
  <c r="B54" i="65"/>
  <c r="H597" i="94"/>
  <c r="H91" i="22"/>
  <c r="L114" i="63"/>
  <c r="L128" i="63" s="1"/>
  <c r="D109" i="25"/>
  <c r="F50" i="26"/>
  <c r="K50" i="26" s="1"/>
  <c r="M50" i="26" s="1"/>
  <c r="M54" i="26" s="1"/>
  <c r="M56" i="26" s="1"/>
  <c r="N14" i="73" s="1"/>
  <c r="C50" i="26"/>
  <c r="Q13" i="100"/>
  <c r="AI13" i="100" s="1"/>
  <c r="M266" i="94"/>
  <c r="X31" i="114"/>
  <c r="K63" i="87"/>
  <c r="J111" i="63"/>
  <c r="D107" i="1"/>
  <c r="F48" i="2"/>
  <c r="C48" i="2"/>
  <c r="C47" i="51"/>
  <c r="I119" i="63"/>
  <c r="I133" i="63" s="1"/>
  <c r="F47" i="51"/>
  <c r="K47" i="51" s="1"/>
  <c r="M47" i="51" s="1"/>
  <c r="D106" i="50"/>
  <c r="M276" i="94"/>
  <c r="Q23" i="100"/>
  <c r="AI23" i="100" s="1"/>
  <c r="F24" i="95"/>
  <c r="F91" i="87"/>
  <c r="H438" i="94"/>
  <c r="H63" i="32"/>
  <c r="L63" i="92"/>
  <c r="M680" i="94"/>
  <c r="D71" i="103"/>
  <c r="R30" i="65"/>
  <c r="F57" i="36"/>
  <c r="F61" i="36" s="1"/>
  <c r="B61" i="36"/>
  <c r="M151" i="94"/>
  <c r="M1065" i="94" s="1"/>
  <c r="M539" i="94"/>
  <c r="M348" i="94"/>
  <c r="M1080" i="94" s="1"/>
  <c r="R36" i="37"/>
  <c r="H10" i="81" s="1"/>
  <c r="X22" i="37"/>
  <c r="G16" i="74" s="1"/>
  <c r="R35" i="37"/>
  <c r="X22" i="110"/>
  <c r="R36" i="110"/>
  <c r="H18" i="81" s="1"/>
  <c r="R35" i="110"/>
  <c r="V33" i="65"/>
  <c r="D90" i="103"/>
  <c r="L63" i="22"/>
  <c r="L435" i="94"/>
  <c r="L447" i="94" s="1"/>
  <c r="B15" i="51"/>
  <c r="D11" i="50" s="1"/>
  <c r="E77" i="51"/>
  <c r="E80" i="51" s="1"/>
  <c r="F11" i="26"/>
  <c r="J11" i="26" s="1"/>
  <c r="D54" i="25"/>
  <c r="E25" i="63"/>
  <c r="C11" i="26"/>
  <c r="X47" i="62"/>
  <c r="M19" i="74" s="1"/>
  <c r="Q36" i="14"/>
  <c r="G5" i="81" s="1"/>
  <c r="Q35" i="14"/>
  <c r="B66" i="31"/>
  <c r="F64" i="31"/>
  <c r="F66" i="31" s="1"/>
  <c r="Q11" i="100"/>
  <c r="AI11" i="100" s="1"/>
  <c r="M271" i="94"/>
  <c r="F34" i="86"/>
  <c r="J34" i="86" s="1"/>
  <c r="G91" i="84"/>
  <c r="G606" i="94"/>
  <c r="M792" i="94"/>
  <c r="M864" i="94"/>
  <c r="M595" i="94"/>
  <c r="S25" i="100"/>
  <c r="D51" i="31"/>
  <c r="D54" i="31" s="1"/>
  <c r="D68" i="31" s="1"/>
  <c r="D110" i="30"/>
  <c r="M115" i="63"/>
  <c r="K600" i="94"/>
  <c r="K91" i="32"/>
  <c r="D86" i="57"/>
  <c r="F1119" i="94"/>
  <c r="D65" i="57"/>
  <c r="F1120" i="94"/>
  <c r="U48" i="65"/>
  <c r="T60" i="65"/>
  <c r="T61" i="65" s="1"/>
  <c r="J63" i="62"/>
  <c r="J91" i="14"/>
  <c r="J602" i="94"/>
  <c r="B85" i="65"/>
  <c r="E116" i="63"/>
  <c r="F43" i="36"/>
  <c r="D103" i="35"/>
  <c r="K607" i="94"/>
  <c r="K91" i="106"/>
  <c r="E93" i="94"/>
  <c r="W18" i="97"/>
  <c r="F93" i="94"/>
  <c r="D102" i="40"/>
  <c r="B54" i="41"/>
  <c r="C42" i="41"/>
  <c r="F42" i="41"/>
  <c r="D117" i="63"/>
  <c r="C52" i="51"/>
  <c r="N119" i="63"/>
  <c r="N133" i="63" s="1"/>
  <c r="D111" i="50"/>
  <c r="F52" i="51"/>
  <c r="K52" i="51" s="1"/>
  <c r="O52" i="51" s="1"/>
  <c r="I52" i="63"/>
  <c r="E26" i="16"/>
  <c r="D66" i="15"/>
  <c r="M86" i="94"/>
  <c r="B83" i="65"/>
  <c r="F64" i="51"/>
  <c r="F66" i="51" s="1"/>
  <c r="B66" i="51"/>
  <c r="D108" i="116"/>
  <c r="F49" i="117"/>
  <c r="K49" i="117" s="1"/>
  <c r="N49" i="117" s="1"/>
  <c r="M666" i="94"/>
  <c r="F61" i="46"/>
  <c r="X77" i="92"/>
  <c r="Y75" i="92"/>
  <c r="Y77" i="92" s="1"/>
  <c r="Y78" i="92" s="1"/>
  <c r="J16" i="81" s="1"/>
  <c r="V60" i="65"/>
  <c r="V61" i="65" s="1"/>
  <c r="W48" i="65"/>
  <c r="Z44" i="65"/>
  <c r="F64" i="26"/>
  <c r="F66" i="26" s="1"/>
  <c r="B66" i="26"/>
  <c r="F48" i="36"/>
  <c r="J116" i="63"/>
  <c r="D107" i="35"/>
  <c r="F48" i="31"/>
  <c r="J115" i="63"/>
  <c r="D107" i="30"/>
  <c r="K19" i="65"/>
  <c r="J20" i="65"/>
  <c r="J26" i="65" s="1"/>
  <c r="J27" i="65" s="1"/>
  <c r="F53" i="16"/>
  <c r="K53" i="16" s="1"/>
  <c r="O53" i="16" s="1"/>
  <c r="O112" i="63"/>
  <c r="D112" i="15"/>
  <c r="M19" i="97"/>
  <c r="G27" i="63"/>
  <c r="D56" i="35"/>
  <c r="F13" i="36"/>
  <c r="G14" i="36" s="1"/>
  <c r="D104" i="108"/>
  <c r="E44" i="109"/>
  <c r="Y75" i="17"/>
  <c r="Y77" i="17" s="1"/>
  <c r="Y78" i="17" s="1"/>
  <c r="J6" i="81" s="1"/>
  <c r="X77" i="17"/>
  <c r="I597" i="94"/>
  <c r="I91" i="22"/>
  <c r="M525" i="94"/>
  <c r="E45" i="113"/>
  <c r="E54" i="113" s="1"/>
  <c r="D113" i="112"/>
  <c r="K432" i="94"/>
  <c r="O54" i="109"/>
  <c r="Y48" i="14"/>
  <c r="D66" i="108"/>
  <c r="E26" i="109"/>
  <c r="X47" i="118"/>
  <c r="Y48" i="118" s="1"/>
  <c r="D110" i="112"/>
  <c r="D51" i="113"/>
  <c r="D54" i="113" s="1"/>
  <c r="D68" i="113" s="1"/>
  <c r="N25" i="100"/>
  <c r="B19" i="31"/>
  <c r="B20" i="31" s="1"/>
  <c r="AB15" i="100"/>
  <c r="AJ15" i="100" s="1"/>
  <c r="M423" i="94"/>
  <c r="D1073" i="94"/>
  <c r="D1088" i="94" s="1"/>
  <c r="D1062" i="94"/>
  <c r="L1088" i="94"/>
  <c r="G440" i="94"/>
  <c r="G63" i="14"/>
  <c r="E63" i="62"/>
  <c r="B54" i="2"/>
  <c r="X43" i="114"/>
  <c r="E792" i="94"/>
  <c r="B54" i="105"/>
  <c r="D108" i="104"/>
  <c r="F49" i="105"/>
  <c r="M106" i="94"/>
  <c r="E20" i="100"/>
  <c r="AG20" i="100" s="1"/>
  <c r="J598" i="94"/>
  <c r="J91" i="27"/>
  <c r="D105" i="50"/>
  <c r="C46" i="51"/>
  <c r="H119" i="63"/>
  <c r="H133" i="63" s="1"/>
  <c r="F46" i="51"/>
  <c r="F37" i="86"/>
  <c r="J37" i="86" s="1"/>
  <c r="M44" i="110"/>
  <c r="X21" i="110" s="1"/>
  <c r="D63" i="110"/>
  <c r="D91" i="110" s="1"/>
  <c r="D104" i="82"/>
  <c r="E44" i="83"/>
  <c r="F20" i="65"/>
  <c r="G19" i="65"/>
  <c r="F36" i="26"/>
  <c r="J36" i="26" s="1"/>
  <c r="H83" i="63"/>
  <c r="D64" i="25"/>
  <c r="X21" i="87"/>
  <c r="E84" i="63"/>
  <c r="D61" i="30"/>
  <c r="F33" i="31"/>
  <c r="B38" i="31"/>
  <c r="D14" i="30" s="1"/>
  <c r="H98" i="42"/>
  <c r="H1002" i="94" s="1"/>
  <c r="H917" i="94"/>
  <c r="F65" i="86"/>
  <c r="F66" i="86" s="1"/>
  <c r="B66" i="86"/>
  <c r="D67" i="90"/>
  <c r="D15" i="90"/>
  <c r="E29" i="91"/>
  <c r="E39" i="91" s="1"/>
  <c r="M822" i="94"/>
  <c r="R73" i="65"/>
  <c r="M907" i="94"/>
  <c r="M908" i="94" s="1"/>
  <c r="Q36" i="87"/>
  <c r="Q35" i="87"/>
  <c r="K18" i="74"/>
  <c r="J119" i="63"/>
  <c r="J133" i="63" s="1"/>
  <c r="C48" i="51"/>
  <c r="D107" i="50"/>
  <c r="F48" i="51"/>
  <c r="Y75" i="87"/>
  <c r="Y77" i="87" s="1"/>
  <c r="Y78" i="87" s="1"/>
  <c r="X77" i="87"/>
  <c r="L91" i="62"/>
  <c r="L605" i="94"/>
  <c r="D103" i="30"/>
  <c r="E115" i="63"/>
  <c r="F43" i="31"/>
  <c r="H24" i="65"/>
  <c r="H58" i="63"/>
  <c r="F23" i="46"/>
  <c r="D13" i="45"/>
  <c r="D59" i="45"/>
  <c r="U25" i="100"/>
  <c r="F18" i="117"/>
  <c r="B20" i="117"/>
  <c r="B39" i="117" s="1"/>
  <c r="J60" i="65"/>
  <c r="J61" i="65" s="1"/>
  <c r="K48" i="65"/>
  <c r="D79" i="57"/>
  <c r="F63" i="62"/>
  <c r="J911" i="94"/>
  <c r="J98" i="22"/>
  <c r="J996" i="94" s="1"/>
  <c r="K440" i="94"/>
  <c r="K63" i="14"/>
  <c r="U11" i="97"/>
  <c r="O25" i="97"/>
  <c r="Q16" i="100"/>
  <c r="AI16" i="100" s="1"/>
  <c r="M273" i="94"/>
  <c r="H26" i="63"/>
  <c r="I26" i="63" s="1"/>
  <c r="J26" i="63" s="1"/>
  <c r="D57" i="30"/>
  <c r="F14" i="31"/>
  <c r="G14" i="31" s="1"/>
  <c r="I63" i="106"/>
  <c r="I445" i="94"/>
  <c r="B20" i="113"/>
  <c r="B39" i="113" s="1"/>
  <c r="B68" i="113" s="1"/>
  <c r="F18" i="113"/>
  <c r="I59" i="63"/>
  <c r="I72" i="63" s="1"/>
  <c r="D66" i="50"/>
  <c r="E26" i="51"/>
  <c r="E39" i="51" s="1"/>
  <c r="K11" i="65"/>
  <c r="B11" i="65"/>
  <c r="D113" i="30"/>
  <c r="G115" i="63"/>
  <c r="E45" i="31"/>
  <c r="F45" i="31" s="1"/>
  <c r="D72" i="117"/>
  <c r="D77" i="117" s="1"/>
  <c r="D80" i="117" s="1"/>
  <c r="F98" i="118"/>
  <c r="X22" i="114"/>
  <c r="K48" i="16"/>
  <c r="N48" i="16" s="1"/>
  <c r="I48" i="16"/>
  <c r="J19" i="102" s="1"/>
  <c r="Y75" i="37"/>
  <c r="Y77" i="37" s="1"/>
  <c r="Y78" i="37" s="1"/>
  <c r="J10" i="81" s="1"/>
  <c r="X77" i="37"/>
  <c r="F32" i="51"/>
  <c r="D88" i="63"/>
  <c r="B38" i="51"/>
  <c r="D14" i="50" s="1"/>
  <c r="D60" i="50"/>
  <c r="B19" i="2"/>
  <c r="AB11" i="100"/>
  <c r="M425" i="94"/>
  <c r="P25" i="97"/>
  <c r="H11" i="74"/>
  <c r="U22" i="97"/>
  <c r="W22" i="97" s="1"/>
  <c r="H63" i="14"/>
  <c r="H440" i="94"/>
  <c r="B61" i="51"/>
  <c r="F57" i="51"/>
  <c r="F61" i="51" s="1"/>
  <c r="H607" i="94"/>
  <c r="H91" i="106"/>
  <c r="B54" i="51"/>
  <c r="F42" i="51"/>
  <c r="C42" i="51"/>
  <c r="D119" i="63"/>
  <c r="D102" i="50"/>
  <c r="F36" i="51"/>
  <c r="J36" i="51" s="1"/>
  <c r="H88" i="63"/>
  <c r="H101" i="63" s="1"/>
  <c r="D64" i="50"/>
  <c r="B54" i="36"/>
  <c r="H12" i="74"/>
  <c r="F13" i="109"/>
  <c r="D56" i="108"/>
  <c r="K598" i="94"/>
  <c r="K91" i="27"/>
  <c r="D111" i="1"/>
  <c r="C52" i="2"/>
  <c r="N111" i="63"/>
  <c r="F52" i="2"/>
  <c r="K52" i="2" s="1"/>
  <c r="O52" i="2" s="1"/>
  <c r="O54" i="2" s="1"/>
  <c r="O56" i="2" s="1"/>
  <c r="P11" i="73" s="1"/>
  <c r="F91" i="27"/>
  <c r="F598" i="94"/>
  <c r="F33" i="65"/>
  <c r="D18" i="103"/>
  <c r="W15" i="97"/>
  <c r="H25" i="97"/>
  <c r="L14" i="74"/>
  <c r="Y48" i="27"/>
  <c r="F42" i="46"/>
  <c r="D102" i="45"/>
  <c r="B54" i="46"/>
  <c r="C42" i="46"/>
  <c r="D118" i="63"/>
  <c r="L18" i="101"/>
  <c r="H15" i="80"/>
  <c r="O16" i="98"/>
  <c r="M778" i="94"/>
  <c r="K119" i="63"/>
  <c r="K133" i="63" s="1"/>
  <c r="D108" i="50"/>
  <c r="F49" i="51"/>
  <c r="K49" i="51" s="1"/>
  <c r="N49" i="51" s="1"/>
  <c r="P13" i="100"/>
  <c r="M251" i="94"/>
  <c r="B18" i="21"/>
  <c r="M581" i="94"/>
  <c r="M463" i="94"/>
  <c r="H608" i="94"/>
  <c r="H91" i="47"/>
  <c r="L598" i="94"/>
  <c r="L91" i="27"/>
  <c r="I91" i="92"/>
  <c r="I601" i="94"/>
  <c r="J32" i="26"/>
  <c r="I606" i="94"/>
  <c r="I91" i="84"/>
  <c r="U16" i="97"/>
  <c r="J13" i="105"/>
  <c r="D82" i="103"/>
  <c r="T36" i="65"/>
  <c r="F14" i="16"/>
  <c r="J14" i="16" s="1"/>
  <c r="D57" i="15"/>
  <c r="H23" i="63"/>
  <c r="C14" i="16"/>
  <c r="J13" i="83"/>
  <c r="G14" i="83"/>
  <c r="Y48" i="37"/>
  <c r="L16" i="74"/>
  <c r="M320" i="94"/>
  <c r="M1078" i="94" s="1"/>
  <c r="E45" i="86"/>
  <c r="B54" i="86"/>
  <c r="K16" i="74"/>
  <c r="Y39" i="37"/>
  <c r="F25" i="100"/>
  <c r="G83" i="63"/>
  <c r="F35" i="26"/>
  <c r="J35" i="26" s="1"/>
  <c r="D63" i="25"/>
  <c r="M624" i="94"/>
  <c r="E29" i="83"/>
  <c r="F29" i="83" s="1"/>
  <c r="D15" i="82"/>
  <c r="D67" i="82"/>
  <c r="F42" i="83"/>
  <c r="D102" i="82"/>
  <c r="C42" i="83"/>
  <c r="B54" i="83"/>
  <c r="D60" i="90"/>
  <c r="F32" i="91"/>
  <c r="B38" i="91"/>
  <c r="D14" i="90" s="1"/>
  <c r="X47" i="110"/>
  <c r="J91" i="47"/>
  <c r="J608" i="94"/>
  <c r="H443" i="94"/>
  <c r="H63" i="62"/>
  <c r="R36" i="84"/>
  <c r="H14" i="81" s="1"/>
  <c r="X22" i="84"/>
  <c r="G20" i="74" s="1"/>
  <c r="R35" i="84"/>
  <c r="E45" i="16"/>
  <c r="F45" i="16" s="1"/>
  <c r="G112" i="63"/>
  <c r="D113" i="15"/>
  <c r="D595" i="94"/>
  <c r="E29" i="113"/>
  <c r="F29" i="113" s="1"/>
  <c r="D67" i="112"/>
  <c r="D15" i="112"/>
  <c r="X22" i="27"/>
  <c r="G14" i="74" s="1"/>
  <c r="R36" i="27"/>
  <c r="H8" i="81" s="1"/>
  <c r="R35" i="27"/>
  <c r="B59" i="65"/>
  <c r="L25" i="100"/>
  <c r="G25" i="100"/>
  <c r="K43" i="46"/>
  <c r="L43" i="46" s="1"/>
  <c r="E83" i="63"/>
  <c r="D61" i="25"/>
  <c r="F33" i="26"/>
  <c r="J33" i="26" s="1"/>
  <c r="J93" i="94"/>
  <c r="Y48" i="106"/>
  <c r="D56" i="112"/>
  <c r="F13" i="113"/>
  <c r="K437" i="94"/>
  <c r="K63" i="17"/>
  <c r="I46" i="46"/>
  <c r="I13" i="102" s="1"/>
  <c r="K46" i="46"/>
  <c r="L46" i="46" s="1"/>
  <c r="F91" i="32"/>
  <c r="F600" i="94"/>
  <c r="X47" i="114"/>
  <c r="F47" i="2"/>
  <c r="K47" i="2" s="1"/>
  <c r="M47" i="2" s="1"/>
  <c r="D106" i="1"/>
  <c r="I111" i="63"/>
  <c r="C47" i="2"/>
  <c r="X27" i="37"/>
  <c r="E77" i="109"/>
  <c r="E80" i="109" s="1"/>
  <c r="R30" i="118"/>
  <c r="E63" i="17"/>
  <c r="M694" i="94"/>
  <c r="J438" i="94"/>
  <c r="J63" i="32"/>
  <c r="G601" i="94"/>
  <c r="G91" i="92"/>
  <c r="Y39" i="22"/>
  <c r="K13" i="74"/>
  <c r="B19" i="91"/>
  <c r="F19" i="91" s="1"/>
  <c r="J19" i="91" s="1"/>
  <c r="AB22" i="100"/>
  <c r="AJ22" i="100" s="1"/>
  <c r="M424" i="94"/>
  <c r="K125" i="63"/>
  <c r="G91" i="22"/>
  <c r="B57" i="65"/>
  <c r="X22" i="17"/>
  <c r="G12" i="74" s="1"/>
  <c r="R36" i="17"/>
  <c r="H6" i="81" s="1"/>
  <c r="R35" i="17"/>
  <c r="M292" i="94"/>
  <c r="M1076" i="94" s="1"/>
  <c r="K47" i="117"/>
  <c r="M47" i="117" s="1"/>
  <c r="M54" i="117" s="1"/>
  <c r="F53" i="21"/>
  <c r="K53" i="21" s="1"/>
  <c r="O53" i="21" s="1"/>
  <c r="O113" i="63"/>
  <c r="D112" i="20"/>
  <c r="I922" i="94"/>
  <c r="I98" i="47"/>
  <c r="I1007" i="94" s="1"/>
  <c r="I600" i="94"/>
  <c r="I91" i="32"/>
  <c r="F57" i="83"/>
  <c r="F61" i="83" s="1"/>
  <c r="B61" i="83"/>
  <c r="P14" i="100"/>
  <c r="M252" i="94"/>
  <c r="B18" i="26"/>
  <c r="F13" i="2"/>
  <c r="C13" i="2"/>
  <c r="G22" i="63"/>
  <c r="D56" i="1"/>
  <c r="W25" i="100"/>
  <c r="L93" i="94"/>
  <c r="D106" i="108"/>
  <c r="F47" i="109"/>
  <c r="K47" i="109" s="1"/>
  <c r="M47" i="109" s="1"/>
  <c r="M54" i="109" s="1"/>
  <c r="E58" i="63"/>
  <c r="C19" i="46"/>
  <c r="F19" i="46"/>
  <c r="J19" i="46" s="1"/>
  <c r="E278" i="94"/>
  <c r="E91" i="37"/>
  <c r="E604" i="94"/>
  <c r="R36" i="87"/>
  <c r="D15" i="20"/>
  <c r="K46" i="113"/>
  <c r="L46" i="113" s="1"/>
  <c r="I46" i="113"/>
  <c r="L20" i="65"/>
  <c r="I14" i="46"/>
  <c r="I11" i="46"/>
  <c r="D67" i="65"/>
  <c r="D68" i="65" s="1"/>
  <c r="B63" i="65"/>
  <c r="D16" i="79"/>
  <c r="M44" i="62"/>
  <c r="D443" i="94"/>
  <c r="D63" i="62"/>
  <c r="F37" i="46"/>
  <c r="J37" i="46" s="1"/>
  <c r="I87" i="63"/>
  <c r="D65" i="45"/>
  <c r="D9" i="103"/>
  <c r="D33" i="65"/>
  <c r="B32" i="65"/>
  <c r="H437" i="94"/>
  <c r="H63" i="17"/>
  <c r="B18" i="105"/>
  <c r="M261" i="94"/>
  <c r="P23" i="100"/>
  <c r="L91" i="84"/>
  <c r="L606" i="94"/>
  <c r="B15" i="16"/>
  <c r="D8" i="120" s="1"/>
  <c r="D113" i="20"/>
  <c r="E45" i="21"/>
  <c r="F45" i="21" s="1"/>
  <c r="G113" i="63"/>
  <c r="F37" i="31"/>
  <c r="D65" i="30"/>
  <c r="I84" i="63"/>
  <c r="M553" i="94"/>
  <c r="F46" i="16"/>
  <c r="H112" i="63"/>
  <c r="D105" i="15"/>
  <c r="C46" i="16"/>
  <c r="F36" i="86"/>
  <c r="J36" i="86" s="1"/>
  <c r="B43" i="65"/>
  <c r="B71" i="65"/>
  <c r="F59" i="91"/>
  <c r="F61" i="91" s="1"/>
  <c r="B61" i="91"/>
  <c r="F47" i="36"/>
  <c r="K47" i="36" s="1"/>
  <c r="M47" i="36" s="1"/>
  <c r="M54" i="36" s="1"/>
  <c r="D106" i="35"/>
  <c r="I116" i="63"/>
  <c r="D104" i="40"/>
  <c r="E44" i="41"/>
  <c r="E54" i="41" s="1"/>
  <c r="F117" i="63"/>
  <c r="F131" i="63" s="1"/>
  <c r="D63" i="118"/>
  <c r="D91" i="118" s="1"/>
  <c r="M91" i="118" s="1"/>
  <c r="I63" i="62"/>
  <c r="E432" i="94"/>
  <c r="D35" i="79" s="1"/>
  <c r="E29" i="16"/>
  <c r="F29" i="16" s="1"/>
  <c r="D67" i="15"/>
  <c r="J52" i="63"/>
  <c r="D15" i="15"/>
  <c r="M850" i="94"/>
  <c r="F43" i="41"/>
  <c r="C43" i="41"/>
  <c r="E117" i="63"/>
  <c r="E131" i="63" s="1"/>
  <c r="D103" i="40"/>
  <c r="D55" i="63"/>
  <c r="F18" i="31"/>
  <c r="D98" i="47"/>
  <c r="D1007" i="94" s="1"/>
  <c r="D922" i="94"/>
  <c r="AB12" i="100"/>
  <c r="AJ12" i="100" s="1"/>
  <c r="B19" i="16"/>
  <c r="M422" i="94"/>
  <c r="D54" i="82"/>
  <c r="F11" i="83"/>
  <c r="J11" i="83" s="1"/>
  <c r="C11" i="83"/>
  <c r="L44" i="65"/>
  <c r="D47" i="103" s="1"/>
  <c r="L16" i="98"/>
  <c r="K18" i="101"/>
  <c r="E44" i="21"/>
  <c r="F44" i="21" s="1"/>
  <c r="D104" i="20"/>
  <c r="F113" i="63"/>
  <c r="X22" i="47"/>
  <c r="G18" i="74" s="1"/>
  <c r="R35" i="47"/>
  <c r="R36" i="47"/>
  <c r="H12" i="81" s="1"/>
  <c r="D107" i="20"/>
  <c r="J113" i="63"/>
  <c r="C48" i="21"/>
  <c r="F48" i="21"/>
  <c r="AH17" i="100"/>
  <c r="X25" i="100"/>
  <c r="Q20" i="100"/>
  <c r="AI20" i="100" s="1"/>
  <c r="M275" i="94"/>
  <c r="D106" i="15"/>
  <c r="I112" i="63"/>
  <c r="F47" i="16"/>
  <c r="C47" i="16"/>
  <c r="H1088" i="94"/>
  <c r="F38" i="21"/>
  <c r="J32" i="21"/>
  <c r="G98" i="42"/>
  <c r="G1002" i="94" s="1"/>
  <c r="G917" i="94"/>
  <c r="I98" i="37"/>
  <c r="I1003" i="94" s="1"/>
  <c r="I918" i="94"/>
  <c r="K603" i="94"/>
  <c r="K91" i="42"/>
  <c r="D110" i="15"/>
  <c r="M112" i="63"/>
  <c r="D51" i="16"/>
  <c r="D54" i="16" s="1"/>
  <c r="D51" i="51"/>
  <c r="D54" i="51" s="1"/>
  <c r="M119" i="63"/>
  <c r="M133" i="63" s="1"/>
  <c r="D110" i="50"/>
  <c r="Q35" i="37"/>
  <c r="Q36" i="37"/>
  <c r="G10" i="81" s="1"/>
  <c r="H14" i="74"/>
  <c r="X31" i="27"/>
  <c r="F53" i="86"/>
  <c r="K53" i="86" s="1"/>
  <c r="O53" i="86" s="1"/>
  <c r="I437" i="94"/>
  <c r="I63" i="17"/>
  <c r="G91" i="32"/>
  <c r="G600" i="94"/>
  <c r="D59" i="25"/>
  <c r="D13" i="25"/>
  <c r="H54" i="63"/>
  <c r="F23" i="26"/>
  <c r="F34" i="51"/>
  <c r="J34" i="51" s="1"/>
  <c r="D62" i="50"/>
  <c r="F88" i="63"/>
  <c r="F101" i="63" s="1"/>
  <c r="M63" i="84"/>
  <c r="M606" i="94" s="1"/>
  <c r="M90" i="94"/>
  <c r="Q36" i="17"/>
  <c r="G6" i="81" s="1"/>
  <c r="Q35" i="17"/>
  <c r="D68" i="105"/>
  <c r="J70" i="63"/>
  <c r="J44" i="65"/>
  <c r="D38" i="103" s="1"/>
  <c r="K91" i="22"/>
  <c r="K597" i="94"/>
  <c r="F64" i="2"/>
  <c r="F66" i="2" s="1"/>
  <c r="B66" i="2"/>
  <c r="Y77" i="84"/>
  <c r="Y78" i="84" s="1"/>
  <c r="J14" i="81" s="1"/>
  <c r="AJ20" i="100"/>
  <c r="B61" i="86"/>
  <c r="O25" i="100"/>
  <c r="L25" i="97"/>
  <c r="M17" i="97"/>
  <c r="M44" i="27"/>
  <c r="AG21" i="100"/>
  <c r="D61" i="90"/>
  <c r="F33" i="91"/>
  <c r="J33" i="91" s="1"/>
  <c r="B39" i="65"/>
  <c r="J91" i="92"/>
  <c r="J601" i="94"/>
  <c r="D110" i="108"/>
  <c r="D51" i="109"/>
  <c r="D54" i="109" s="1"/>
  <c r="D68" i="109" s="1"/>
  <c r="D72" i="113"/>
  <c r="D77" i="113" s="1"/>
  <c r="D80" i="113" s="1"/>
  <c r="F98" i="114"/>
  <c r="B15" i="36"/>
  <c r="F10" i="36"/>
  <c r="D27" i="63"/>
  <c r="D53" i="35"/>
  <c r="E19" i="100"/>
  <c r="AG19" i="100" s="1"/>
  <c r="M105" i="94"/>
  <c r="M750" i="94"/>
  <c r="C47" i="21"/>
  <c r="D106" i="20"/>
  <c r="I113" i="63"/>
  <c r="F47" i="21"/>
  <c r="K47" i="21" s="1"/>
  <c r="M47" i="21" s="1"/>
  <c r="M54" i="21" s="1"/>
  <c r="M56" i="21" s="1"/>
  <c r="N13" i="73" s="1"/>
  <c r="D1075" i="94"/>
  <c r="D104" i="25"/>
  <c r="E44" i="26"/>
  <c r="F44" i="26" s="1"/>
  <c r="F114" i="63"/>
  <c r="F128" i="63" s="1"/>
  <c r="M23" i="94"/>
  <c r="B23" i="57" s="1"/>
  <c r="C10" i="83"/>
  <c r="F10" i="83"/>
  <c r="B15" i="83"/>
  <c r="D53" i="82"/>
  <c r="W10" i="65"/>
  <c r="V15" i="65"/>
  <c r="D93" i="94"/>
  <c r="I11" i="117"/>
  <c r="I14" i="117"/>
  <c r="D11" i="112"/>
  <c r="G11" i="113"/>
  <c r="J10" i="113"/>
  <c r="D98" i="114"/>
  <c r="M91" i="114"/>
  <c r="D607" i="94"/>
  <c r="D91" i="106"/>
  <c r="M63" i="106"/>
  <c r="M607" i="94" s="1"/>
  <c r="M91" i="94"/>
  <c r="B15" i="105"/>
  <c r="D53" i="104"/>
  <c r="F10" i="105"/>
  <c r="F10" i="86"/>
  <c r="B15" i="86"/>
  <c r="M63" i="87"/>
  <c r="D91" i="87"/>
  <c r="D53" i="90"/>
  <c r="F10" i="91"/>
  <c r="B15" i="91"/>
  <c r="D105" i="103"/>
  <c r="Z16" i="65"/>
  <c r="G11" i="51"/>
  <c r="J10" i="51"/>
  <c r="D43" i="63"/>
  <c r="D41" i="63"/>
  <c r="G11" i="41"/>
  <c r="J10" i="41"/>
  <c r="M63" i="42"/>
  <c r="M603" i="94" s="1"/>
  <c r="M87" i="94"/>
  <c r="D91" i="42"/>
  <c r="D603" i="94"/>
  <c r="D11" i="40"/>
  <c r="D12" i="63"/>
  <c r="D13" i="120"/>
  <c r="D60" i="103"/>
  <c r="P16" i="65"/>
  <c r="D91" i="37"/>
  <c r="D604" i="94"/>
  <c r="M88" i="94"/>
  <c r="D11" i="120"/>
  <c r="D11" i="30"/>
  <c r="D10" i="63"/>
  <c r="F15" i="31"/>
  <c r="G11" i="31"/>
  <c r="D9" i="63"/>
  <c r="D10" i="120"/>
  <c r="D11" i="25"/>
  <c r="D38" i="63"/>
  <c r="J10" i="26"/>
  <c r="D33" i="103"/>
  <c r="J16" i="65"/>
  <c r="D91" i="22"/>
  <c r="D597" i="94"/>
  <c r="C10" i="21"/>
  <c r="F10" i="21"/>
  <c r="D24" i="63"/>
  <c r="B15" i="21"/>
  <c r="D53" i="20"/>
  <c r="M63" i="22"/>
  <c r="M597" i="94" s="1"/>
  <c r="M81" i="94"/>
  <c r="H15" i="65"/>
  <c r="M83" i="94"/>
  <c r="J10" i="16"/>
  <c r="G11" i="16"/>
  <c r="F16" i="65"/>
  <c r="G20" i="65" l="1"/>
  <c r="D18" i="120"/>
  <c r="D11" i="85"/>
  <c r="H1107" i="94"/>
  <c r="H1136" i="94" s="1"/>
  <c r="H1143" i="94" s="1"/>
  <c r="K21" i="101"/>
  <c r="L22" i="98"/>
  <c r="I1136" i="94"/>
  <c r="I1143" i="94" s="1"/>
  <c r="L1107" i="94"/>
  <c r="W24" i="65"/>
  <c r="K20" i="65"/>
  <c r="W15" i="65"/>
  <c r="E87" i="103" s="1"/>
  <c r="W20" i="65"/>
  <c r="Q24" i="65"/>
  <c r="Q20" i="65"/>
  <c r="K24" i="65"/>
  <c r="G24" i="65"/>
  <c r="G26" i="65" s="1"/>
  <c r="E20" i="65"/>
  <c r="K15" i="65"/>
  <c r="E33" i="103" s="1"/>
  <c r="E24" i="65"/>
  <c r="M54" i="2"/>
  <c r="M56" i="2" s="1"/>
  <c r="N11" i="73" s="1"/>
  <c r="B62" i="57"/>
  <c r="D108" i="56" s="1"/>
  <c r="K1107" i="94"/>
  <c r="D26" i="65"/>
  <c r="D27" i="65" s="1"/>
  <c r="N127" i="63"/>
  <c r="S48" i="65"/>
  <c r="C19" i="57"/>
  <c r="N24" i="101" s="1"/>
  <c r="N51" i="101" s="1"/>
  <c r="N55" i="101" s="1"/>
  <c r="F127" i="63"/>
  <c r="Q15" i="65"/>
  <c r="E60" i="103" s="1"/>
  <c r="U20" i="65"/>
  <c r="S19" i="65"/>
  <c r="S20" i="65" s="1"/>
  <c r="F132" i="63"/>
  <c r="E71" i="63"/>
  <c r="K132" i="63"/>
  <c r="I100" i="63"/>
  <c r="I71" i="63"/>
  <c r="E100" i="63"/>
  <c r="H71" i="63"/>
  <c r="J71" i="63"/>
  <c r="J132" i="63"/>
  <c r="I10" i="65"/>
  <c r="I48" i="65"/>
  <c r="M132" i="63"/>
  <c r="I23" i="65"/>
  <c r="I19" i="65"/>
  <c r="I20" i="65" s="1"/>
  <c r="U24" i="65"/>
  <c r="G132" i="63"/>
  <c r="I132" i="63"/>
  <c r="J38" i="117"/>
  <c r="L26" i="65"/>
  <c r="L27" i="65" s="1"/>
  <c r="C6" i="65"/>
  <c r="C58" i="65" s="1"/>
  <c r="D96" i="103"/>
  <c r="D61" i="103"/>
  <c r="D66" i="103" s="1"/>
  <c r="F61" i="103" s="1"/>
  <c r="P27" i="65"/>
  <c r="U15" i="65"/>
  <c r="E78" i="103" s="1"/>
  <c r="F38" i="41"/>
  <c r="E1136" i="94"/>
  <c r="E1143" i="94" s="1"/>
  <c r="F29" i="26"/>
  <c r="E39" i="26"/>
  <c r="I48" i="86"/>
  <c r="J21" i="102" s="1"/>
  <c r="F38" i="16"/>
  <c r="L19" i="101" s="1"/>
  <c r="I14" i="65"/>
  <c r="J85" i="63"/>
  <c r="K85" i="63" s="1"/>
  <c r="J38" i="16"/>
  <c r="K12" i="73" s="1"/>
  <c r="G1088" i="94"/>
  <c r="G1107" i="94" s="1"/>
  <c r="G1136" i="94" s="1"/>
  <c r="G1143" i="94" s="1"/>
  <c r="D72" i="105"/>
  <c r="D77" i="105" s="1"/>
  <c r="D80" i="105" s="1"/>
  <c r="D82" i="105" s="1"/>
  <c r="F98" i="106"/>
  <c r="F1006" i="94" s="1"/>
  <c r="F921" i="94"/>
  <c r="G599" i="94"/>
  <c r="I27" i="63"/>
  <c r="O127" i="63"/>
  <c r="R36" i="114"/>
  <c r="H19" i="81" s="1"/>
  <c r="G14" i="41"/>
  <c r="M54" i="86"/>
  <c r="L17" i="98"/>
  <c r="J23" i="41"/>
  <c r="J17" i="73" s="1"/>
  <c r="K12" i="101"/>
  <c r="D599" i="94"/>
  <c r="M63" i="118"/>
  <c r="H37" i="63"/>
  <c r="H98" i="27"/>
  <c r="H997" i="94" s="1"/>
  <c r="L127" i="63"/>
  <c r="G127" i="63"/>
  <c r="G37" i="63"/>
  <c r="B42" i="57"/>
  <c r="D67" i="56" s="1"/>
  <c r="I95" i="63"/>
  <c r="F15" i="41"/>
  <c r="I127" i="63"/>
  <c r="D82" i="109"/>
  <c r="G14" i="105"/>
  <c r="L23" i="80" s="1"/>
  <c r="E86" i="57"/>
  <c r="L603" i="94"/>
  <c r="L91" i="42"/>
  <c r="Y48" i="22"/>
  <c r="J66" i="63"/>
  <c r="Y39" i="47"/>
  <c r="Y39" i="84"/>
  <c r="D95" i="63"/>
  <c r="J38" i="105"/>
  <c r="K23" i="73" s="1"/>
  <c r="J14" i="46"/>
  <c r="J15" i="46" s="1"/>
  <c r="I18" i="73" s="1"/>
  <c r="G14" i="46"/>
  <c r="J127" i="63"/>
  <c r="C54" i="46"/>
  <c r="L1136" i="94"/>
  <c r="L1143" i="94" s="1"/>
  <c r="I66" i="63"/>
  <c r="J1107" i="94"/>
  <c r="J1136" i="94" s="1"/>
  <c r="J1143" i="94" s="1"/>
  <c r="H127" i="63"/>
  <c r="H66" i="63"/>
  <c r="E601" i="94"/>
  <c r="E91" i="92"/>
  <c r="I28" i="63"/>
  <c r="J28" i="63" s="1"/>
  <c r="Q36" i="22"/>
  <c r="G7" i="81" s="1"/>
  <c r="E54" i="83"/>
  <c r="M1125" i="94"/>
  <c r="E127" i="63"/>
  <c r="S58" i="65"/>
  <c r="X22" i="87"/>
  <c r="G22" i="74" s="1"/>
  <c r="I41" i="63"/>
  <c r="K606" i="94"/>
  <c r="D7" i="63"/>
  <c r="E39" i="2"/>
  <c r="E68" i="2" s="1"/>
  <c r="E82" i="2" s="1"/>
  <c r="G14" i="26"/>
  <c r="F29" i="91"/>
  <c r="J38" i="21"/>
  <c r="K13" i="73" s="1"/>
  <c r="D68" i="16"/>
  <c r="F25" i="73"/>
  <c r="F447" i="94"/>
  <c r="K127" i="63"/>
  <c r="F1059" i="94"/>
  <c r="F1107" i="94" s="1"/>
  <c r="J27" i="63"/>
  <c r="F51" i="21"/>
  <c r="C15" i="46"/>
  <c r="F13" i="63" s="1"/>
  <c r="H13" i="63" s="1"/>
  <c r="E68" i="51"/>
  <c r="F91" i="17"/>
  <c r="H447" i="94"/>
  <c r="Y23" i="114"/>
  <c r="F51" i="36"/>
  <c r="K604" i="94"/>
  <c r="M127" i="63"/>
  <c r="I52" i="65"/>
  <c r="E68" i="117"/>
  <c r="E82" i="117" s="1"/>
  <c r="F51" i="2"/>
  <c r="I7" i="65"/>
  <c r="I11" i="65"/>
  <c r="D68" i="36"/>
  <c r="I23" i="63"/>
  <c r="J23" i="63" s="1"/>
  <c r="O54" i="31"/>
  <c r="I22" i="65"/>
  <c r="R25" i="99"/>
  <c r="I54" i="65"/>
  <c r="J83" i="63"/>
  <c r="K83" i="63" s="1"/>
  <c r="B68" i="117"/>
  <c r="I25" i="63"/>
  <c r="J25" i="63" s="1"/>
  <c r="G447" i="94"/>
  <c r="D115" i="112"/>
  <c r="E108" i="112" s="1"/>
  <c r="I24" i="74"/>
  <c r="I39" i="74" s="1"/>
  <c r="G100" i="63"/>
  <c r="X23" i="102"/>
  <c r="I49" i="65"/>
  <c r="J24" i="74"/>
  <c r="J39" i="74" s="1"/>
  <c r="J603" i="94"/>
  <c r="J91" i="42"/>
  <c r="F42" i="63"/>
  <c r="H100" i="63"/>
  <c r="D100" i="63"/>
  <c r="H42" i="63"/>
  <c r="D42" i="63"/>
  <c r="L132" i="63"/>
  <c r="F100" i="63"/>
  <c r="F104" i="63" s="1"/>
  <c r="I171" i="63" s="1"/>
  <c r="O132" i="63"/>
  <c r="G42" i="63"/>
  <c r="X31" i="62"/>
  <c r="Y39" i="32"/>
  <c r="AB45" i="65"/>
  <c r="AB74" i="65" s="1"/>
  <c r="D11" i="15"/>
  <c r="I53" i="117"/>
  <c r="P116" i="63"/>
  <c r="Q116" i="63" s="1"/>
  <c r="I447" i="94"/>
  <c r="I56" i="65"/>
  <c r="I58" i="65"/>
  <c r="F51" i="31"/>
  <c r="F54" i="31" s="1"/>
  <c r="E68" i="41"/>
  <c r="E82" i="41" s="1"/>
  <c r="M114" i="71"/>
  <c r="M110" i="71"/>
  <c r="F51" i="51"/>
  <c r="F51" i="26"/>
  <c r="D33" i="57"/>
  <c r="F26" i="31"/>
  <c r="E39" i="31"/>
  <c r="E42" i="63"/>
  <c r="H132" i="63"/>
  <c r="N132" i="63"/>
  <c r="K17" i="101"/>
  <c r="L15" i="98"/>
  <c r="I15" i="64"/>
  <c r="G14" i="86"/>
  <c r="F45" i="91"/>
  <c r="F54" i="91" s="1"/>
  <c r="I53" i="65"/>
  <c r="F37" i="63"/>
  <c r="G95" i="63"/>
  <c r="E95" i="63"/>
  <c r="H95" i="63"/>
  <c r="E37" i="63"/>
  <c r="S7" i="65"/>
  <c r="S14" i="65"/>
  <c r="S11" i="65"/>
  <c r="S13" i="65"/>
  <c r="S52" i="65"/>
  <c r="S23" i="65"/>
  <c r="S10" i="65"/>
  <c r="S56" i="65"/>
  <c r="S53" i="65"/>
  <c r="S54" i="65"/>
  <c r="S22" i="65"/>
  <c r="S49" i="65"/>
  <c r="I13" i="65"/>
  <c r="H26" i="65"/>
  <c r="H27" i="65" s="1"/>
  <c r="X26" i="65"/>
  <c r="X27" i="65" s="1"/>
  <c r="M1132" i="94"/>
  <c r="N54" i="86"/>
  <c r="D28" i="57"/>
  <c r="B20" i="86"/>
  <c r="E54" i="86"/>
  <c r="E68" i="86" s="1"/>
  <c r="E82" i="86" s="1"/>
  <c r="J23" i="86"/>
  <c r="J22" i="73" s="1"/>
  <c r="B63" i="57"/>
  <c r="F63" i="57" s="1"/>
  <c r="K63" i="57" s="1"/>
  <c r="M63" i="57" s="1"/>
  <c r="M1075" i="94"/>
  <c r="C15" i="2"/>
  <c r="F6" i="63" s="1"/>
  <c r="H6" i="63" s="1"/>
  <c r="C15" i="16"/>
  <c r="F7" i="63" s="1"/>
  <c r="J15" i="41"/>
  <c r="I17" i="73" s="1"/>
  <c r="C15" i="51"/>
  <c r="F14" i="63" s="1"/>
  <c r="H14" i="63" s="1"/>
  <c r="C15" i="83"/>
  <c r="J38" i="46"/>
  <c r="K18" i="73" s="1"/>
  <c r="F26" i="65"/>
  <c r="F27" i="65" s="1"/>
  <c r="M63" i="110"/>
  <c r="B67" i="65"/>
  <c r="H606" i="94"/>
  <c r="H91" i="84"/>
  <c r="M91" i="84" s="1"/>
  <c r="D120" i="63"/>
  <c r="T26" i="65"/>
  <c r="E39" i="83"/>
  <c r="E68" i="83" s="1"/>
  <c r="E82" i="83" s="1"/>
  <c r="J23" i="91"/>
  <c r="J21" i="73" s="1"/>
  <c r="L21" i="98"/>
  <c r="K20" i="101"/>
  <c r="E98" i="87"/>
  <c r="D127" i="103"/>
  <c r="K18" i="98"/>
  <c r="M1086" i="94"/>
  <c r="D82" i="117"/>
  <c r="F26" i="51"/>
  <c r="E39" i="109"/>
  <c r="C20" i="83"/>
  <c r="D447" i="94"/>
  <c r="F44" i="51"/>
  <c r="F54" i="51" s="1"/>
  <c r="B61" i="57"/>
  <c r="F51" i="86"/>
  <c r="D54" i="86"/>
  <c r="D68" i="86" s="1"/>
  <c r="F26" i="86"/>
  <c r="O54" i="83"/>
  <c r="O56" i="83" s="1"/>
  <c r="P20" i="73" s="1"/>
  <c r="K42" i="86"/>
  <c r="L42" i="86" s="1"/>
  <c r="I42" i="86"/>
  <c r="H21" i="102" s="1"/>
  <c r="H13" i="101"/>
  <c r="I53" i="46"/>
  <c r="K13" i="102" s="1"/>
  <c r="Y48" i="110"/>
  <c r="F51" i="109"/>
  <c r="D68" i="51"/>
  <c r="F44" i="41"/>
  <c r="F44" i="83"/>
  <c r="F54" i="83" s="1"/>
  <c r="E54" i="109"/>
  <c r="F15" i="51"/>
  <c r="G15" i="65"/>
  <c r="E15" i="103" s="1"/>
  <c r="M54" i="113"/>
  <c r="K120" i="63"/>
  <c r="X21" i="32"/>
  <c r="J23" i="21"/>
  <c r="J13" i="73" s="1"/>
  <c r="L13" i="98"/>
  <c r="K16" i="101"/>
  <c r="D920" i="94"/>
  <c r="D98" i="84"/>
  <c r="D1005" i="94" s="1"/>
  <c r="D128" i="103"/>
  <c r="I42" i="16"/>
  <c r="H19" i="102" s="1"/>
  <c r="K42" i="16"/>
  <c r="L42" i="16" s="1"/>
  <c r="E39" i="16"/>
  <c r="D93" i="63"/>
  <c r="J80" i="63"/>
  <c r="M63" i="17"/>
  <c r="D98" i="118"/>
  <c r="M263" i="94"/>
  <c r="B31" i="57" s="1"/>
  <c r="M278" i="94"/>
  <c r="W19" i="97"/>
  <c r="F51" i="41"/>
  <c r="F54" i="41" s="1"/>
  <c r="E447" i="94"/>
  <c r="Q36" i="62"/>
  <c r="G13" i="81" s="1"/>
  <c r="E54" i="36"/>
  <c r="E68" i="36" s="1"/>
  <c r="E82" i="36" s="1"/>
  <c r="D39" i="79"/>
  <c r="G39" i="79" s="1"/>
  <c r="P45" i="65"/>
  <c r="P46" i="65" s="1"/>
  <c r="M54" i="105"/>
  <c r="F38" i="105"/>
  <c r="C54" i="16"/>
  <c r="AC15" i="100"/>
  <c r="AK15" i="100" s="1"/>
  <c r="D15" i="120"/>
  <c r="M437" i="94"/>
  <c r="C15" i="26"/>
  <c r="F9" i="63" s="1"/>
  <c r="H9" i="63" s="1"/>
  <c r="M54" i="51"/>
  <c r="M56" i="51" s="1"/>
  <c r="N19" i="73" s="1"/>
  <c r="O54" i="21"/>
  <c r="O56" i="21" s="1"/>
  <c r="P13" i="73" s="1"/>
  <c r="N54" i="26"/>
  <c r="N56" i="26" s="1"/>
  <c r="O14" i="73" s="1"/>
  <c r="F19" i="41"/>
  <c r="J19" i="41" s="1"/>
  <c r="E57" i="63"/>
  <c r="E70" i="63" s="1"/>
  <c r="C19" i="41"/>
  <c r="C20" i="41" s="1"/>
  <c r="F38" i="2"/>
  <c r="J32" i="2"/>
  <c r="J38" i="2" s="1"/>
  <c r="K11" i="73" s="1"/>
  <c r="P111" i="63"/>
  <c r="Q111" i="63" s="1"/>
  <c r="L91" i="106"/>
  <c r="X31" i="14"/>
  <c r="X21" i="17"/>
  <c r="F89" i="63"/>
  <c r="F1122" i="94"/>
  <c r="E54" i="16"/>
  <c r="M24" i="74"/>
  <c r="M39" i="74" s="1"/>
  <c r="D115" i="108"/>
  <c r="E102" i="108" s="1"/>
  <c r="M25" i="97"/>
  <c r="M63" i="114"/>
  <c r="K46" i="83"/>
  <c r="L46" i="83" s="1"/>
  <c r="I46" i="83"/>
  <c r="I15" i="102" s="1"/>
  <c r="E600" i="94"/>
  <c r="E91" i="32"/>
  <c r="F51" i="113"/>
  <c r="M1054" i="94"/>
  <c r="D14" i="63"/>
  <c r="F45" i="86"/>
  <c r="F26" i="2"/>
  <c r="F51" i="46"/>
  <c r="K48" i="117"/>
  <c r="N48" i="117" s="1"/>
  <c r="N54" i="117" s="1"/>
  <c r="I48" i="117"/>
  <c r="K48" i="105"/>
  <c r="N48" i="105" s="1"/>
  <c r="I48" i="105"/>
  <c r="J22" i="102" s="1"/>
  <c r="G14" i="117"/>
  <c r="G40" i="117" s="1"/>
  <c r="J13" i="117"/>
  <c r="J15" i="117" s="1"/>
  <c r="D58" i="30"/>
  <c r="D68" i="30" s="1"/>
  <c r="E53" i="30" s="1"/>
  <c r="D12" i="30"/>
  <c r="D17" i="30" s="1"/>
  <c r="E11" i="30" s="1"/>
  <c r="B39" i="31"/>
  <c r="E11" i="120" s="1"/>
  <c r="G11" i="120" s="1"/>
  <c r="D1107" i="94"/>
  <c r="D1136" i="94" s="1"/>
  <c r="D1143" i="94" s="1"/>
  <c r="D34" i="103"/>
  <c r="D39" i="103" s="1"/>
  <c r="J45" i="65"/>
  <c r="J74" i="65" s="1"/>
  <c r="G35" i="79"/>
  <c r="G36" i="79" s="1"/>
  <c r="K98" i="84"/>
  <c r="K1005" i="94" s="1"/>
  <c r="K920" i="94"/>
  <c r="K47" i="91"/>
  <c r="M47" i="91" s="1"/>
  <c r="M54" i="91" s="1"/>
  <c r="I53" i="91"/>
  <c r="K20" i="102" s="1"/>
  <c r="D7" i="120"/>
  <c r="D6" i="63"/>
  <c r="D11" i="1"/>
  <c r="M1115" i="94"/>
  <c r="B60" i="57"/>
  <c r="J38" i="26"/>
  <c r="K14" i="73" s="1"/>
  <c r="K91" i="87"/>
  <c r="AH19" i="100"/>
  <c r="C54" i="41"/>
  <c r="F922" i="94"/>
  <c r="D72" i="46"/>
  <c r="D77" i="46" s="1"/>
  <c r="D80" i="46" s="1"/>
  <c r="D82" i="46" s="1"/>
  <c r="F98" i="47"/>
  <c r="F1007" i="94" s="1"/>
  <c r="F18" i="16"/>
  <c r="D52" i="63"/>
  <c r="B20" i="16"/>
  <c r="B39" i="16" s="1"/>
  <c r="J19" i="80" s="1"/>
  <c r="K19" i="80" s="1"/>
  <c r="C18" i="16"/>
  <c r="B24" i="65"/>
  <c r="G913" i="94"/>
  <c r="G98" i="17"/>
  <c r="G998" i="94" s="1"/>
  <c r="I91" i="17"/>
  <c r="I599" i="94"/>
  <c r="D98" i="110"/>
  <c r="M91" i="110"/>
  <c r="G98" i="84"/>
  <c r="G1005" i="94" s="1"/>
  <c r="G920" i="94"/>
  <c r="F18" i="51"/>
  <c r="B20" i="51"/>
  <c r="C18" i="51"/>
  <c r="D59" i="63"/>
  <c r="I46" i="26"/>
  <c r="I11" i="102" s="1"/>
  <c r="K46" i="26"/>
  <c r="L46" i="26" s="1"/>
  <c r="K43" i="26"/>
  <c r="L43" i="26" s="1"/>
  <c r="I53" i="26"/>
  <c r="K11" i="102" s="1"/>
  <c r="K46" i="36"/>
  <c r="L46" i="36" s="1"/>
  <c r="I46" i="36"/>
  <c r="B64" i="57"/>
  <c r="D87" i="57"/>
  <c r="M1119" i="94"/>
  <c r="I915" i="94"/>
  <c r="I98" i="92"/>
  <c r="I1000" i="94" s="1"/>
  <c r="F19" i="36"/>
  <c r="E56" i="63"/>
  <c r="J607" i="94"/>
  <c r="J91" i="106"/>
  <c r="I53" i="83"/>
  <c r="K15" i="102" s="1"/>
  <c r="K43" i="83"/>
  <c r="L43" i="83" s="1"/>
  <c r="D115" i="15"/>
  <c r="E106" i="15" s="1"/>
  <c r="B60" i="65"/>
  <c r="J915" i="94"/>
  <c r="J98" i="92"/>
  <c r="J1000" i="94" s="1"/>
  <c r="G35" i="63"/>
  <c r="G31" i="63"/>
  <c r="I607" i="94"/>
  <c r="I91" i="106"/>
  <c r="J605" i="94"/>
  <c r="J91" i="62"/>
  <c r="B72" i="65"/>
  <c r="H98" i="87"/>
  <c r="E98" i="27"/>
  <c r="E997" i="94" s="1"/>
  <c r="E912" i="94"/>
  <c r="L98" i="17"/>
  <c r="L998" i="94" s="1"/>
  <c r="L913" i="94"/>
  <c r="N26" i="65"/>
  <c r="N27" i="65" s="1"/>
  <c r="L920" i="94"/>
  <c r="L98" i="84"/>
  <c r="L1005" i="94" s="1"/>
  <c r="R35" i="118"/>
  <c r="X22" i="118"/>
  <c r="Y23" i="118" s="1"/>
  <c r="Y49" i="118" s="1"/>
  <c r="R36" i="118"/>
  <c r="H20" i="81" s="1"/>
  <c r="M1110" i="94"/>
  <c r="B55" i="57"/>
  <c r="M1121" i="94"/>
  <c r="B66" i="57"/>
  <c r="G14" i="109"/>
  <c r="G40" i="109" s="1"/>
  <c r="J13" i="109"/>
  <c r="J15" i="109" s="1"/>
  <c r="N54" i="16"/>
  <c r="N56" i="16" s="1"/>
  <c r="O12" i="73" s="1"/>
  <c r="F12" i="74"/>
  <c r="Y23" i="17"/>
  <c r="L18" i="98"/>
  <c r="J23" i="46"/>
  <c r="J18" i="73" s="1"/>
  <c r="K13" i="101"/>
  <c r="H96" i="63"/>
  <c r="H89" i="63"/>
  <c r="I18" i="101"/>
  <c r="L15" i="80"/>
  <c r="E10" i="64"/>
  <c r="Q16" i="98"/>
  <c r="G40" i="36"/>
  <c r="H91" i="32"/>
  <c r="H600" i="94"/>
  <c r="E98" i="84"/>
  <c r="E1005" i="94" s="1"/>
  <c r="E920" i="94"/>
  <c r="Y23" i="106"/>
  <c r="Y49" i="106" s="1"/>
  <c r="I42" i="31"/>
  <c r="K42" i="31"/>
  <c r="J72" i="63"/>
  <c r="E53" i="63"/>
  <c r="E66" i="63" s="1"/>
  <c r="C19" i="21"/>
  <c r="F19" i="21"/>
  <c r="J19" i="21" s="1"/>
  <c r="D126" i="103"/>
  <c r="I48" i="83"/>
  <c r="J15" i="102" s="1"/>
  <c r="K48" i="83"/>
  <c r="N48" i="83" s="1"/>
  <c r="N54" i="83" s="1"/>
  <c r="N56" i="83" s="1"/>
  <c r="O20" i="73" s="1"/>
  <c r="D602" i="94"/>
  <c r="D91" i="14"/>
  <c r="I912" i="94"/>
  <c r="I98" i="27"/>
  <c r="I997" i="94" s="1"/>
  <c r="J91" i="87"/>
  <c r="F38" i="51"/>
  <c r="J32" i="51"/>
  <c r="J38" i="51" s="1"/>
  <c r="K19" i="73" s="1"/>
  <c r="D58" i="116"/>
  <c r="D12" i="116"/>
  <c r="D17" i="116" s="1"/>
  <c r="E11" i="116" s="1"/>
  <c r="I53" i="109"/>
  <c r="K43" i="109"/>
  <c r="L43" i="109" s="1"/>
  <c r="K42" i="26"/>
  <c r="F54" i="26"/>
  <c r="I42" i="26"/>
  <c r="H11" i="102" s="1"/>
  <c r="I14" i="109"/>
  <c r="I11" i="109"/>
  <c r="K46" i="109"/>
  <c r="L46" i="109" s="1"/>
  <c r="I46" i="109"/>
  <c r="J95" i="63"/>
  <c r="K82" i="63"/>
  <c r="I43" i="63"/>
  <c r="AH13" i="100"/>
  <c r="F20" i="113"/>
  <c r="J18" i="113"/>
  <c r="J20" i="113" s="1"/>
  <c r="H13" i="74"/>
  <c r="X31" i="22"/>
  <c r="D115" i="25"/>
  <c r="E103" i="25" s="1"/>
  <c r="J35" i="83"/>
  <c r="J38" i="83" s="1"/>
  <c r="K20" i="73" s="1"/>
  <c r="F38" i="83"/>
  <c r="K918" i="94"/>
  <c r="K98" i="37"/>
  <c r="K1003" i="94" s="1"/>
  <c r="I98" i="32"/>
  <c r="I999" i="94" s="1"/>
  <c r="I914" i="94"/>
  <c r="D115" i="104"/>
  <c r="E112" i="104" s="1"/>
  <c r="B59" i="57"/>
  <c r="M1114" i="94"/>
  <c r="G14" i="51"/>
  <c r="J13" i="51"/>
  <c r="J15" i="51" s="1"/>
  <c r="G91" i="87"/>
  <c r="B78" i="57"/>
  <c r="F78" i="57" s="1"/>
  <c r="M1133" i="94"/>
  <c r="L912" i="94"/>
  <c r="L98" i="27"/>
  <c r="L997" i="94" s="1"/>
  <c r="I42" i="51"/>
  <c r="H14" i="102" s="1"/>
  <c r="K42" i="51"/>
  <c r="F70" i="57"/>
  <c r="AH18" i="100"/>
  <c r="E54" i="26"/>
  <c r="E68" i="26" s="1"/>
  <c r="E82" i="26" s="1"/>
  <c r="D605" i="94"/>
  <c r="D91" i="62"/>
  <c r="F15" i="26"/>
  <c r="T16" i="65"/>
  <c r="M120" i="63"/>
  <c r="K48" i="21"/>
  <c r="N48" i="21" s="1"/>
  <c r="N54" i="21" s="1"/>
  <c r="N56" i="21" s="1"/>
  <c r="O13" i="73" s="1"/>
  <c r="I48" i="21"/>
  <c r="J16" i="102" s="1"/>
  <c r="I46" i="16"/>
  <c r="I19" i="102" s="1"/>
  <c r="K46" i="16"/>
  <c r="AK23" i="100"/>
  <c r="AH23" i="100"/>
  <c r="J13" i="2"/>
  <c r="G14" i="2"/>
  <c r="G98" i="22"/>
  <c r="G996" i="94" s="1"/>
  <c r="G911" i="94"/>
  <c r="K91" i="17"/>
  <c r="K599" i="94"/>
  <c r="W16" i="97"/>
  <c r="H922" i="94"/>
  <c r="H98" i="47"/>
  <c r="H1007" i="94" s="1"/>
  <c r="H98" i="106"/>
  <c r="H1006" i="94" s="1"/>
  <c r="H921" i="94"/>
  <c r="G40" i="31"/>
  <c r="I17" i="101"/>
  <c r="Q15" i="98"/>
  <c r="L18" i="80"/>
  <c r="M18" i="80" s="1"/>
  <c r="E13" i="64"/>
  <c r="I46" i="51"/>
  <c r="I14" i="102" s="1"/>
  <c r="K46" i="51"/>
  <c r="L46" i="51" s="1"/>
  <c r="Y48" i="114"/>
  <c r="F45" i="113"/>
  <c r="F26" i="16"/>
  <c r="Q25" i="100"/>
  <c r="O54" i="26"/>
  <c r="O56" i="26" s="1"/>
  <c r="P14" i="73" s="1"/>
  <c r="Y39" i="17"/>
  <c r="K12" i="74"/>
  <c r="D115" i="30"/>
  <c r="E113" i="30" s="1"/>
  <c r="F26" i="46"/>
  <c r="H19" i="80"/>
  <c r="I19" i="80" s="1"/>
  <c r="O12" i="98"/>
  <c r="K1136" i="94"/>
  <c r="K1143" i="94" s="1"/>
  <c r="L916" i="94"/>
  <c r="L98" i="14"/>
  <c r="L1001" i="94" s="1"/>
  <c r="D7" i="103"/>
  <c r="AH22" i="100"/>
  <c r="F20" i="74"/>
  <c r="Y23" i="84"/>
  <c r="Y49" i="84" s="1"/>
  <c r="N20" i="74" s="1"/>
  <c r="L15" i="74"/>
  <c r="Y48" i="32"/>
  <c r="X31" i="47"/>
  <c r="I46" i="86"/>
  <c r="I21" i="102" s="1"/>
  <c r="K46" i="86"/>
  <c r="D58" i="63"/>
  <c r="F18" i="46"/>
  <c r="C18" i="46"/>
  <c r="C20" i="46" s="1"/>
  <c r="B20" i="46"/>
  <c r="K23" i="101"/>
  <c r="L23" i="98"/>
  <c r="J23" i="105"/>
  <c r="J23" i="73" s="1"/>
  <c r="J447" i="94"/>
  <c r="P117" i="63"/>
  <c r="Q117" i="63" s="1"/>
  <c r="D131" i="63"/>
  <c r="P131" i="63" s="1"/>
  <c r="D115" i="90"/>
  <c r="E106" i="90" s="1"/>
  <c r="R35" i="32"/>
  <c r="X22" i="32"/>
  <c r="G15" i="74" s="1"/>
  <c r="R36" i="32"/>
  <c r="H9" i="81" s="1"/>
  <c r="H604" i="94"/>
  <c r="H91" i="37"/>
  <c r="AH14" i="100"/>
  <c r="H91" i="62"/>
  <c r="H605" i="94"/>
  <c r="W11" i="97"/>
  <c r="U25" i="97"/>
  <c r="D58" i="108"/>
  <c r="D68" i="108" s="1"/>
  <c r="E67" i="108" s="1"/>
  <c r="D12" i="108"/>
  <c r="D17" i="108" s="1"/>
  <c r="D35" i="63"/>
  <c r="I22" i="63"/>
  <c r="J22" i="63" s="1"/>
  <c r="F26" i="117"/>
  <c r="D82" i="113"/>
  <c r="G914" i="94"/>
  <c r="G98" i="32"/>
  <c r="G999" i="94" s="1"/>
  <c r="L12" i="101"/>
  <c r="O17" i="98"/>
  <c r="H13" i="80"/>
  <c r="I13" i="80" s="1"/>
  <c r="F20" i="109"/>
  <c r="J18" i="109"/>
  <c r="J20" i="109" s="1"/>
  <c r="Y23" i="42"/>
  <c r="F17" i="74"/>
  <c r="K43" i="21"/>
  <c r="L43" i="21" s="1"/>
  <c r="I53" i="21"/>
  <c r="K16" i="102" s="1"/>
  <c r="B73" i="57"/>
  <c r="F73" i="57" s="1"/>
  <c r="N25" i="80" s="1"/>
  <c r="M1128" i="94"/>
  <c r="K912" i="94"/>
  <c r="K98" i="27"/>
  <c r="K997" i="94" s="1"/>
  <c r="B26" i="57"/>
  <c r="M1057" i="94"/>
  <c r="F15" i="16"/>
  <c r="E599" i="94"/>
  <c r="E91" i="17"/>
  <c r="J916" i="94"/>
  <c r="J98" i="14"/>
  <c r="J1001" i="94" s="1"/>
  <c r="J19" i="83"/>
  <c r="J20" i="83" s="1"/>
  <c r="H20" i="73" s="1"/>
  <c r="F20" i="83"/>
  <c r="D111" i="56"/>
  <c r="F65" i="57"/>
  <c r="K65" i="57" s="1"/>
  <c r="O65" i="57" s="1"/>
  <c r="M1111" i="94"/>
  <c r="B56" i="57"/>
  <c r="I53" i="31"/>
  <c r="K43" i="31"/>
  <c r="L43" i="31" s="1"/>
  <c r="I48" i="31"/>
  <c r="K48" i="31"/>
  <c r="N48" i="31" s="1"/>
  <c r="N54" i="31" s="1"/>
  <c r="L601" i="94"/>
  <c r="L91" i="92"/>
  <c r="AK21" i="100"/>
  <c r="E87" i="57"/>
  <c r="B57" i="57"/>
  <c r="M1112" i="94"/>
  <c r="G91" i="27"/>
  <c r="G598" i="94"/>
  <c r="K98" i="92"/>
  <c r="K1000" i="94" s="1"/>
  <c r="K915" i="94"/>
  <c r="K47" i="16"/>
  <c r="M47" i="16" s="1"/>
  <c r="M54" i="16" s="1"/>
  <c r="M56" i="16" s="1"/>
  <c r="N12" i="73" s="1"/>
  <c r="I53" i="16"/>
  <c r="K19" i="102" s="1"/>
  <c r="B48" i="57"/>
  <c r="M1103" i="94"/>
  <c r="M443" i="94"/>
  <c r="X21" i="62"/>
  <c r="AC19" i="100"/>
  <c r="AK19" i="100" s="1"/>
  <c r="M63" i="62"/>
  <c r="M605" i="94" s="1"/>
  <c r="X31" i="37"/>
  <c r="H16" i="74"/>
  <c r="J32" i="91"/>
  <c r="J38" i="91" s="1"/>
  <c r="K21" i="73" s="1"/>
  <c r="F38" i="91"/>
  <c r="Q20" i="98"/>
  <c r="L20" i="80"/>
  <c r="M20" i="80" s="1"/>
  <c r="G40" i="83"/>
  <c r="I15" i="101"/>
  <c r="X31" i="17"/>
  <c r="AB25" i="100"/>
  <c r="AJ11" i="100"/>
  <c r="K48" i="36"/>
  <c r="N48" i="36" s="1"/>
  <c r="N54" i="36" s="1"/>
  <c r="I48" i="36"/>
  <c r="B58" i="57"/>
  <c r="E88" i="57"/>
  <c r="M1113" i="94"/>
  <c r="O54" i="51"/>
  <c r="O56" i="51" s="1"/>
  <c r="P19" i="73" s="1"/>
  <c r="K921" i="94"/>
  <c r="K98" i="106"/>
  <c r="K1006" i="94" s="1"/>
  <c r="L91" i="22"/>
  <c r="M91" i="22" s="1"/>
  <c r="L597" i="94"/>
  <c r="B47" i="57"/>
  <c r="M1102" i="94"/>
  <c r="F98" i="87"/>
  <c r="D77" i="86"/>
  <c r="D80" i="86" s="1"/>
  <c r="I48" i="2"/>
  <c r="J10" i="102" s="1"/>
  <c r="K48" i="2"/>
  <c r="N48" i="2" s="1"/>
  <c r="N54" i="2" s="1"/>
  <c r="N56" i="2" s="1"/>
  <c r="O11" i="73" s="1"/>
  <c r="E109" i="25"/>
  <c r="J32" i="86"/>
  <c r="J38" i="86" s="1"/>
  <c r="K22" i="73" s="1"/>
  <c r="F38" i="86"/>
  <c r="M1062" i="94"/>
  <c r="M1073" i="94"/>
  <c r="X22" i="62"/>
  <c r="G19" i="74" s="1"/>
  <c r="R35" i="62"/>
  <c r="R36" i="62"/>
  <c r="H13" i="81" s="1"/>
  <c r="G120" i="63"/>
  <c r="G125" i="63"/>
  <c r="E15" i="65"/>
  <c r="L17" i="74"/>
  <c r="Y48" i="42"/>
  <c r="X21" i="14"/>
  <c r="M440" i="94"/>
  <c r="AC11" i="100"/>
  <c r="AK11" i="100" s="1"/>
  <c r="B20" i="65"/>
  <c r="B24" i="57"/>
  <c r="M1055" i="94"/>
  <c r="M1094" i="94"/>
  <c r="O479" i="94" s="1"/>
  <c r="E85" i="57"/>
  <c r="B39" i="57"/>
  <c r="B33" i="65" s="1"/>
  <c r="D115" i="85"/>
  <c r="E113" i="85" s="1"/>
  <c r="F77" i="57"/>
  <c r="Z27" i="65"/>
  <c r="D106" i="103"/>
  <c r="D115" i="103"/>
  <c r="D115" i="82"/>
  <c r="E113" i="82" s="1"/>
  <c r="D53" i="63"/>
  <c r="F18" i="21"/>
  <c r="B20" i="21"/>
  <c r="B39" i="21" s="1"/>
  <c r="C18" i="21"/>
  <c r="H602" i="94"/>
  <c r="H91" i="14"/>
  <c r="K42" i="21"/>
  <c r="I42" i="21"/>
  <c r="H16" i="102" s="1"/>
  <c r="F54" i="21"/>
  <c r="J18" i="41"/>
  <c r="J599" i="94"/>
  <c r="J91" i="17"/>
  <c r="I917" i="94"/>
  <c r="I98" i="42"/>
  <c r="I1002" i="94" s="1"/>
  <c r="F19" i="16"/>
  <c r="J19" i="16" s="1"/>
  <c r="C19" i="16"/>
  <c r="E52" i="63"/>
  <c r="M432" i="94"/>
  <c r="I53" i="2"/>
  <c r="K10" i="102" s="1"/>
  <c r="K43" i="2"/>
  <c r="L43" i="2" s="1"/>
  <c r="J13" i="91"/>
  <c r="G14" i="91"/>
  <c r="F38" i="26"/>
  <c r="D115" i="50"/>
  <c r="A136" i="50" s="1"/>
  <c r="F20" i="117"/>
  <c r="F39" i="117" s="1"/>
  <c r="J18" i="117"/>
  <c r="J20" i="117" s="1"/>
  <c r="Y23" i="87"/>
  <c r="Y49" i="87" s="1"/>
  <c r="N22" i="74" s="1"/>
  <c r="F22" i="74"/>
  <c r="K914" i="94"/>
  <c r="K98" i="32"/>
  <c r="K999" i="94" s="1"/>
  <c r="R35" i="22"/>
  <c r="R36" i="22"/>
  <c r="H7" i="81" s="1"/>
  <c r="X22" i="22"/>
  <c r="G13" i="74" s="1"/>
  <c r="I30" i="63"/>
  <c r="J30" i="63" s="1"/>
  <c r="D115" i="35"/>
  <c r="E110" i="35" s="1"/>
  <c r="D58" i="112"/>
  <c r="D68" i="112" s="1"/>
  <c r="A92" i="112" s="1"/>
  <c r="D12" i="112"/>
  <c r="D17" i="112" s="1"/>
  <c r="E11" i="112" s="1"/>
  <c r="E107" i="30"/>
  <c r="L42" i="2"/>
  <c r="G605" i="94"/>
  <c r="G91" i="62"/>
  <c r="F26" i="21"/>
  <c r="J922" i="94"/>
  <c r="J98" i="47"/>
  <c r="J1007" i="94" s="1"/>
  <c r="D115" i="40"/>
  <c r="E102" i="40" s="1"/>
  <c r="E68" i="46"/>
  <c r="E82" i="46" s="1"/>
  <c r="X21" i="47"/>
  <c r="M446" i="94"/>
  <c r="AC18" i="100"/>
  <c r="AK18" i="100" s="1"/>
  <c r="M63" i="47"/>
  <c r="M608" i="94" s="1"/>
  <c r="L13" i="80"/>
  <c r="M13" i="80" s="1"/>
  <c r="I12" i="101"/>
  <c r="Q17" i="98"/>
  <c r="G40" i="41"/>
  <c r="E8" i="64"/>
  <c r="E54" i="21"/>
  <c r="E68" i="21" s="1"/>
  <c r="E82" i="21" s="1"/>
  <c r="F19" i="31"/>
  <c r="F20" i="31" s="1"/>
  <c r="E55" i="63"/>
  <c r="F55" i="63" s="1"/>
  <c r="K55" i="63" s="1"/>
  <c r="E91" i="47"/>
  <c r="E608" i="94"/>
  <c r="K11" i="101"/>
  <c r="J23" i="26"/>
  <c r="J14" i="73" s="1"/>
  <c r="L14" i="98"/>
  <c r="I89" i="63"/>
  <c r="F18" i="105"/>
  <c r="B20" i="105"/>
  <c r="B39" i="105" s="1"/>
  <c r="D115" i="1"/>
  <c r="E105" i="1" s="1"/>
  <c r="G14" i="113"/>
  <c r="G40" i="113" s="1"/>
  <c r="J13" i="113"/>
  <c r="J15" i="113" s="1"/>
  <c r="G96" i="63"/>
  <c r="G89" i="63"/>
  <c r="B36" i="57"/>
  <c r="B30" i="65" s="1"/>
  <c r="M1091" i="94"/>
  <c r="O463" i="94" s="1"/>
  <c r="C19" i="2"/>
  <c r="E51" i="63"/>
  <c r="F19" i="2"/>
  <c r="J19" i="2" s="1"/>
  <c r="F91" i="62"/>
  <c r="F605" i="94"/>
  <c r="L98" i="62"/>
  <c r="L1004" i="94" s="1"/>
  <c r="L919" i="94"/>
  <c r="F38" i="31"/>
  <c r="E605" i="94"/>
  <c r="E91" i="62"/>
  <c r="B46" i="57"/>
  <c r="M1101" i="94"/>
  <c r="E68" i="91"/>
  <c r="E82" i="91" s="1"/>
  <c r="D115" i="20"/>
  <c r="E102" i="20" s="1"/>
  <c r="K52" i="86"/>
  <c r="O52" i="86" s="1"/>
  <c r="O54" i="86" s="1"/>
  <c r="I53" i="86"/>
  <c r="K21" i="102" s="1"/>
  <c r="E39" i="113"/>
  <c r="E68" i="113" s="1"/>
  <c r="E82" i="113" s="1"/>
  <c r="D6" i="103"/>
  <c r="D16" i="65"/>
  <c r="F45" i="57"/>
  <c r="D60" i="56"/>
  <c r="F20" i="86"/>
  <c r="J18" i="86"/>
  <c r="J20" i="86" s="1"/>
  <c r="H22" i="73" s="1"/>
  <c r="L16" i="65"/>
  <c r="D42" i="103"/>
  <c r="L42" i="113"/>
  <c r="E109" i="40"/>
  <c r="L42" i="109"/>
  <c r="D22" i="79"/>
  <c r="B20" i="91"/>
  <c r="F18" i="91"/>
  <c r="B49" i="57"/>
  <c r="M1104" i="94"/>
  <c r="J91" i="37"/>
  <c r="J604" i="94"/>
  <c r="W17" i="97"/>
  <c r="L42" i="36"/>
  <c r="K48" i="51"/>
  <c r="N48" i="51" s="1"/>
  <c r="N54" i="51" s="1"/>
  <c r="N56" i="51" s="1"/>
  <c r="O19" i="73" s="1"/>
  <c r="I48" i="51"/>
  <c r="J14" i="102" s="1"/>
  <c r="D115" i="116"/>
  <c r="E102" i="116" s="1"/>
  <c r="B27" i="57"/>
  <c r="M1058" i="94"/>
  <c r="F604" i="94"/>
  <c r="F91" i="37"/>
  <c r="L125" i="63"/>
  <c r="L120" i="63"/>
  <c r="I42" i="83"/>
  <c r="H15" i="102" s="1"/>
  <c r="K42" i="83"/>
  <c r="D115" i="45"/>
  <c r="E108" i="45" s="1"/>
  <c r="F44" i="46"/>
  <c r="H120" i="63"/>
  <c r="H125" i="63"/>
  <c r="Z45" i="65"/>
  <c r="I42" i="46"/>
  <c r="H13" i="102" s="1"/>
  <c r="K42" i="46"/>
  <c r="K91" i="14"/>
  <c r="K602" i="94"/>
  <c r="K447" i="94"/>
  <c r="I91" i="87"/>
  <c r="E125" i="63"/>
  <c r="E120" i="63"/>
  <c r="E96" i="63"/>
  <c r="E89" i="63"/>
  <c r="P119" i="63"/>
  <c r="Q119" i="63" s="1"/>
  <c r="D133" i="63"/>
  <c r="P133" i="63" s="1"/>
  <c r="P112" i="63"/>
  <c r="Q112" i="63" s="1"/>
  <c r="F120" i="63"/>
  <c r="F98" i="17"/>
  <c r="F998" i="94" s="1"/>
  <c r="D72" i="16"/>
  <c r="D77" i="16" s="1"/>
  <c r="D80" i="16" s="1"/>
  <c r="F913" i="94"/>
  <c r="D128" i="63"/>
  <c r="P128" i="63" s="1"/>
  <c r="P114" i="63"/>
  <c r="Q114" i="63" s="1"/>
  <c r="D51" i="63"/>
  <c r="B20" i="2"/>
  <c r="F18" i="2"/>
  <c r="C18" i="2"/>
  <c r="N54" i="113"/>
  <c r="K43" i="113"/>
  <c r="L43" i="113" s="1"/>
  <c r="I53" i="113"/>
  <c r="M442" i="94"/>
  <c r="X21" i="37"/>
  <c r="AC16" i="100"/>
  <c r="D70" i="103"/>
  <c r="D75" i="103" s="1"/>
  <c r="F71" i="103" s="1"/>
  <c r="R45" i="65"/>
  <c r="G915" i="94"/>
  <c r="G98" i="92"/>
  <c r="G1000" i="94" s="1"/>
  <c r="F44" i="109"/>
  <c r="F54" i="109" s="1"/>
  <c r="P115" i="63"/>
  <c r="Q115" i="63" s="1"/>
  <c r="L98" i="87"/>
  <c r="J15" i="26"/>
  <c r="I14" i="73" s="1"/>
  <c r="F15" i="36"/>
  <c r="G11" i="36"/>
  <c r="F51" i="16"/>
  <c r="F54" i="16" s="1"/>
  <c r="C15" i="21"/>
  <c r="F8" i="63" s="1"/>
  <c r="H8" i="63" s="1"/>
  <c r="B39" i="51"/>
  <c r="E15" i="120" s="1"/>
  <c r="F15" i="113"/>
  <c r="D12" i="120"/>
  <c r="D11" i="35"/>
  <c r="D11" i="63"/>
  <c r="M109" i="94"/>
  <c r="H67" i="63"/>
  <c r="L921" i="94"/>
  <c r="L98" i="106"/>
  <c r="L1006" i="94" s="1"/>
  <c r="K917" i="94"/>
  <c r="K98" i="42"/>
  <c r="K1002" i="94" s="1"/>
  <c r="I91" i="62"/>
  <c r="I605" i="94"/>
  <c r="H599" i="94"/>
  <c r="H91" i="17"/>
  <c r="J91" i="32"/>
  <c r="J600" i="94"/>
  <c r="I125" i="63"/>
  <c r="I120" i="63"/>
  <c r="B50" i="57"/>
  <c r="M1105" i="94"/>
  <c r="P118" i="63"/>
  <c r="Q118" i="63" s="1"/>
  <c r="D132" i="63"/>
  <c r="D72" i="26"/>
  <c r="D77" i="26" s="1"/>
  <c r="D80" i="26" s="1"/>
  <c r="D82" i="26" s="1"/>
  <c r="F912" i="94"/>
  <c r="F98" i="27"/>
  <c r="F997" i="94" s="1"/>
  <c r="E82" i="51"/>
  <c r="B71" i="57"/>
  <c r="F71" i="57" s="1"/>
  <c r="M1126" i="94"/>
  <c r="G91" i="14"/>
  <c r="G602" i="94"/>
  <c r="J120" i="63"/>
  <c r="J125" i="63"/>
  <c r="H911" i="94"/>
  <c r="H98" i="22"/>
  <c r="H996" i="94" s="1"/>
  <c r="C54" i="21"/>
  <c r="F57" i="63"/>
  <c r="D70" i="63"/>
  <c r="F91" i="14"/>
  <c r="F602" i="94"/>
  <c r="F45" i="2"/>
  <c r="F54" i="2" s="1"/>
  <c r="G604" i="94"/>
  <c r="G91" i="37"/>
  <c r="J87" i="63"/>
  <c r="E25" i="100"/>
  <c r="AG11" i="100"/>
  <c r="M1127" i="94"/>
  <c r="B72" i="57"/>
  <c r="F72" i="57" s="1"/>
  <c r="K14" i="101"/>
  <c r="L19" i="98"/>
  <c r="J23" i="51"/>
  <c r="J19" i="73" s="1"/>
  <c r="B20" i="36"/>
  <c r="F18" i="36"/>
  <c r="D56" i="63"/>
  <c r="F56" i="63" s="1"/>
  <c r="I48" i="91"/>
  <c r="J20" i="102" s="1"/>
  <c r="K48" i="91"/>
  <c r="N48" i="91" s="1"/>
  <c r="N54" i="91" s="1"/>
  <c r="F15" i="2"/>
  <c r="J10" i="2"/>
  <c r="G11" i="2"/>
  <c r="F19" i="51"/>
  <c r="J19" i="51" s="1"/>
  <c r="C19" i="51"/>
  <c r="E59" i="63"/>
  <c r="E72" i="63" s="1"/>
  <c r="H98" i="92"/>
  <c r="H1000" i="94" s="1"/>
  <c r="H915" i="94"/>
  <c r="G14" i="16"/>
  <c r="J13" i="16"/>
  <c r="J15" i="16" s="1"/>
  <c r="H60" i="63"/>
  <c r="F44" i="36"/>
  <c r="F54" i="36" s="1"/>
  <c r="N125" i="63"/>
  <c r="N120" i="63"/>
  <c r="J88" i="63"/>
  <c r="D101" i="63"/>
  <c r="K43" i="36"/>
  <c r="L43" i="36" s="1"/>
  <c r="I53" i="36"/>
  <c r="D88" i="103"/>
  <c r="I916" i="94"/>
  <c r="I98" i="14"/>
  <c r="I1001" i="94" s="1"/>
  <c r="L922" i="94"/>
  <c r="L98" i="47"/>
  <c r="L1007" i="94" s="1"/>
  <c r="K46" i="2"/>
  <c r="L46" i="2" s="1"/>
  <c r="I46" i="2"/>
  <c r="I10" i="102" s="1"/>
  <c r="AK12" i="100"/>
  <c r="AH12" i="100"/>
  <c r="K91" i="62"/>
  <c r="K605" i="94"/>
  <c r="I42" i="41"/>
  <c r="H12" i="102" s="1"/>
  <c r="K42" i="41"/>
  <c r="P113" i="63"/>
  <c r="Q113" i="63" s="1"/>
  <c r="D127" i="63"/>
  <c r="K42" i="117"/>
  <c r="F54" i="117"/>
  <c r="I42" i="117"/>
  <c r="Y39" i="62"/>
  <c r="K19" i="74"/>
  <c r="K43" i="41"/>
  <c r="L43" i="41" s="1"/>
  <c r="I53" i="41"/>
  <c r="K12" i="102" s="1"/>
  <c r="E38" i="63"/>
  <c r="I38" i="63" s="1"/>
  <c r="E31" i="63"/>
  <c r="D12" i="82"/>
  <c r="D58" i="82"/>
  <c r="D68" i="82" s="1"/>
  <c r="E53" i="82" s="1"/>
  <c r="E98" i="14"/>
  <c r="E1001" i="94" s="1"/>
  <c r="E916" i="94"/>
  <c r="I60" i="63"/>
  <c r="I64" i="63"/>
  <c r="D914" i="94"/>
  <c r="D98" i="32"/>
  <c r="D999" i="94" s="1"/>
  <c r="AC22" i="100"/>
  <c r="AK22" i="100" s="1"/>
  <c r="M439" i="94"/>
  <c r="X21" i="92"/>
  <c r="M63" i="92"/>
  <c r="M601" i="94" s="1"/>
  <c r="F98" i="32"/>
  <c r="F999" i="94" s="1"/>
  <c r="F914" i="94"/>
  <c r="D72" i="31"/>
  <c r="D77" i="31" s="1"/>
  <c r="D80" i="31" s="1"/>
  <c r="D82" i="31" s="1"/>
  <c r="K49" i="105"/>
  <c r="I53" i="105"/>
  <c r="K22" i="102" s="1"/>
  <c r="F54" i="105"/>
  <c r="L604" i="94"/>
  <c r="L91" i="37"/>
  <c r="D72" i="91"/>
  <c r="D77" i="91" s="1"/>
  <c r="D80" i="91" s="1"/>
  <c r="D82" i="91" s="1"/>
  <c r="F98" i="92"/>
  <c r="F1000" i="94" s="1"/>
  <c r="F915" i="94"/>
  <c r="C54" i="51"/>
  <c r="Y23" i="110"/>
  <c r="Y49" i="110" s="1"/>
  <c r="X21" i="22"/>
  <c r="M435" i="94"/>
  <c r="AC13" i="100"/>
  <c r="AK13" i="100" s="1"/>
  <c r="I48" i="41"/>
  <c r="J12" i="102" s="1"/>
  <c r="K48" i="41"/>
  <c r="N48" i="41" s="1"/>
  <c r="N54" i="41" s="1"/>
  <c r="N56" i="41" s="1"/>
  <c r="O17" i="73" s="1"/>
  <c r="F98" i="42"/>
  <c r="F1002" i="94" s="1"/>
  <c r="D72" i="41"/>
  <c r="D77" i="41" s="1"/>
  <c r="D80" i="41" s="1"/>
  <c r="D82" i="41" s="1"/>
  <c r="F917" i="94"/>
  <c r="F15" i="74"/>
  <c r="Y23" i="32"/>
  <c r="L16" i="101"/>
  <c r="H17" i="80"/>
  <c r="I17" i="80" s="1"/>
  <c r="O13" i="98"/>
  <c r="J60" i="63"/>
  <c r="E98" i="37"/>
  <c r="E1003" i="94" s="1"/>
  <c r="E918" i="94"/>
  <c r="E54" i="31"/>
  <c r="E68" i="31" s="1"/>
  <c r="E82" i="31" s="1"/>
  <c r="O54" i="16"/>
  <c r="O56" i="16" s="1"/>
  <c r="P12" i="73" s="1"/>
  <c r="L12" i="80"/>
  <c r="M12" i="80" s="1"/>
  <c r="Q14" i="98"/>
  <c r="I11" i="101"/>
  <c r="E7" i="64"/>
  <c r="G40" i="26"/>
  <c r="AH11" i="100"/>
  <c r="P25" i="100"/>
  <c r="G11" i="26"/>
  <c r="H11" i="101" s="1"/>
  <c r="AC14" i="100"/>
  <c r="AK14" i="100" s="1"/>
  <c r="M436" i="94"/>
  <c r="X21" i="27"/>
  <c r="M63" i="27"/>
  <c r="M598" i="94" s="1"/>
  <c r="K98" i="22"/>
  <c r="K996" i="94" s="1"/>
  <c r="K911" i="94"/>
  <c r="E103" i="40"/>
  <c r="C18" i="26"/>
  <c r="C20" i="26" s="1"/>
  <c r="B20" i="26"/>
  <c r="F18" i="26"/>
  <c r="D54" i="63"/>
  <c r="C54" i="83"/>
  <c r="H31" i="63"/>
  <c r="I920" i="94"/>
  <c r="I98" i="84"/>
  <c r="I1005" i="94" s="1"/>
  <c r="J84" i="63"/>
  <c r="K84" i="63" s="1"/>
  <c r="J912" i="94"/>
  <c r="J98" i="27"/>
  <c r="J997" i="94" s="1"/>
  <c r="F26" i="109"/>
  <c r="I98" i="22"/>
  <c r="I996" i="94" s="1"/>
  <c r="I911" i="94"/>
  <c r="O120" i="63"/>
  <c r="D110" i="103"/>
  <c r="D119" i="103"/>
  <c r="F38" i="46"/>
  <c r="D12" i="40"/>
  <c r="D17" i="40" s="1"/>
  <c r="E11" i="40" s="1"/>
  <c r="D58" i="40"/>
  <c r="D68" i="40" s="1"/>
  <c r="E53" i="40" s="1"/>
  <c r="F911" i="94"/>
  <c r="D72" i="21"/>
  <c r="D77" i="21" s="1"/>
  <c r="D80" i="21" s="1"/>
  <c r="D82" i="21" s="1"/>
  <c r="F98" i="22"/>
  <c r="F996" i="94" s="1"/>
  <c r="E104" i="45"/>
  <c r="I46" i="91"/>
  <c r="I20" i="102" s="1"/>
  <c r="K46" i="91"/>
  <c r="K43" i="51"/>
  <c r="L43" i="51" s="1"/>
  <c r="I53" i="51"/>
  <c r="K14" i="102" s="1"/>
  <c r="L19" i="74"/>
  <c r="Y48" i="62"/>
  <c r="G14" i="21"/>
  <c r="J13" i="21"/>
  <c r="L98" i="32"/>
  <c r="L999" i="94" s="1"/>
  <c r="L914" i="94"/>
  <c r="B44" i="65"/>
  <c r="AK16" i="100"/>
  <c r="AH16" i="100"/>
  <c r="C54" i="26"/>
  <c r="K91" i="47"/>
  <c r="K608" i="94"/>
  <c r="R36" i="92"/>
  <c r="H16" i="81" s="1"/>
  <c r="R35" i="92"/>
  <c r="X22" i="92"/>
  <c r="G21" i="74" s="1"/>
  <c r="F15" i="109"/>
  <c r="D601" i="94"/>
  <c r="D91" i="92"/>
  <c r="L12" i="98"/>
  <c r="J23" i="16"/>
  <c r="J12" i="73" s="1"/>
  <c r="K19" i="101"/>
  <c r="K46" i="21"/>
  <c r="L46" i="21" s="1"/>
  <c r="I46" i="21"/>
  <c r="I16" i="102" s="1"/>
  <c r="D89" i="63"/>
  <c r="P82" i="118"/>
  <c r="M98" i="118"/>
  <c r="B72" i="117"/>
  <c r="B77" i="117" s="1"/>
  <c r="S83" i="118"/>
  <c r="B15" i="119"/>
  <c r="S85" i="118"/>
  <c r="G11" i="83"/>
  <c r="J10" i="83"/>
  <c r="J15" i="83" s="1"/>
  <c r="F15" i="83"/>
  <c r="V45" i="65"/>
  <c r="D87" i="103"/>
  <c r="V16" i="65"/>
  <c r="B39" i="83"/>
  <c r="D16" i="120"/>
  <c r="D11" i="82"/>
  <c r="E12" i="116"/>
  <c r="A47" i="116"/>
  <c r="E14" i="116"/>
  <c r="E13" i="116"/>
  <c r="E15" i="116"/>
  <c r="M98" i="114"/>
  <c r="S83" i="114"/>
  <c r="B9" i="115" s="1"/>
  <c r="S85" i="114"/>
  <c r="B15" i="115"/>
  <c r="P82" i="114"/>
  <c r="B72" i="113"/>
  <c r="B77" i="113" s="1"/>
  <c r="I14" i="113"/>
  <c r="I11" i="113"/>
  <c r="E57" i="112"/>
  <c r="E62" i="112"/>
  <c r="E63" i="112"/>
  <c r="E53" i="112"/>
  <c r="G11" i="105"/>
  <c r="J10" i="105"/>
  <c r="J15" i="105" s="1"/>
  <c r="F15" i="105"/>
  <c r="D11" i="104"/>
  <c r="D19" i="120"/>
  <c r="D921" i="94"/>
  <c r="D98" i="106"/>
  <c r="D1006" i="94" s="1"/>
  <c r="B39" i="86"/>
  <c r="E18" i="120" s="1"/>
  <c r="D98" i="87"/>
  <c r="F15" i="86"/>
  <c r="J10" i="86"/>
  <c r="J15" i="86" s="1"/>
  <c r="I22" i="73" s="1"/>
  <c r="G11" i="86"/>
  <c r="D11" i="90"/>
  <c r="D17" i="120"/>
  <c r="J10" i="91"/>
  <c r="F15" i="91"/>
  <c r="G11" i="91"/>
  <c r="I14" i="51"/>
  <c r="D11" i="64"/>
  <c r="K19" i="98"/>
  <c r="I11" i="51"/>
  <c r="H14" i="101"/>
  <c r="B68" i="41"/>
  <c r="E13" i="120"/>
  <c r="G13" i="120" s="1"/>
  <c r="J13" i="80"/>
  <c r="K13" i="80" s="1"/>
  <c r="D917" i="94"/>
  <c r="M91" i="42"/>
  <c r="D98" i="42"/>
  <c r="D1002" i="94" s="1"/>
  <c r="I14" i="41"/>
  <c r="D8" i="64"/>
  <c r="I11" i="41"/>
  <c r="K17" i="98"/>
  <c r="H12" i="101"/>
  <c r="D98" i="37"/>
  <c r="D1003" i="94" s="1"/>
  <c r="D918" i="94"/>
  <c r="M93" i="94"/>
  <c r="K15" i="98"/>
  <c r="H17" i="101"/>
  <c r="D13" i="64"/>
  <c r="D8" i="63"/>
  <c r="D9" i="120"/>
  <c r="D11" i="20"/>
  <c r="D37" i="63"/>
  <c r="I24" i="63"/>
  <c r="J24" i="63" s="1"/>
  <c r="F15" i="21"/>
  <c r="G11" i="21"/>
  <c r="J10" i="21"/>
  <c r="H16" i="65"/>
  <c r="D24" i="103"/>
  <c r="B15" i="65"/>
  <c r="D911" i="94"/>
  <c r="D98" i="22"/>
  <c r="D996" i="94" s="1"/>
  <c r="D31" i="63"/>
  <c r="F23" i="57"/>
  <c r="B112" i="57"/>
  <c r="D53" i="56"/>
  <c r="M599" i="94"/>
  <c r="I14" i="16"/>
  <c r="H19" i="101"/>
  <c r="D14" i="64"/>
  <c r="I11" i="16"/>
  <c r="K12" i="98"/>
  <c r="D913" i="94"/>
  <c r="D98" i="17"/>
  <c r="D998" i="94" s="1"/>
  <c r="D45" i="65" l="1"/>
  <c r="J22" i="98"/>
  <c r="J21" i="101"/>
  <c r="W26" i="65"/>
  <c r="O22" i="98"/>
  <c r="L21" i="101"/>
  <c r="F62" i="57"/>
  <c r="K62" i="57" s="1"/>
  <c r="N62" i="57" s="1"/>
  <c r="B36" i="65"/>
  <c r="D12" i="85"/>
  <c r="D58" i="85"/>
  <c r="D68" i="85" s="1"/>
  <c r="E53" i="85" s="1"/>
  <c r="K22" i="98"/>
  <c r="H21" i="101"/>
  <c r="Q22" i="98"/>
  <c r="I21" i="101"/>
  <c r="B119" i="57"/>
  <c r="E42" i="57"/>
  <c r="F42" i="57" s="1"/>
  <c r="W16" i="65"/>
  <c r="K26" i="65"/>
  <c r="E34" i="103" s="1"/>
  <c r="Q26" i="65"/>
  <c r="E61" i="103" s="1"/>
  <c r="E26" i="65"/>
  <c r="E7" i="103" s="1"/>
  <c r="F134" i="63"/>
  <c r="F136" i="63"/>
  <c r="H183" i="63" s="1"/>
  <c r="C23" i="57"/>
  <c r="K136" i="63"/>
  <c r="E188" i="63" s="1"/>
  <c r="G42" i="98"/>
  <c r="Q16" i="65"/>
  <c r="H45" i="65"/>
  <c r="H74" i="65" s="1"/>
  <c r="U26" i="65"/>
  <c r="E79" i="103" s="1"/>
  <c r="L45" i="65"/>
  <c r="L46" i="65" s="1"/>
  <c r="D16" i="103"/>
  <c r="D21" i="103" s="1"/>
  <c r="F15" i="103" s="1"/>
  <c r="D43" i="103"/>
  <c r="D48" i="103" s="1"/>
  <c r="F62" i="103"/>
  <c r="F60" i="103"/>
  <c r="F65" i="103"/>
  <c r="F66" i="103"/>
  <c r="I24" i="65"/>
  <c r="I26" i="65" s="1"/>
  <c r="K134" i="63"/>
  <c r="I102" i="63"/>
  <c r="C19" i="65"/>
  <c r="C23" i="65"/>
  <c r="C10" i="65"/>
  <c r="J73" i="63"/>
  <c r="I104" i="63"/>
  <c r="H174" i="63" s="1"/>
  <c r="O136" i="63"/>
  <c r="I192" i="63" s="1"/>
  <c r="M136" i="63"/>
  <c r="I190" i="63" s="1"/>
  <c r="D104" i="63"/>
  <c r="F169" i="63" s="1"/>
  <c r="M134" i="63"/>
  <c r="C11" i="65"/>
  <c r="O134" i="63"/>
  <c r="H46" i="63"/>
  <c r="D151" i="63" s="1"/>
  <c r="T45" i="65"/>
  <c r="T46" i="65" s="1"/>
  <c r="T27" i="65"/>
  <c r="E88" i="103"/>
  <c r="W27" i="65"/>
  <c r="E16" i="103"/>
  <c r="AB46" i="65"/>
  <c r="C7" i="65"/>
  <c r="C65" i="57"/>
  <c r="G25" i="80"/>
  <c r="O25" i="80" s="1"/>
  <c r="U16" i="65"/>
  <c r="D129" i="103"/>
  <c r="J20" i="41"/>
  <c r="H17" i="73" s="1"/>
  <c r="J25" i="57"/>
  <c r="F20" i="41"/>
  <c r="F39" i="41" s="1"/>
  <c r="J96" i="63"/>
  <c r="M1088" i="94"/>
  <c r="C61" i="57"/>
  <c r="E111" i="112"/>
  <c r="E61" i="30"/>
  <c r="E54" i="30"/>
  <c r="D109" i="56"/>
  <c r="E68" i="16"/>
  <c r="E82" i="16" s="1"/>
  <c r="E102" i="112"/>
  <c r="E102" i="45"/>
  <c r="E109" i="112"/>
  <c r="E113" i="112"/>
  <c r="G40" i="86"/>
  <c r="E112" i="112"/>
  <c r="H44" i="63"/>
  <c r="I23" i="101"/>
  <c r="L22" i="80"/>
  <c r="M22" i="80" s="1"/>
  <c r="E105" i="112"/>
  <c r="G25" i="98"/>
  <c r="F38" i="73"/>
  <c r="P127" i="63"/>
  <c r="G40" i="105"/>
  <c r="E107" i="40"/>
  <c r="E98" i="92"/>
  <c r="E1000" i="94" s="1"/>
  <c r="E915" i="94"/>
  <c r="F20" i="36"/>
  <c r="F39" i="36" s="1"/>
  <c r="D82" i="16"/>
  <c r="E107" i="112"/>
  <c r="E110" i="112"/>
  <c r="Q23" i="98"/>
  <c r="E103" i="112"/>
  <c r="P132" i="63"/>
  <c r="E104" i="112"/>
  <c r="A136" i="112"/>
  <c r="J16" i="80"/>
  <c r="K16" i="80" s="1"/>
  <c r="Y49" i="114"/>
  <c r="M1134" i="94"/>
  <c r="O908" i="94" s="1"/>
  <c r="Q18" i="98"/>
  <c r="E9" i="64"/>
  <c r="F9" i="64" s="1"/>
  <c r="K9" i="64" s="1"/>
  <c r="I13" i="101"/>
  <c r="L14" i="80"/>
  <c r="M14" i="80" s="1"/>
  <c r="G40" i="46"/>
  <c r="B68" i="51"/>
  <c r="E106" i="112"/>
  <c r="E113" i="25"/>
  <c r="L917" i="94"/>
  <c r="L98" i="42"/>
  <c r="L1002" i="94" s="1"/>
  <c r="M91" i="37"/>
  <c r="E111" i="25"/>
  <c r="C18" i="65"/>
  <c r="C22" i="65"/>
  <c r="C13" i="65"/>
  <c r="E104" i="25"/>
  <c r="F54" i="86"/>
  <c r="I57" i="86" s="1"/>
  <c r="C54" i="65"/>
  <c r="C52" i="65"/>
  <c r="E104" i="35"/>
  <c r="D52" i="57"/>
  <c r="E108" i="35"/>
  <c r="H24" i="74"/>
  <c r="H39" i="74" s="1"/>
  <c r="M91" i="106"/>
  <c r="P82" i="106" s="1"/>
  <c r="I15" i="65"/>
  <c r="E24" i="103" s="1"/>
  <c r="E112" i="25"/>
  <c r="S24" i="65"/>
  <c r="S26" i="65" s="1"/>
  <c r="S27" i="65" s="1"/>
  <c r="C14" i="65"/>
  <c r="E56" i="40"/>
  <c r="F102" i="63"/>
  <c r="E107" i="90"/>
  <c r="D15" i="63"/>
  <c r="F44" i="63"/>
  <c r="F46" i="63"/>
  <c r="I42" i="63"/>
  <c r="E103" i="35"/>
  <c r="L24" i="74"/>
  <c r="L39" i="74" s="1"/>
  <c r="S15" i="65"/>
  <c r="D82" i="86"/>
  <c r="E102" i="30"/>
  <c r="E113" i="35"/>
  <c r="F8" i="64"/>
  <c r="K8" i="64" s="1"/>
  <c r="K24" i="74"/>
  <c r="K39" i="74" s="1"/>
  <c r="D120" i="103"/>
  <c r="G24" i="74"/>
  <c r="G39" i="74" s="1"/>
  <c r="J917" i="94"/>
  <c r="J98" i="42"/>
  <c r="J1002" i="94" s="1"/>
  <c r="F39" i="113"/>
  <c r="G41" i="113" s="1"/>
  <c r="E65" i="40"/>
  <c r="O263" i="94"/>
  <c r="E107" i="35"/>
  <c r="Y49" i="17"/>
  <c r="N12" i="74" s="1"/>
  <c r="O12" i="74" s="1"/>
  <c r="C53" i="65"/>
  <c r="A92" i="40"/>
  <c r="B28" i="57"/>
  <c r="B16" i="65" s="1"/>
  <c r="C63" i="57"/>
  <c r="C56" i="65"/>
  <c r="E60" i="40"/>
  <c r="E61" i="40"/>
  <c r="E62" i="40"/>
  <c r="E110" i="40"/>
  <c r="E110" i="25"/>
  <c r="F54" i="113"/>
  <c r="C48" i="65"/>
  <c r="C49" i="65"/>
  <c r="D25" i="103"/>
  <c r="D30" i="103" s="1"/>
  <c r="F24" i="103" s="1"/>
  <c r="X45" i="65"/>
  <c r="X46" i="65" s="1"/>
  <c r="D97" i="103"/>
  <c r="D102" i="103" s="1"/>
  <c r="F97" i="103" s="1"/>
  <c r="P74" i="65"/>
  <c r="P86" i="65" s="1"/>
  <c r="F45" i="65"/>
  <c r="F74" i="65" s="1"/>
  <c r="F86" i="65" s="1"/>
  <c r="D15" i="56"/>
  <c r="M1129" i="94"/>
  <c r="O864" i="94" s="1"/>
  <c r="M1106" i="94"/>
  <c r="O595" i="94" s="1"/>
  <c r="O22" i="74"/>
  <c r="E111" i="85"/>
  <c r="E90" i="57"/>
  <c r="E93" i="57" s="1"/>
  <c r="M1059" i="94"/>
  <c r="O93" i="94" s="1"/>
  <c r="D79" i="103"/>
  <c r="D84" i="103" s="1"/>
  <c r="F78" i="103" s="1"/>
  <c r="J39" i="113"/>
  <c r="C20" i="2"/>
  <c r="H15" i="63"/>
  <c r="J75" i="63"/>
  <c r="E166" i="63" s="1"/>
  <c r="J15" i="2"/>
  <c r="I11" i="73" s="1"/>
  <c r="F34" i="103"/>
  <c r="F36" i="103"/>
  <c r="F38" i="103"/>
  <c r="K54" i="109"/>
  <c r="E110" i="108"/>
  <c r="E111" i="108"/>
  <c r="J39" i="109"/>
  <c r="E108" i="108"/>
  <c r="A136" i="108"/>
  <c r="L54" i="109"/>
  <c r="F39" i="109"/>
  <c r="F68" i="109" s="1"/>
  <c r="D26" i="79"/>
  <c r="D36" i="79" s="1"/>
  <c r="I11" i="26"/>
  <c r="F61" i="57"/>
  <c r="I61" i="57" s="1"/>
  <c r="J23" i="102" s="1"/>
  <c r="J46" i="102" s="1"/>
  <c r="J50" i="102" s="1"/>
  <c r="F609" i="94"/>
  <c r="H171" i="63"/>
  <c r="C20" i="51"/>
  <c r="K14" i="98"/>
  <c r="E58" i="30"/>
  <c r="E64" i="40"/>
  <c r="E106" i="108"/>
  <c r="E107" i="50"/>
  <c r="D107" i="56"/>
  <c r="E110" i="50"/>
  <c r="E103" i="108"/>
  <c r="E108" i="15"/>
  <c r="I35" i="63"/>
  <c r="J609" i="94"/>
  <c r="G171" i="63"/>
  <c r="M42" i="97"/>
  <c r="F1136" i="94"/>
  <c r="F1143" i="94" s="1"/>
  <c r="E66" i="30"/>
  <c r="E113" i="50"/>
  <c r="E105" i="108"/>
  <c r="D7" i="64"/>
  <c r="F7" i="64" s="1"/>
  <c r="E54" i="40"/>
  <c r="F54" i="46"/>
  <c r="I55" i="46" s="1"/>
  <c r="E102" i="25"/>
  <c r="D171" i="63"/>
  <c r="E68" i="109"/>
  <c r="E82" i="109" s="1"/>
  <c r="F171" i="63"/>
  <c r="D111" i="103"/>
  <c r="F118" i="103" s="1"/>
  <c r="L609" i="94"/>
  <c r="E108" i="90"/>
  <c r="H98" i="84"/>
  <c r="H1005" i="94" s="1"/>
  <c r="H920" i="94"/>
  <c r="B68" i="31"/>
  <c r="Y49" i="32"/>
  <c r="N15" i="74" s="1"/>
  <c r="O15" i="74" s="1"/>
  <c r="K56" i="63"/>
  <c r="H609" i="94"/>
  <c r="E110" i="15"/>
  <c r="E105" i="25"/>
  <c r="E105" i="90"/>
  <c r="K609" i="94"/>
  <c r="E107" i="108"/>
  <c r="E914" i="94"/>
  <c r="E98" i="32"/>
  <c r="E999" i="94" s="1"/>
  <c r="G609" i="94"/>
  <c r="E105" i="50"/>
  <c r="E171" i="63"/>
  <c r="I14" i="26"/>
  <c r="G16" i="65"/>
  <c r="E104" i="50"/>
  <c r="J89" i="63"/>
  <c r="E107" i="1"/>
  <c r="J39" i="117"/>
  <c r="P120" i="63"/>
  <c r="K16" i="65"/>
  <c r="E112" i="108"/>
  <c r="K80" i="63"/>
  <c r="J93" i="63"/>
  <c r="B51" i="57"/>
  <c r="D14" i="56" s="1"/>
  <c r="L10" i="101"/>
  <c r="O11" i="98"/>
  <c r="H11" i="80"/>
  <c r="I11" i="80" s="1"/>
  <c r="H23" i="80"/>
  <c r="O23" i="98"/>
  <c r="L23" i="101"/>
  <c r="M447" i="94"/>
  <c r="W42" i="97" s="1"/>
  <c r="E104" i="108"/>
  <c r="W25" i="97"/>
  <c r="E113" i="108"/>
  <c r="E109" i="108"/>
  <c r="P125" i="63"/>
  <c r="E609" i="94"/>
  <c r="E58" i="40"/>
  <c r="F39" i="83"/>
  <c r="G41" i="83" s="1"/>
  <c r="G15" i="120"/>
  <c r="E111" i="50"/>
  <c r="E108" i="50"/>
  <c r="E102" i="50"/>
  <c r="E109" i="50"/>
  <c r="D609" i="94"/>
  <c r="M91" i="17"/>
  <c r="E103" i="50"/>
  <c r="G10" i="64"/>
  <c r="I55" i="36"/>
  <c r="G19" i="99" s="1"/>
  <c r="I72" i="57"/>
  <c r="I57" i="36"/>
  <c r="H19" i="99" s="1"/>
  <c r="I12" i="73"/>
  <c r="J15" i="98"/>
  <c r="J17" i="101"/>
  <c r="F39" i="31"/>
  <c r="I55" i="16"/>
  <c r="G14" i="64"/>
  <c r="L14" i="64" s="1"/>
  <c r="I57" i="16"/>
  <c r="F68" i="41"/>
  <c r="G41" i="41"/>
  <c r="I41" i="41" s="1"/>
  <c r="I55" i="109"/>
  <c r="I57" i="109"/>
  <c r="I55" i="113"/>
  <c r="I57" i="113"/>
  <c r="F68" i="117"/>
  <c r="G41" i="117"/>
  <c r="G9" i="64"/>
  <c r="D113" i="56"/>
  <c r="E58" i="57"/>
  <c r="F58" i="57" s="1"/>
  <c r="H98" i="32"/>
  <c r="H999" i="94" s="1"/>
  <c r="H914" i="94"/>
  <c r="D71" i="63"/>
  <c r="F58" i="63"/>
  <c r="E110" i="30"/>
  <c r="K98" i="87"/>
  <c r="J98" i="62"/>
  <c r="J1004" i="94" s="1"/>
  <c r="J919" i="94"/>
  <c r="E56" i="112"/>
  <c r="E106" i="1"/>
  <c r="E922" i="94"/>
  <c r="E98" i="47"/>
  <c r="E1007" i="94" s="1"/>
  <c r="M91" i="47"/>
  <c r="B32" i="57"/>
  <c r="B33" i="57" s="1"/>
  <c r="U42" i="97"/>
  <c r="O432" i="94"/>
  <c r="D110" i="56"/>
  <c r="D64" i="57"/>
  <c r="D67" i="57" s="1"/>
  <c r="D81" i="57" s="1"/>
  <c r="D12" i="35"/>
  <c r="D58" i="35"/>
  <c r="E103" i="82"/>
  <c r="A136" i="35"/>
  <c r="E112" i="35"/>
  <c r="E102" i="35"/>
  <c r="E111" i="35"/>
  <c r="E105" i="35"/>
  <c r="E60" i="112"/>
  <c r="E109" i="1"/>
  <c r="E109" i="35"/>
  <c r="A136" i="45"/>
  <c r="E107" i="45"/>
  <c r="E106" i="45"/>
  <c r="E111" i="45"/>
  <c r="E109" i="45"/>
  <c r="E112" i="45"/>
  <c r="E105" i="45"/>
  <c r="E103" i="45"/>
  <c r="E113" i="45"/>
  <c r="M609" i="94"/>
  <c r="E65" i="30"/>
  <c r="E66" i="40"/>
  <c r="E54" i="112"/>
  <c r="D134" i="63"/>
  <c r="Q13" i="98"/>
  <c r="L17" i="80"/>
  <c r="M17" i="80" s="1"/>
  <c r="G40" i="21"/>
  <c r="E12" i="64"/>
  <c r="I16" i="101"/>
  <c r="D58" i="25"/>
  <c r="D12" i="25"/>
  <c r="D17" i="25" s="1"/>
  <c r="E11" i="25" s="1"/>
  <c r="B39" i="26"/>
  <c r="F13" i="74"/>
  <c r="Y23" i="22"/>
  <c r="Y49" i="22" s="1"/>
  <c r="N13" i="74" s="1"/>
  <c r="N49" i="105"/>
  <c r="N54" i="105" s="1"/>
  <c r="K54" i="105"/>
  <c r="E111" i="1"/>
  <c r="G8" i="64"/>
  <c r="L8" i="64" s="1"/>
  <c r="I57" i="41"/>
  <c r="I55" i="41"/>
  <c r="N136" i="63"/>
  <c r="N134" i="63"/>
  <c r="J136" i="63"/>
  <c r="J134" i="63"/>
  <c r="H98" i="17"/>
  <c r="H998" i="94" s="1"/>
  <c r="H913" i="94"/>
  <c r="H73" i="63"/>
  <c r="H75" i="63"/>
  <c r="L42" i="83"/>
  <c r="L54" i="83" s="1"/>
  <c r="L56" i="83" s="1"/>
  <c r="M20" i="73" s="1"/>
  <c r="K54" i="83"/>
  <c r="K56" i="83" s="1"/>
  <c r="L20" i="73" s="1"/>
  <c r="L54" i="113"/>
  <c r="F20" i="105"/>
  <c r="F39" i="105" s="1"/>
  <c r="J18" i="105"/>
  <c r="J20" i="105" s="1"/>
  <c r="H23" i="73" s="1"/>
  <c r="E56" i="108"/>
  <c r="F79" i="57"/>
  <c r="L911" i="94"/>
  <c r="L98" i="22"/>
  <c r="L996" i="94" s="1"/>
  <c r="F19" i="74"/>
  <c r="Y23" i="62"/>
  <c r="Y49" i="62" s="1"/>
  <c r="N19" i="74" s="1"/>
  <c r="G98" i="27"/>
  <c r="G997" i="94" s="1"/>
  <c r="G912" i="94"/>
  <c r="E12" i="108"/>
  <c r="F74" i="57"/>
  <c r="J921" i="94"/>
  <c r="J98" i="106"/>
  <c r="J1006" i="94" s="1"/>
  <c r="F20" i="51"/>
  <c r="F39" i="51" s="1"/>
  <c r="J18" i="51"/>
  <c r="J20" i="51" s="1"/>
  <c r="H19" i="73" s="1"/>
  <c r="E104" i="82"/>
  <c r="I609" i="94"/>
  <c r="A136" i="20"/>
  <c r="E110" i="20"/>
  <c r="E108" i="20"/>
  <c r="E109" i="20"/>
  <c r="F21" i="74"/>
  <c r="Y23" i="92"/>
  <c r="Y49" i="92" s="1"/>
  <c r="N21" i="74" s="1"/>
  <c r="A136" i="15"/>
  <c r="E103" i="15"/>
  <c r="E102" i="15"/>
  <c r="E109" i="15"/>
  <c r="E107" i="15"/>
  <c r="E113" i="20"/>
  <c r="Y49" i="42"/>
  <c r="N17" i="74" s="1"/>
  <c r="O17" i="74" s="1"/>
  <c r="L42" i="26"/>
  <c r="L54" i="26" s="1"/>
  <c r="L56" i="26" s="1"/>
  <c r="M14" i="73" s="1"/>
  <c r="K54" i="26"/>
  <c r="K56" i="26" s="1"/>
  <c r="L14" i="73" s="1"/>
  <c r="L15" i="101"/>
  <c r="O20" i="98"/>
  <c r="H20" i="80"/>
  <c r="I20" i="80" s="1"/>
  <c r="I55" i="31"/>
  <c r="G18" i="99" s="1"/>
  <c r="G13" i="64"/>
  <c r="I57" i="31"/>
  <c r="H18" i="99" s="1"/>
  <c r="I73" i="57"/>
  <c r="I921" i="94"/>
  <c r="I98" i="106"/>
  <c r="I1006" i="94" s="1"/>
  <c r="J18" i="26"/>
  <c r="J20" i="26" s="1"/>
  <c r="F20" i="26"/>
  <c r="F39" i="26" s="1"/>
  <c r="E46" i="63"/>
  <c r="E44" i="63"/>
  <c r="G918" i="94"/>
  <c r="G98" i="37"/>
  <c r="G1003" i="94" s="1"/>
  <c r="A136" i="116"/>
  <c r="E113" i="116"/>
  <c r="E109" i="116"/>
  <c r="E103" i="116"/>
  <c r="E111" i="116"/>
  <c r="E107" i="116"/>
  <c r="E110" i="116"/>
  <c r="E105" i="116"/>
  <c r="E106" i="116"/>
  <c r="E104" i="116"/>
  <c r="E112" i="116"/>
  <c r="E64" i="63"/>
  <c r="E60" i="63"/>
  <c r="B79" i="57"/>
  <c r="B73" i="65" s="1"/>
  <c r="J20" i="98"/>
  <c r="J15" i="101"/>
  <c r="B26" i="65"/>
  <c r="D106" i="56"/>
  <c r="F60" i="57"/>
  <c r="K60" i="57" s="1"/>
  <c r="M60" i="57" s="1"/>
  <c r="M67" i="57" s="1"/>
  <c r="M69" i="57" s="1"/>
  <c r="C60" i="57"/>
  <c r="J15" i="21"/>
  <c r="I13" i="73" s="1"/>
  <c r="F13" i="64"/>
  <c r="E60" i="30"/>
  <c r="E59" i="40"/>
  <c r="F39" i="86"/>
  <c r="E64" i="112"/>
  <c r="D136" i="63"/>
  <c r="M91" i="32"/>
  <c r="E106" i="20"/>
  <c r="E111" i="20"/>
  <c r="R46" i="65"/>
  <c r="R74" i="65"/>
  <c r="F20" i="2"/>
  <c r="F39" i="2" s="1"/>
  <c r="J18" i="2"/>
  <c r="J20" i="2" s="1"/>
  <c r="H11" i="73" s="1"/>
  <c r="K916" i="94"/>
  <c r="K98" i="14"/>
  <c r="K1001" i="94" s="1"/>
  <c r="K54" i="113"/>
  <c r="D12" i="103"/>
  <c r="F7" i="103" s="1"/>
  <c r="G919" i="94"/>
  <c r="G98" i="62"/>
  <c r="G1004" i="94" s="1"/>
  <c r="C20" i="21"/>
  <c r="E110" i="45"/>
  <c r="AC25" i="100"/>
  <c r="E108" i="40"/>
  <c r="H22" i="80"/>
  <c r="I22" i="80" s="1"/>
  <c r="E58" i="108"/>
  <c r="E112" i="50"/>
  <c r="Q11" i="98"/>
  <c r="L11" i="80"/>
  <c r="M11" i="80" s="1"/>
  <c r="G40" i="2"/>
  <c r="E6" i="64"/>
  <c r="I10" i="101"/>
  <c r="G40" i="51"/>
  <c r="I14" i="101"/>
  <c r="E11" i="64"/>
  <c r="F11" i="64" s="1"/>
  <c r="Q19" i="98"/>
  <c r="L16" i="80"/>
  <c r="M16" i="80" s="1"/>
  <c r="F66" i="57"/>
  <c r="D112" i="56"/>
  <c r="G46" i="63"/>
  <c r="G44" i="63"/>
  <c r="E103" i="20"/>
  <c r="E106" i="50"/>
  <c r="C20" i="16"/>
  <c r="G27" i="65" s="1"/>
  <c r="D102" i="63"/>
  <c r="H134" i="63"/>
  <c r="H136" i="63"/>
  <c r="D58" i="90"/>
  <c r="D68" i="90" s="1"/>
  <c r="E53" i="90" s="1"/>
  <c r="D12" i="90"/>
  <c r="D17" i="90" s="1"/>
  <c r="E11" i="90" s="1"/>
  <c r="F20" i="46"/>
  <c r="F39" i="46" s="1"/>
  <c r="J18" i="46"/>
  <c r="J20" i="46" s="1"/>
  <c r="B39" i="91"/>
  <c r="J21" i="80" s="1"/>
  <c r="K21" i="80" s="1"/>
  <c r="K54" i="91"/>
  <c r="L46" i="91"/>
  <c r="L54" i="91" s="1"/>
  <c r="Y23" i="27"/>
  <c r="Y49" i="27" s="1"/>
  <c r="N14" i="74" s="1"/>
  <c r="F14" i="74"/>
  <c r="A136" i="30"/>
  <c r="E106" i="30"/>
  <c r="E112" i="30"/>
  <c r="E111" i="30"/>
  <c r="E108" i="30"/>
  <c r="E105" i="30"/>
  <c r="L46" i="86"/>
  <c r="L54" i="86" s="1"/>
  <c r="K54" i="86"/>
  <c r="J98" i="87"/>
  <c r="I55" i="91"/>
  <c r="I57" i="91"/>
  <c r="I31" i="63"/>
  <c r="E112" i="20"/>
  <c r="D67" i="63"/>
  <c r="F54" i="63"/>
  <c r="F24" i="57"/>
  <c r="J24" i="57" s="1"/>
  <c r="C24" i="57"/>
  <c r="B113" i="57"/>
  <c r="D54" i="56"/>
  <c r="A92" i="30"/>
  <c r="H916" i="94"/>
  <c r="H98" i="14"/>
  <c r="H1001" i="94" s="1"/>
  <c r="H918" i="94"/>
  <c r="H98" i="37"/>
  <c r="H1003" i="94" s="1"/>
  <c r="B74" i="57"/>
  <c r="B68" i="65" s="1"/>
  <c r="G98" i="87"/>
  <c r="D58" i="50"/>
  <c r="D12" i="50"/>
  <c r="D17" i="50" s="1"/>
  <c r="E11" i="50" s="1"/>
  <c r="E56" i="30"/>
  <c r="E67" i="40"/>
  <c r="I19" i="73"/>
  <c r="E65" i="112"/>
  <c r="E17" i="116"/>
  <c r="E108" i="116"/>
  <c r="F70" i="103"/>
  <c r="F72" i="103"/>
  <c r="F69" i="103"/>
  <c r="F75" i="103"/>
  <c r="F74" i="103"/>
  <c r="F73" i="103"/>
  <c r="D12" i="1"/>
  <c r="D17" i="1" s="1"/>
  <c r="D58" i="1"/>
  <c r="K54" i="46"/>
  <c r="K56" i="46" s="1"/>
  <c r="L18" i="73" s="1"/>
  <c r="L42" i="46"/>
  <c r="L54" i="46" s="1"/>
  <c r="L56" i="46" s="1"/>
  <c r="M18" i="73" s="1"/>
  <c r="I55" i="83"/>
  <c r="I57" i="83"/>
  <c r="J918" i="94"/>
  <c r="J98" i="37"/>
  <c r="J1003" i="94" s="1"/>
  <c r="L74" i="65"/>
  <c r="E113" i="1"/>
  <c r="F46" i="57"/>
  <c r="J46" i="57" s="1"/>
  <c r="D61" i="56"/>
  <c r="L11" i="101"/>
  <c r="O14" i="98"/>
  <c r="H12" i="80"/>
  <c r="I12" i="80" s="1"/>
  <c r="D58" i="20"/>
  <c r="D68" i="20" s="1"/>
  <c r="E53" i="20" s="1"/>
  <c r="D12" i="20"/>
  <c r="D17" i="20" s="1"/>
  <c r="E11" i="20" s="1"/>
  <c r="E105" i="20"/>
  <c r="E6" i="103"/>
  <c r="E16" i="65"/>
  <c r="D104" i="56"/>
  <c r="E57" i="57"/>
  <c r="F57" i="57" s="1"/>
  <c r="E109" i="90"/>
  <c r="E113" i="15"/>
  <c r="K54" i="51"/>
  <c r="K56" i="51" s="1"/>
  <c r="L19" i="73" s="1"/>
  <c r="L42" i="51"/>
  <c r="L54" i="51" s="1"/>
  <c r="L56" i="51" s="1"/>
  <c r="M19" i="73" s="1"/>
  <c r="E104" i="30"/>
  <c r="P82" i="84"/>
  <c r="B72" i="83"/>
  <c r="B77" i="83" s="1"/>
  <c r="B15" i="88"/>
  <c r="M920" i="94"/>
  <c r="S83" i="84"/>
  <c r="S85" i="84" s="1"/>
  <c r="M98" i="84"/>
  <c r="E109" i="30"/>
  <c r="M91" i="27"/>
  <c r="E105" i="15"/>
  <c r="D58" i="15"/>
  <c r="D12" i="15"/>
  <c r="D17" i="15" s="1"/>
  <c r="E11" i="15" s="1"/>
  <c r="E111" i="82"/>
  <c r="E108" i="82"/>
  <c r="A136" i="82"/>
  <c r="E105" i="82"/>
  <c r="E112" i="82"/>
  <c r="E106" i="82"/>
  <c r="E109" i="82"/>
  <c r="E110" i="82"/>
  <c r="L42" i="117"/>
  <c r="L54" i="117" s="1"/>
  <c r="K54" i="117"/>
  <c r="D72" i="36"/>
  <c r="D77" i="36" s="1"/>
  <c r="D80" i="36" s="1"/>
  <c r="D82" i="36" s="1"/>
  <c r="F918" i="94"/>
  <c r="F98" i="37"/>
  <c r="F1003" i="94" s="1"/>
  <c r="E57" i="30"/>
  <c r="I57" i="105"/>
  <c r="I55" i="105"/>
  <c r="J101" i="63"/>
  <c r="K88" i="63"/>
  <c r="J98" i="32"/>
  <c r="J999" i="94" s="1"/>
  <c r="J914" i="94"/>
  <c r="E103" i="1"/>
  <c r="H10" i="101"/>
  <c r="I14" i="2"/>
  <c r="I11" i="2"/>
  <c r="K11" i="98"/>
  <c r="D6" i="64"/>
  <c r="A92" i="108"/>
  <c r="E61" i="108"/>
  <c r="E64" i="108"/>
  <c r="E65" i="108"/>
  <c r="E57" i="108"/>
  <c r="E63" i="108"/>
  <c r="E54" i="108"/>
  <c r="E59" i="108"/>
  <c r="E53" i="108"/>
  <c r="E60" i="108"/>
  <c r="E62" i="108"/>
  <c r="G6" i="64"/>
  <c r="I57" i="2"/>
  <c r="I55" i="2"/>
  <c r="E112" i="15"/>
  <c r="I919" i="94"/>
  <c r="I98" i="62"/>
  <c r="I1004" i="94" s="1"/>
  <c r="B39" i="36"/>
  <c r="F51" i="63"/>
  <c r="D64" i="63"/>
  <c r="D60" i="63"/>
  <c r="E104" i="63"/>
  <c r="E102" i="63"/>
  <c r="K54" i="36"/>
  <c r="E919" i="94"/>
  <c r="E98" i="62"/>
  <c r="E1004" i="94" s="1"/>
  <c r="F36" i="57"/>
  <c r="D13" i="56"/>
  <c r="D59" i="56"/>
  <c r="B117" i="57"/>
  <c r="A136" i="40"/>
  <c r="E112" i="40"/>
  <c r="E106" i="40"/>
  <c r="E111" i="40"/>
  <c r="E113" i="40"/>
  <c r="E105" i="40"/>
  <c r="K54" i="2"/>
  <c r="K56" i="2" s="1"/>
  <c r="L11" i="73" s="1"/>
  <c r="J98" i="17"/>
  <c r="J998" i="94" s="1"/>
  <c r="J913" i="94"/>
  <c r="F20" i="21"/>
  <c r="F39" i="21" s="1"/>
  <c r="J18" i="21"/>
  <c r="J20" i="21" s="1"/>
  <c r="H13" i="73" s="1"/>
  <c r="E107" i="85"/>
  <c r="E109" i="85"/>
  <c r="E108" i="85"/>
  <c r="A136" i="85"/>
  <c r="E106" i="85"/>
  <c r="E102" i="85"/>
  <c r="E104" i="85"/>
  <c r="E110" i="85"/>
  <c r="E103" i="85"/>
  <c r="F11" i="74"/>
  <c r="Y23" i="14"/>
  <c r="Y49" i="14" s="1"/>
  <c r="N11" i="74" s="1"/>
  <c r="F48" i="57"/>
  <c r="J48" i="57" s="1"/>
  <c r="D63" i="56"/>
  <c r="E112" i="85"/>
  <c r="E913" i="94"/>
  <c r="E98" i="17"/>
  <c r="E998" i="94" s="1"/>
  <c r="D919" i="94"/>
  <c r="M91" i="62"/>
  <c r="D98" i="62"/>
  <c r="D1004" i="94" s="1"/>
  <c r="F59" i="57"/>
  <c r="D105" i="56"/>
  <c r="C59" i="57"/>
  <c r="A136" i="25"/>
  <c r="E108" i="25"/>
  <c r="E106" i="25"/>
  <c r="E107" i="25"/>
  <c r="D68" i="116"/>
  <c r="E58" i="116" s="1"/>
  <c r="C55" i="57"/>
  <c r="D102" i="56"/>
  <c r="B67" i="57"/>
  <c r="B61" i="65" s="1"/>
  <c r="F55" i="57"/>
  <c r="F52" i="63"/>
  <c r="K52" i="63" s="1"/>
  <c r="F31" i="57"/>
  <c r="C31" i="57"/>
  <c r="I57" i="117"/>
  <c r="I55" i="117"/>
  <c r="J46" i="65"/>
  <c r="F70" i="63"/>
  <c r="K57" i="63"/>
  <c r="A136" i="1"/>
  <c r="E104" i="1"/>
  <c r="E112" i="1"/>
  <c r="E110" i="1"/>
  <c r="E102" i="1"/>
  <c r="E108" i="1"/>
  <c r="H919" i="94"/>
  <c r="H98" i="62"/>
  <c r="H1004" i="94" s="1"/>
  <c r="A47" i="108"/>
  <c r="E11" i="108"/>
  <c r="E13" i="108"/>
  <c r="E14" i="108"/>
  <c r="E58" i="112"/>
  <c r="E107" i="82"/>
  <c r="K54" i="31"/>
  <c r="L42" i="31"/>
  <c r="L54" i="31" s="1"/>
  <c r="E104" i="15"/>
  <c r="E59" i="112"/>
  <c r="K87" i="63"/>
  <c r="J100" i="63"/>
  <c r="F27" i="57"/>
  <c r="J27" i="57" s="1"/>
  <c r="C27" i="57"/>
  <c r="D57" i="56"/>
  <c r="J45" i="57"/>
  <c r="Y23" i="47"/>
  <c r="Y49" i="47" s="1"/>
  <c r="N18" i="74" s="1"/>
  <c r="F18" i="74"/>
  <c r="L42" i="21"/>
  <c r="L54" i="21" s="1"/>
  <c r="L56" i="21" s="1"/>
  <c r="M13" i="73" s="1"/>
  <c r="K54" i="21"/>
  <c r="K56" i="21" s="1"/>
  <c r="L13" i="73" s="1"/>
  <c r="F47" i="57"/>
  <c r="J47" i="57" s="1"/>
  <c r="D62" i="56"/>
  <c r="K913" i="94"/>
  <c r="K98" i="17"/>
  <c r="K998" i="94" s="1"/>
  <c r="B68" i="16"/>
  <c r="H17" i="63"/>
  <c r="F35" i="103"/>
  <c r="E62" i="30"/>
  <c r="E59" i="30"/>
  <c r="J15" i="91"/>
  <c r="M91" i="92"/>
  <c r="D98" i="92"/>
  <c r="D1000" i="94" s="1"/>
  <c r="D915" i="94"/>
  <c r="K922" i="94"/>
  <c r="K98" i="47"/>
  <c r="K1007" i="94" s="1"/>
  <c r="I75" i="63"/>
  <c r="I73" i="63"/>
  <c r="F16" i="74"/>
  <c r="Y23" i="37"/>
  <c r="Y49" i="37" s="1"/>
  <c r="N16" i="74" s="1"/>
  <c r="L54" i="36"/>
  <c r="F49" i="57"/>
  <c r="J49" i="57" s="1"/>
  <c r="B121" i="57"/>
  <c r="D64" i="56"/>
  <c r="L54" i="2"/>
  <c r="L56" i="2" s="1"/>
  <c r="M11" i="73" s="1"/>
  <c r="F53" i="63"/>
  <c r="D66" i="63"/>
  <c r="E105" i="85"/>
  <c r="E106" i="35"/>
  <c r="C56" i="57"/>
  <c r="F56" i="57"/>
  <c r="K56" i="57" s="1"/>
  <c r="L56" i="57" s="1"/>
  <c r="D103" i="56"/>
  <c r="E66" i="108"/>
  <c r="D58" i="45"/>
  <c r="D12" i="45"/>
  <c r="B39" i="46"/>
  <c r="O20" i="74"/>
  <c r="I57" i="51"/>
  <c r="G11" i="64"/>
  <c r="L11" i="64" s="1"/>
  <c r="I55" i="51"/>
  <c r="A136" i="104"/>
  <c r="E103" i="104"/>
  <c r="E111" i="104"/>
  <c r="E113" i="104"/>
  <c r="E106" i="104"/>
  <c r="E102" i="104"/>
  <c r="E109" i="104"/>
  <c r="E107" i="104"/>
  <c r="E104" i="104"/>
  <c r="E105" i="104"/>
  <c r="E110" i="104"/>
  <c r="E111" i="15"/>
  <c r="H102" i="63"/>
  <c r="H104" i="63"/>
  <c r="M1122" i="94"/>
  <c r="O792" i="94" s="1"/>
  <c r="B72" i="109"/>
  <c r="B77" i="109" s="1"/>
  <c r="M98" i="110"/>
  <c r="P82" i="110"/>
  <c r="S83" i="110"/>
  <c r="B9" i="111" s="1"/>
  <c r="B15" i="111"/>
  <c r="S85" i="110"/>
  <c r="J18" i="16"/>
  <c r="J20" i="16" s="1"/>
  <c r="H12" i="73" s="1"/>
  <c r="F20" i="16"/>
  <c r="F39" i="16" s="1"/>
  <c r="F50" i="57"/>
  <c r="J50" i="57" s="1"/>
  <c r="D65" i="56"/>
  <c r="E134" i="63"/>
  <c r="E136" i="63"/>
  <c r="J12" i="101"/>
  <c r="J17" i="98"/>
  <c r="I98" i="17"/>
  <c r="I998" i="94" s="1"/>
  <c r="I913" i="94"/>
  <c r="D21" i="120"/>
  <c r="L98" i="37"/>
  <c r="L1003" i="94" s="1"/>
  <c r="L918" i="94"/>
  <c r="Q12" i="98"/>
  <c r="I19" i="101"/>
  <c r="E14" i="64"/>
  <c r="F14" i="64" s="1"/>
  <c r="L19" i="80"/>
  <c r="M19" i="80" s="1"/>
  <c r="G40" i="16"/>
  <c r="I136" i="63"/>
  <c r="I134" i="63"/>
  <c r="I98" i="87"/>
  <c r="G12" i="64"/>
  <c r="L12" i="64" s="1"/>
  <c r="I55" i="21"/>
  <c r="I57" i="21"/>
  <c r="I57" i="26"/>
  <c r="I55" i="26"/>
  <c r="G7" i="64"/>
  <c r="L7" i="64" s="1"/>
  <c r="F919" i="94"/>
  <c r="F98" i="62"/>
  <c r="F1004" i="94" s="1"/>
  <c r="D72" i="51"/>
  <c r="D77" i="51" s="1"/>
  <c r="D80" i="51" s="1"/>
  <c r="D82" i="51" s="1"/>
  <c r="F26" i="57"/>
  <c r="B115" i="57"/>
  <c r="D56" i="56"/>
  <c r="C26" i="57"/>
  <c r="E103" i="30"/>
  <c r="D52" i="103"/>
  <c r="N45" i="65"/>
  <c r="D72" i="63"/>
  <c r="F59" i="63"/>
  <c r="E67" i="112"/>
  <c r="K54" i="41"/>
  <c r="K56" i="41" s="1"/>
  <c r="L17" i="73" s="1"/>
  <c r="L42" i="41"/>
  <c r="L54" i="41" s="1"/>
  <c r="L56" i="41" s="1"/>
  <c r="M17" i="73" s="1"/>
  <c r="K16" i="98"/>
  <c r="D10" i="64"/>
  <c r="F10" i="64" s="1"/>
  <c r="H18" i="101"/>
  <c r="D46" i="65"/>
  <c r="D74" i="65"/>
  <c r="D12" i="104"/>
  <c r="D17" i="104" s="1"/>
  <c r="E11" i="104" s="1"/>
  <c r="D58" i="104"/>
  <c r="D68" i="104" s="1"/>
  <c r="E54" i="104" s="1"/>
  <c r="M91" i="87"/>
  <c r="E61" i="112"/>
  <c r="E8" i="120"/>
  <c r="G8" i="120" s="1"/>
  <c r="F39" i="103"/>
  <c r="J18" i="80"/>
  <c r="K18" i="80" s="1"/>
  <c r="E64" i="30"/>
  <c r="E63" i="40"/>
  <c r="E66" i="112"/>
  <c r="F37" i="103"/>
  <c r="F33" i="103"/>
  <c r="E67" i="30"/>
  <c r="E63" i="30"/>
  <c r="E57" i="40"/>
  <c r="H14" i="80"/>
  <c r="I14" i="80" s="1"/>
  <c r="O18" i="98"/>
  <c r="L13" i="101"/>
  <c r="K98" i="62"/>
  <c r="K1004" i="94" s="1"/>
  <c r="K919" i="94"/>
  <c r="F98" i="14"/>
  <c r="F1001" i="94" s="1"/>
  <c r="F916" i="94"/>
  <c r="D72" i="2"/>
  <c r="D77" i="2" s="1"/>
  <c r="D80" i="2" s="1"/>
  <c r="D82" i="2" s="1"/>
  <c r="G916" i="94"/>
  <c r="G98" i="14"/>
  <c r="G1001" i="94" s="1"/>
  <c r="E107" i="20"/>
  <c r="Z74" i="65"/>
  <c r="Z46" i="65"/>
  <c r="L136" i="63"/>
  <c r="L134" i="63"/>
  <c r="F20" i="91"/>
  <c r="F39" i="91" s="1"/>
  <c r="J18" i="91"/>
  <c r="J20" i="91" s="1"/>
  <c r="H21" i="73" s="1"/>
  <c r="O15" i="98"/>
  <c r="L17" i="101"/>
  <c r="H18" i="80"/>
  <c r="I18" i="80" s="1"/>
  <c r="G104" i="63"/>
  <c r="G102" i="63"/>
  <c r="G40" i="91"/>
  <c r="I20" i="101"/>
  <c r="Q21" i="98"/>
  <c r="L21" i="80"/>
  <c r="M21" i="80" s="1"/>
  <c r="E102" i="82"/>
  <c r="B118" i="57"/>
  <c r="E39" i="57"/>
  <c r="E52" i="57" s="1"/>
  <c r="D66" i="56"/>
  <c r="G134" i="63"/>
  <c r="G136" i="63"/>
  <c r="H21" i="80"/>
  <c r="I21" i="80" s="1"/>
  <c r="L20" i="101"/>
  <c r="O21" i="98"/>
  <c r="L915" i="94"/>
  <c r="L98" i="92"/>
  <c r="L1000" i="94" s="1"/>
  <c r="E104" i="20"/>
  <c r="A136" i="90"/>
  <c r="E103" i="90"/>
  <c r="E112" i="90"/>
  <c r="E102" i="90"/>
  <c r="E104" i="90"/>
  <c r="E110" i="90"/>
  <c r="E111" i="90"/>
  <c r="L46" i="16"/>
  <c r="L54" i="16" s="1"/>
  <c r="L56" i="16" s="1"/>
  <c r="M12" i="73" s="1"/>
  <c r="K54" i="16"/>
  <c r="K56" i="16" s="1"/>
  <c r="L12" i="73" s="1"/>
  <c r="E104" i="40"/>
  <c r="E108" i="104"/>
  <c r="E113" i="90"/>
  <c r="L14" i="101"/>
  <c r="O19" i="98"/>
  <c r="H16" i="80"/>
  <c r="I16" i="80" s="1"/>
  <c r="M91" i="14"/>
  <c r="D98" i="14"/>
  <c r="D1001" i="94" s="1"/>
  <c r="D916" i="94"/>
  <c r="F15" i="63"/>
  <c r="B39" i="2"/>
  <c r="E15" i="108"/>
  <c r="I11" i="83"/>
  <c r="H15" i="101"/>
  <c r="I14" i="83"/>
  <c r="K20" i="98"/>
  <c r="D93" i="103"/>
  <c r="F87" i="103" s="1"/>
  <c r="V46" i="65"/>
  <c r="V74" i="65"/>
  <c r="B19" i="119"/>
  <c r="S89" i="118"/>
  <c r="D17" i="82"/>
  <c r="E11" i="82" s="1"/>
  <c r="J39" i="83"/>
  <c r="G20" i="73" s="1"/>
  <c r="I20" i="73"/>
  <c r="E16" i="120"/>
  <c r="G16" i="120" s="1"/>
  <c r="J20" i="80"/>
  <c r="K20" i="80" s="1"/>
  <c r="B68" i="83"/>
  <c r="F77" i="117"/>
  <c r="F80" i="117" s="1"/>
  <c r="B80" i="117"/>
  <c r="B82" i="117" s="1"/>
  <c r="M106" i="118"/>
  <c r="M107" i="118" s="1"/>
  <c r="E20" i="81" s="1"/>
  <c r="R98" i="118"/>
  <c r="G64" i="118" s="1"/>
  <c r="E63" i="82"/>
  <c r="E58" i="82"/>
  <c r="E62" i="82"/>
  <c r="E54" i="82"/>
  <c r="E67" i="82"/>
  <c r="A92" i="82"/>
  <c r="E57" i="82"/>
  <c r="E60" i="82"/>
  <c r="E64" i="82"/>
  <c r="E65" i="82"/>
  <c r="E61" i="82"/>
  <c r="E66" i="82"/>
  <c r="E56" i="82"/>
  <c r="E59" i="82"/>
  <c r="B80" i="113"/>
  <c r="B82" i="113" s="1"/>
  <c r="F77" i="113"/>
  <c r="F80" i="113" s="1"/>
  <c r="B19" i="115"/>
  <c r="S89" i="114"/>
  <c r="E13" i="112"/>
  <c r="E15" i="112"/>
  <c r="E14" i="112"/>
  <c r="A47" i="112"/>
  <c r="E12" i="112"/>
  <c r="R98" i="114"/>
  <c r="G64" i="114" s="1"/>
  <c r="M106" i="114"/>
  <c r="M107" i="114" s="1"/>
  <c r="E19" i="81" s="1"/>
  <c r="AB86" i="65"/>
  <c r="I23" i="73"/>
  <c r="B68" i="105"/>
  <c r="J23" i="80"/>
  <c r="E19" i="120"/>
  <c r="G19" i="120" s="1"/>
  <c r="M98" i="106"/>
  <c r="S83" i="106"/>
  <c r="B15" i="107"/>
  <c r="B72" i="105"/>
  <c r="B77" i="105" s="1"/>
  <c r="M921" i="94"/>
  <c r="H23" i="101"/>
  <c r="I14" i="105"/>
  <c r="K23" i="98"/>
  <c r="I11" i="105"/>
  <c r="J39" i="86"/>
  <c r="G22" i="73" s="1"/>
  <c r="A92" i="85"/>
  <c r="E59" i="85"/>
  <c r="E54" i="85"/>
  <c r="E62" i="85"/>
  <c r="E64" i="85"/>
  <c r="E56" i="85"/>
  <c r="E57" i="85"/>
  <c r="E58" i="85"/>
  <c r="E66" i="85"/>
  <c r="E61" i="85"/>
  <c r="E63" i="85"/>
  <c r="E60" i="85"/>
  <c r="E65" i="85"/>
  <c r="E67" i="85"/>
  <c r="I14" i="86"/>
  <c r="I11" i="86"/>
  <c r="G18" i="120"/>
  <c r="B68" i="86"/>
  <c r="J22" i="80"/>
  <c r="K22" i="80" s="1"/>
  <c r="D17" i="85"/>
  <c r="E11" i="85" s="1"/>
  <c r="I11" i="91"/>
  <c r="H20" i="101"/>
  <c r="K21" i="98"/>
  <c r="I14" i="91"/>
  <c r="E13" i="50"/>
  <c r="A47" i="50"/>
  <c r="B72" i="41"/>
  <c r="B77" i="41" s="1"/>
  <c r="S83" i="42"/>
  <c r="S85" i="42" s="1"/>
  <c r="B15" i="43"/>
  <c r="M917" i="94"/>
  <c r="P82" i="42"/>
  <c r="M98" i="42"/>
  <c r="A47" i="40"/>
  <c r="E13" i="40"/>
  <c r="E12" i="40"/>
  <c r="E15" i="40"/>
  <c r="E14" i="40"/>
  <c r="P82" i="37"/>
  <c r="B72" i="36"/>
  <c r="B77" i="36" s="1"/>
  <c r="B15" i="38"/>
  <c r="S83" i="37"/>
  <c r="M98" i="37"/>
  <c r="M918" i="94"/>
  <c r="E15" i="30"/>
  <c r="E13" i="30"/>
  <c r="E14" i="30"/>
  <c r="A47" i="30"/>
  <c r="E12" i="30"/>
  <c r="J86" i="65"/>
  <c r="J75" i="65"/>
  <c r="D124" i="103"/>
  <c r="M98" i="22"/>
  <c r="B15" i="23"/>
  <c r="S83" i="22"/>
  <c r="S85" i="22" s="1"/>
  <c r="P82" i="22"/>
  <c r="B72" i="21"/>
  <c r="B77" i="21" s="1"/>
  <c r="M911" i="94"/>
  <c r="D12" i="64"/>
  <c r="F12" i="64" s="1"/>
  <c r="I14" i="21"/>
  <c r="I11" i="21"/>
  <c r="H16" i="101"/>
  <c r="K13" i="98"/>
  <c r="I37" i="63"/>
  <c r="D44" i="63"/>
  <c r="D46" i="63"/>
  <c r="B68" i="21"/>
  <c r="J17" i="80"/>
  <c r="K17" i="80" s="1"/>
  <c r="E9" i="120"/>
  <c r="G9" i="120" s="1"/>
  <c r="J23" i="57"/>
  <c r="S83" i="17"/>
  <c r="B15" i="18"/>
  <c r="M98" i="17"/>
  <c r="P82" i="17"/>
  <c r="M913" i="94"/>
  <c r="B72" i="16"/>
  <c r="B77" i="16" s="1"/>
  <c r="A47" i="15"/>
  <c r="E12" i="15"/>
  <c r="E13" i="15"/>
  <c r="E14" i="15"/>
  <c r="F17" i="103" l="1"/>
  <c r="H37" i="99"/>
  <c r="H22" i="99"/>
  <c r="D11" i="56"/>
  <c r="M1107" i="94"/>
  <c r="Q27" i="65"/>
  <c r="F20" i="103"/>
  <c r="F18" i="103"/>
  <c r="F19" i="103"/>
  <c r="H46" i="65"/>
  <c r="F21" i="103"/>
  <c r="F16" i="103"/>
  <c r="G183" i="63"/>
  <c r="K27" i="65"/>
  <c r="E183" i="63"/>
  <c r="I183" i="63"/>
  <c r="F183" i="63"/>
  <c r="I188" i="63"/>
  <c r="G188" i="63"/>
  <c r="D188" i="63"/>
  <c r="H188" i="63"/>
  <c r="E27" i="65"/>
  <c r="E192" i="63"/>
  <c r="F188" i="63"/>
  <c r="D183" i="63"/>
  <c r="H190" i="63"/>
  <c r="D192" i="63"/>
  <c r="I174" i="63"/>
  <c r="U27" i="65"/>
  <c r="T74" i="65"/>
  <c r="T86" i="65" s="1"/>
  <c r="O447" i="94"/>
  <c r="P75" i="65"/>
  <c r="C20" i="65"/>
  <c r="D169" i="63"/>
  <c r="E190" i="63"/>
  <c r="F174" i="63"/>
  <c r="H192" i="63"/>
  <c r="G192" i="63"/>
  <c r="G190" i="63"/>
  <c r="D190" i="63"/>
  <c r="F190" i="63"/>
  <c r="F192" i="63"/>
  <c r="D174" i="63"/>
  <c r="E174" i="63"/>
  <c r="E151" i="63"/>
  <c r="G174" i="63"/>
  <c r="C24" i="65"/>
  <c r="G151" i="63"/>
  <c r="F151" i="63"/>
  <c r="H151" i="63"/>
  <c r="I151" i="63"/>
  <c r="E169" i="63"/>
  <c r="G169" i="63"/>
  <c r="I169" i="63"/>
  <c r="H169" i="63"/>
  <c r="I27" i="65"/>
  <c r="E25" i="103"/>
  <c r="B45" i="65"/>
  <c r="B74" i="65" s="1"/>
  <c r="B86" i="65" s="1"/>
  <c r="B27" i="65"/>
  <c r="F100" i="103"/>
  <c r="F96" i="103"/>
  <c r="F6" i="64"/>
  <c r="J16" i="98"/>
  <c r="J39" i="41"/>
  <c r="G17" i="73" s="1"/>
  <c r="I16" i="65"/>
  <c r="K61" i="57"/>
  <c r="N61" i="57" s="1"/>
  <c r="N67" i="57" s="1"/>
  <c r="N69" i="57" s="1"/>
  <c r="N25" i="73" s="1"/>
  <c r="J18" i="101"/>
  <c r="AB75" i="65"/>
  <c r="E1008" i="94"/>
  <c r="J31" i="63"/>
  <c r="G41" i="86"/>
  <c r="E115" i="112"/>
  <c r="I57" i="46"/>
  <c r="N13" i="102" s="1"/>
  <c r="F101" i="103"/>
  <c r="E54" i="90"/>
  <c r="P136" i="63"/>
  <c r="E15" i="15"/>
  <c r="C15" i="65"/>
  <c r="I55" i="86"/>
  <c r="M8" i="64"/>
  <c r="E53" i="104"/>
  <c r="E60" i="104"/>
  <c r="E56" i="90"/>
  <c r="N21" i="102"/>
  <c r="D125" i="103"/>
  <c r="D130" i="103" s="1"/>
  <c r="F125" i="103" s="1"/>
  <c r="F98" i="103"/>
  <c r="J102" i="63"/>
  <c r="F102" i="103"/>
  <c r="F99" i="103"/>
  <c r="E70" i="103"/>
  <c r="E58" i="104"/>
  <c r="E66" i="90"/>
  <c r="E65" i="104"/>
  <c r="E67" i="20"/>
  <c r="E63" i="90"/>
  <c r="L923" i="94"/>
  <c r="E59" i="20"/>
  <c r="E66" i="20"/>
  <c r="E67" i="90"/>
  <c r="E64" i="104"/>
  <c r="E61" i="90"/>
  <c r="F1008" i="94"/>
  <c r="L1008" i="94"/>
  <c r="E66" i="104"/>
  <c r="E67" i="104"/>
  <c r="X74" i="65"/>
  <c r="X75" i="65" s="1"/>
  <c r="I39" i="113"/>
  <c r="I41" i="113"/>
  <c r="E65" i="20"/>
  <c r="E59" i="104"/>
  <c r="E61" i="104"/>
  <c r="E63" i="20"/>
  <c r="A92" i="20"/>
  <c r="E62" i="104"/>
  <c r="E63" i="104"/>
  <c r="D27" i="79"/>
  <c r="E69" i="103"/>
  <c r="S16" i="65"/>
  <c r="E57" i="20"/>
  <c r="E60" i="20"/>
  <c r="A92" i="104"/>
  <c r="F68" i="113"/>
  <c r="E64" i="20"/>
  <c r="E56" i="20"/>
  <c r="E56" i="104"/>
  <c r="E58" i="20"/>
  <c r="E57" i="104"/>
  <c r="F149" i="63"/>
  <c r="I149" i="63"/>
  <c r="D149" i="63"/>
  <c r="E149" i="63"/>
  <c r="G149" i="63"/>
  <c r="H149" i="63"/>
  <c r="E62" i="20"/>
  <c r="E115" i="20"/>
  <c r="E61" i="20"/>
  <c r="E115" i="30"/>
  <c r="E68" i="30"/>
  <c r="E54" i="20"/>
  <c r="H923" i="94"/>
  <c r="F84" i="103"/>
  <c r="F81" i="103"/>
  <c r="F80" i="103"/>
  <c r="F82" i="103"/>
  <c r="F79" i="103"/>
  <c r="F75" i="65"/>
  <c r="F46" i="65"/>
  <c r="F83" i="103"/>
  <c r="B120" i="57"/>
  <c r="B52" i="57"/>
  <c r="S83" i="87"/>
  <c r="M98" i="87"/>
  <c r="R98" i="87" s="1"/>
  <c r="G64" i="87" s="1"/>
  <c r="S85" i="87"/>
  <c r="M1136" i="94"/>
  <c r="M1143" i="94" s="1"/>
  <c r="D166" i="63"/>
  <c r="I166" i="63"/>
  <c r="J39" i="21"/>
  <c r="G13" i="73" s="1"/>
  <c r="G166" i="63"/>
  <c r="H166" i="63"/>
  <c r="F166" i="63"/>
  <c r="J39" i="105"/>
  <c r="G23" i="73" s="1"/>
  <c r="J39" i="91"/>
  <c r="G21" i="73" s="1"/>
  <c r="F116" i="103"/>
  <c r="F105" i="103"/>
  <c r="G41" i="109"/>
  <c r="I39" i="109" s="1"/>
  <c r="E115" i="108"/>
  <c r="F109" i="103"/>
  <c r="F107" i="103"/>
  <c r="F110" i="103"/>
  <c r="F114" i="103"/>
  <c r="F115" i="103"/>
  <c r="K7" i="64"/>
  <c r="M7" i="64"/>
  <c r="F68" i="105"/>
  <c r="G41" i="105"/>
  <c r="I23" i="98" s="1"/>
  <c r="F923" i="94"/>
  <c r="D85" i="57" s="1"/>
  <c r="D90" i="57" s="1"/>
  <c r="D93" i="57" s="1"/>
  <c r="D95" i="57" s="1"/>
  <c r="E58" i="90"/>
  <c r="E115" i="90"/>
  <c r="E14" i="50"/>
  <c r="E65" i="90"/>
  <c r="P82" i="87"/>
  <c r="G923" i="94"/>
  <c r="F108" i="103"/>
  <c r="F120" i="103"/>
  <c r="J1008" i="94"/>
  <c r="D923" i="94"/>
  <c r="C28" i="57"/>
  <c r="E15" i="50"/>
  <c r="B77" i="86"/>
  <c r="B80" i="86" s="1"/>
  <c r="B82" i="86" s="1"/>
  <c r="D1008" i="94"/>
  <c r="E12" i="50"/>
  <c r="E17" i="50" s="1"/>
  <c r="E60" i="90"/>
  <c r="G1008" i="94"/>
  <c r="E923" i="94"/>
  <c r="F119" i="103"/>
  <c r="Q120" i="63"/>
  <c r="E68" i="40"/>
  <c r="E14" i="25"/>
  <c r="E115" i="45"/>
  <c r="E12" i="25"/>
  <c r="E59" i="90"/>
  <c r="E68" i="82"/>
  <c r="I1008" i="94"/>
  <c r="E115" i="25"/>
  <c r="F106" i="103"/>
  <c r="F117" i="103"/>
  <c r="E15" i="25"/>
  <c r="E115" i="116"/>
  <c r="E68" i="112"/>
  <c r="E13" i="25"/>
  <c r="A92" i="90"/>
  <c r="E115" i="40"/>
  <c r="A47" i="25"/>
  <c r="E64" i="90"/>
  <c r="F68" i="83"/>
  <c r="H1008" i="94"/>
  <c r="F111" i="103"/>
  <c r="E62" i="90"/>
  <c r="I923" i="94"/>
  <c r="G24" i="57"/>
  <c r="H51" i="101" s="1"/>
  <c r="H55" i="101" s="1"/>
  <c r="E57" i="90"/>
  <c r="E115" i="50"/>
  <c r="K11" i="64"/>
  <c r="M11" i="64"/>
  <c r="G41" i="91"/>
  <c r="I41" i="91" s="1"/>
  <c r="F68" i="91"/>
  <c r="G41" i="16"/>
  <c r="F68" i="16"/>
  <c r="F68" i="21"/>
  <c r="G41" i="21"/>
  <c r="I41" i="21" s="1"/>
  <c r="S83" i="14"/>
  <c r="B15" i="6"/>
  <c r="M916" i="94"/>
  <c r="S85" i="14"/>
  <c r="B72" i="2"/>
  <c r="B77" i="2" s="1"/>
  <c r="M98" i="14"/>
  <c r="P82" i="14"/>
  <c r="D86" i="65"/>
  <c r="D75" i="65"/>
  <c r="A47" i="1"/>
  <c r="E13" i="1"/>
  <c r="E14" i="1"/>
  <c r="E15" i="1"/>
  <c r="N22" i="102"/>
  <c r="H23" i="99"/>
  <c r="S83" i="92"/>
  <c r="M915" i="94"/>
  <c r="B15" i="93"/>
  <c r="M98" i="92"/>
  <c r="P82" i="92"/>
  <c r="B72" i="91"/>
  <c r="B77" i="91" s="1"/>
  <c r="O11" i="74"/>
  <c r="F24" i="74"/>
  <c r="F39" i="74" s="1"/>
  <c r="D150" i="63"/>
  <c r="G150" i="63"/>
  <c r="F150" i="63"/>
  <c r="H150" i="63"/>
  <c r="I150" i="63"/>
  <c r="E150" i="63"/>
  <c r="N14" i="102"/>
  <c r="H15" i="99"/>
  <c r="H18" i="73"/>
  <c r="J39" i="46"/>
  <c r="G18" i="73" s="1"/>
  <c r="E73" i="63"/>
  <c r="E75" i="63"/>
  <c r="O13" i="74"/>
  <c r="E189" i="63"/>
  <c r="G189" i="63"/>
  <c r="H189" i="63"/>
  <c r="F189" i="63"/>
  <c r="I189" i="63"/>
  <c r="D189" i="63"/>
  <c r="R75" i="65"/>
  <c r="R86" i="65"/>
  <c r="D15" i="64"/>
  <c r="B68" i="91"/>
  <c r="N11" i="102"/>
  <c r="H12" i="99"/>
  <c r="J14" i="80"/>
  <c r="K14" i="80" s="1"/>
  <c r="E14" i="120"/>
  <c r="G14" i="120" s="1"/>
  <c r="B68" i="46"/>
  <c r="J39" i="2"/>
  <c r="G11" i="73" s="1"/>
  <c r="O18" i="74"/>
  <c r="K51" i="101"/>
  <c r="K55" i="101" s="1"/>
  <c r="L42" i="98"/>
  <c r="J36" i="57"/>
  <c r="J25" i="73" s="1"/>
  <c r="L25" i="98"/>
  <c r="G16" i="99"/>
  <c r="L15" i="102"/>
  <c r="G41" i="26"/>
  <c r="F68" i="26"/>
  <c r="AC29" i="100"/>
  <c r="D187" i="63"/>
  <c r="F187" i="63"/>
  <c r="I187" i="63"/>
  <c r="H187" i="63"/>
  <c r="G187" i="63"/>
  <c r="E187" i="63"/>
  <c r="B68" i="26"/>
  <c r="J12" i="80"/>
  <c r="K12" i="80" s="1"/>
  <c r="E10" i="120"/>
  <c r="G10" i="120" s="1"/>
  <c r="O609" i="94"/>
  <c r="K923" i="94"/>
  <c r="G27" i="57"/>
  <c r="J26" i="57"/>
  <c r="J28" i="57" s="1"/>
  <c r="I25" i="73" s="1"/>
  <c r="D186" i="63"/>
  <c r="I186" i="63"/>
  <c r="E186" i="63"/>
  <c r="F186" i="63"/>
  <c r="H186" i="63"/>
  <c r="G186" i="63"/>
  <c r="F160" i="63"/>
  <c r="H160" i="63"/>
  <c r="I160" i="63"/>
  <c r="G160" i="63"/>
  <c r="E160" i="63"/>
  <c r="D160" i="63"/>
  <c r="O16" i="74"/>
  <c r="D75" i="63"/>
  <c r="D73" i="63"/>
  <c r="P134" i="63"/>
  <c r="I41" i="117"/>
  <c r="I39" i="117"/>
  <c r="I39" i="41"/>
  <c r="M12" i="101"/>
  <c r="K59" i="57"/>
  <c r="L59" i="57" s="1"/>
  <c r="I59" i="57"/>
  <c r="I23" i="102" s="1"/>
  <c r="I46" i="102" s="1"/>
  <c r="I50" i="102" s="1"/>
  <c r="J15" i="80"/>
  <c r="E12" i="120"/>
  <c r="G12" i="120" s="1"/>
  <c r="B68" i="36"/>
  <c r="F64" i="57"/>
  <c r="F67" i="57" s="1"/>
  <c r="E17" i="120"/>
  <c r="G17" i="120" s="1"/>
  <c r="F82" i="117"/>
  <c r="F83" i="117" s="1"/>
  <c r="D20" i="81" s="1"/>
  <c r="B68" i="2"/>
  <c r="E7" i="120"/>
  <c r="G7" i="120" s="1"/>
  <c r="J11" i="80"/>
  <c r="K11" i="80" s="1"/>
  <c r="Z86" i="65"/>
  <c r="Z75" i="65"/>
  <c r="D57" i="103"/>
  <c r="F52" i="103" s="1"/>
  <c r="H17" i="99"/>
  <c r="N16" i="102"/>
  <c r="M106" i="110"/>
  <c r="M107" i="110" s="1"/>
  <c r="E18" i="81" s="1"/>
  <c r="R98" i="110"/>
  <c r="G64" i="110" s="1"/>
  <c r="D17" i="45"/>
  <c r="J31" i="57"/>
  <c r="D115" i="56"/>
  <c r="E105" i="56" s="1"/>
  <c r="S83" i="62"/>
  <c r="M919" i="94"/>
  <c r="M98" i="62"/>
  <c r="B15" i="53"/>
  <c r="P82" i="62"/>
  <c r="B72" i="51"/>
  <c r="B77" i="51" s="1"/>
  <c r="S85" i="62"/>
  <c r="E115" i="85"/>
  <c r="D148" i="63"/>
  <c r="H148" i="63"/>
  <c r="G148" i="63"/>
  <c r="F148" i="63"/>
  <c r="I148" i="63"/>
  <c r="E148" i="63"/>
  <c r="O21" i="74"/>
  <c r="K1008" i="94"/>
  <c r="J39" i="51"/>
  <c r="G19" i="73" s="1"/>
  <c r="J39" i="16"/>
  <c r="G12" i="73" s="1"/>
  <c r="D68" i="50"/>
  <c r="E58" i="50" s="1"/>
  <c r="D68" i="35"/>
  <c r="E58" i="35" s="1"/>
  <c r="N24" i="74"/>
  <c r="N39" i="74" s="1"/>
  <c r="H20" i="99"/>
  <c r="N19" i="102"/>
  <c r="E17" i="40"/>
  <c r="J20" i="101"/>
  <c r="J21" i="98"/>
  <c r="E115" i="82"/>
  <c r="F66" i="63"/>
  <c r="K53" i="63"/>
  <c r="J10" i="101"/>
  <c r="J11" i="98"/>
  <c r="F68" i="86"/>
  <c r="L16" i="102"/>
  <c r="G17" i="99"/>
  <c r="F77" i="109"/>
  <c r="F80" i="109" s="1"/>
  <c r="F82" i="109" s="1"/>
  <c r="F83" i="109" s="1"/>
  <c r="D18" i="81" s="1"/>
  <c r="B80" i="109"/>
  <c r="B82" i="109" s="1"/>
  <c r="E115" i="104"/>
  <c r="D68" i="45"/>
  <c r="J51" i="57"/>
  <c r="K25" i="73" s="1"/>
  <c r="D68" i="15"/>
  <c r="E58" i="15" s="1"/>
  <c r="H185" i="63"/>
  <c r="D185" i="63"/>
  <c r="F185" i="63"/>
  <c r="E185" i="63"/>
  <c r="G185" i="63"/>
  <c r="I185" i="63"/>
  <c r="E15" i="64"/>
  <c r="J14" i="98"/>
  <c r="J11" i="101"/>
  <c r="J23" i="101"/>
  <c r="J23" i="98"/>
  <c r="E191" i="63"/>
  <c r="H191" i="63"/>
  <c r="I191" i="63"/>
  <c r="G191" i="63"/>
  <c r="D191" i="63"/>
  <c r="F191" i="63"/>
  <c r="D68" i="25"/>
  <c r="E58" i="25"/>
  <c r="L9" i="64"/>
  <c r="M9" i="64"/>
  <c r="F68" i="31"/>
  <c r="G41" i="31"/>
  <c r="M106" i="84"/>
  <c r="M1005" i="94"/>
  <c r="R98" i="84"/>
  <c r="G64" i="84" s="1"/>
  <c r="S89" i="84"/>
  <c r="B19" i="88"/>
  <c r="L14" i="102"/>
  <c r="G15" i="99"/>
  <c r="E68" i="108"/>
  <c r="I17" i="98"/>
  <c r="F39" i="57"/>
  <c r="F72" i="63"/>
  <c r="K59" i="63"/>
  <c r="B80" i="83"/>
  <c r="B82" i="83" s="1"/>
  <c r="F77" i="83"/>
  <c r="F80" i="83" s="1"/>
  <c r="K55" i="57"/>
  <c r="I55" i="57"/>
  <c r="H23" i="102" s="1"/>
  <c r="H46" i="102" s="1"/>
  <c r="I21" i="73"/>
  <c r="I41" i="109"/>
  <c r="D163" i="63"/>
  <c r="E163" i="63"/>
  <c r="I163" i="63"/>
  <c r="F163" i="63"/>
  <c r="H163" i="63"/>
  <c r="G163" i="63"/>
  <c r="F51" i="57"/>
  <c r="F45" i="103"/>
  <c r="F47" i="103"/>
  <c r="F42" i="103"/>
  <c r="F44" i="103"/>
  <c r="F46" i="103"/>
  <c r="F48" i="103"/>
  <c r="G11" i="99"/>
  <c r="L10" i="102"/>
  <c r="D68" i="1"/>
  <c r="N20" i="102"/>
  <c r="H21" i="99"/>
  <c r="H38" i="99"/>
  <c r="B15" i="33"/>
  <c r="B72" i="31"/>
  <c r="B77" i="31" s="1"/>
  <c r="M98" i="32"/>
  <c r="M914" i="94"/>
  <c r="S83" i="32"/>
  <c r="P82" i="32"/>
  <c r="S85" i="32"/>
  <c r="H14" i="73"/>
  <c r="J39" i="26"/>
  <c r="G14" i="73" s="1"/>
  <c r="G13" i="99"/>
  <c r="L12" i="102"/>
  <c r="E115" i="35"/>
  <c r="F32" i="57"/>
  <c r="J32" i="57" s="1"/>
  <c r="C32" i="57"/>
  <c r="C33" i="57" s="1"/>
  <c r="F71" i="63"/>
  <c r="K58" i="63"/>
  <c r="G14" i="99"/>
  <c r="L13" i="102"/>
  <c r="I74" i="57"/>
  <c r="O19" i="74"/>
  <c r="G41" i="2"/>
  <c r="F68" i="2"/>
  <c r="G20" i="99"/>
  <c r="L19" i="102"/>
  <c r="N74" i="65"/>
  <c r="N46" i="65"/>
  <c r="E182" i="63"/>
  <c r="F182" i="63"/>
  <c r="H182" i="63"/>
  <c r="G182" i="63"/>
  <c r="D182" i="63"/>
  <c r="I182" i="63"/>
  <c r="N15" i="102"/>
  <c r="H16" i="99"/>
  <c r="J13" i="101"/>
  <c r="J18" i="98"/>
  <c r="J14" i="101"/>
  <c r="J19" i="98"/>
  <c r="E17" i="15"/>
  <c r="F82" i="113"/>
  <c r="F83" i="113" s="1"/>
  <c r="D19" i="81" s="1"/>
  <c r="I184" i="63"/>
  <c r="E184" i="63"/>
  <c r="D184" i="63"/>
  <c r="H184" i="63"/>
  <c r="G184" i="63"/>
  <c r="F184" i="63"/>
  <c r="G172" i="63"/>
  <c r="F172" i="63"/>
  <c r="H172" i="63"/>
  <c r="I172" i="63"/>
  <c r="E172" i="63"/>
  <c r="D172" i="63"/>
  <c r="E53" i="116"/>
  <c r="E56" i="116"/>
  <c r="A92" i="116"/>
  <c r="E59" i="116"/>
  <c r="E57" i="116"/>
  <c r="E64" i="116"/>
  <c r="E62" i="116"/>
  <c r="E61" i="116"/>
  <c r="E65" i="116"/>
  <c r="E54" i="116"/>
  <c r="E67" i="116"/>
  <c r="E63" i="116"/>
  <c r="E60" i="116"/>
  <c r="E66" i="116"/>
  <c r="H11" i="99"/>
  <c r="N10" i="102"/>
  <c r="M98" i="27"/>
  <c r="J87" i="65" s="1"/>
  <c r="S83" i="27"/>
  <c r="P82" i="27"/>
  <c r="M912" i="94"/>
  <c r="B15" i="28"/>
  <c r="B72" i="26"/>
  <c r="B77" i="26" s="1"/>
  <c r="S85" i="27"/>
  <c r="E12" i="1"/>
  <c r="L20" i="102"/>
  <c r="G21" i="99"/>
  <c r="G38" i="99"/>
  <c r="O14" i="74"/>
  <c r="J104" i="63"/>
  <c r="H13" i="99"/>
  <c r="N12" i="102"/>
  <c r="P82" i="47"/>
  <c r="M922" i="94"/>
  <c r="B72" i="46"/>
  <c r="B77" i="46" s="1"/>
  <c r="M98" i="47"/>
  <c r="S83" i="47"/>
  <c r="S85" i="47" s="1"/>
  <c r="B15" i="48"/>
  <c r="F43" i="103"/>
  <c r="G41" i="46"/>
  <c r="F68" i="46"/>
  <c r="I170" i="63"/>
  <c r="H170" i="63"/>
  <c r="F170" i="63"/>
  <c r="E170" i="63"/>
  <c r="D170" i="63"/>
  <c r="G170" i="63"/>
  <c r="K66" i="57"/>
  <c r="O66" i="57" s="1"/>
  <c r="O67" i="57" s="1"/>
  <c r="O69" i="57" s="1"/>
  <c r="P25" i="73" s="1"/>
  <c r="I66" i="57"/>
  <c r="K23" i="102" s="1"/>
  <c r="K46" i="102" s="1"/>
  <c r="K50" i="102" s="1"/>
  <c r="F68" i="36"/>
  <c r="G41" i="36"/>
  <c r="J19" i="101"/>
  <c r="J12" i="98"/>
  <c r="L86" i="65"/>
  <c r="L75" i="65"/>
  <c r="J13" i="98"/>
  <c r="J16" i="101"/>
  <c r="E115" i="15"/>
  <c r="B19" i="111"/>
  <c r="S89" i="110"/>
  <c r="F64" i="63"/>
  <c r="F60" i="63"/>
  <c r="K60" i="63" s="1"/>
  <c r="K51" i="63"/>
  <c r="F67" i="63"/>
  <c r="K54" i="63"/>
  <c r="E115" i="1"/>
  <c r="G41" i="51"/>
  <c r="F68" i="51"/>
  <c r="G12" i="99"/>
  <c r="L11" i="102"/>
  <c r="D17" i="35"/>
  <c r="E12" i="35" s="1"/>
  <c r="D58" i="56"/>
  <c r="D68" i="56" s="1"/>
  <c r="E59" i="56" s="1"/>
  <c r="B116" i="57"/>
  <c r="D12" i="56"/>
  <c r="D17" i="56" s="1"/>
  <c r="E12" i="56" s="1"/>
  <c r="F28" i="57"/>
  <c r="E11" i="1"/>
  <c r="I173" i="63"/>
  <c r="G173" i="63"/>
  <c r="E173" i="63"/>
  <c r="D173" i="63"/>
  <c r="H173" i="63"/>
  <c r="F173" i="63"/>
  <c r="E17" i="108"/>
  <c r="L6" i="64"/>
  <c r="G15" i="64"/>
  <c r="L15" i="64" s="1"/>
  <c r="M6" i="64"/>
  <c r="K6" i="64"/>
  <c r="G23" i="99"/>
  <c r="L22" i="102"/>
  <c r="E67" i="57"/>
  <c r="E81" i="57" s="1"/>
  <c r="E95" i="57" s="1"/>
  <c r="J923" i="94"/>
  <c r="F63" i="103"/>
  <c r="F64" i="103"/>
  <c r="F9" i="103"/>
  <c r="F6" i="103"/>
  <c r="F8" i="103"/>
  <c r="F11" i="103"/>
  <c r="F10" i="103"/>
  <c r="F12" i="103"/>
  <c r="F181" i="63"/>
  <c r="E181" i="63"/>
  <c r="I181" i="63"/>
  <c r="H181" i="63"/>
  <c r="D181" i="63"/>
  <c r="G181" i="63"/>
  <c r="V75" i="65"/>
  <c r="V86" i="65"/>
  <c r="V87" i="65" s="1"/>
  <c r="E17" i="112"/>
  <c r="F88" i="103"/>
  <c r="F90" i="103"/>
  <c r="F91" i="103"/>
  <c r="F93" i="103"/>
  <c r="F92" i="103"/>
  <c r="F89" i="103"/>
  <c r="E68" i="85"/>
  <c r="E13" i="82"/>
  <c r="E14" i="82"/>
  <c r="A47" i="82"/>
  <c r="E12" i="82"/>
  <c r="E15" i="82"/>
  <c r="I20" i="98"/>
  <c r="I41" i="83"/>
  <c r="M15" i="101"/>
  <c r="I39" i="83"/>
  <c r="S91" i="118"/>
  <c r="B23" i="119"/>
  <c r="B9" i="119" s="1"/>
  <c r="S91" i="114"/>
  <c r="B23" i="115"/>
  <c r="E12" i="104"/>
  <c r="E15" i="104"/>
  <c r="E13" i="104"/>
  <c r="E14" i="104"/>
  <c r="A47" i="104"/>
  <c r="S85" i="106"/>
  <c r="I41" i="105"/>
  <c r="B80" i="105"/>
  <c r="B82" i="105" s="1"/>
  <c r="F77" i="105"/>
  <c r="F80" i="105" s="1"/>
  <c r="M106" i="106"/>
  <c r="R98" i="106"/>
  <c r="G64" i="106" s="1"/>
  <c r="M1006" i="94"/>
  <c r="AB87" i="65"/>
  <c r="S89" i="87"/>
  <c r="I41" i="86"/>
  <c r="E12" i="85"/>
  <c r="A47" i="85"/>
  <c r="E15" i="85"/>
  <c r="E14" i="85"/>
  <c r="E13" i="85"/>
  <c r="F77" i="86"/>
  <c r="F80" i="86" s="1"/>
  <c r="E13" i="90"/>
  <c r="E15" i="90"/>
  <c r="A47" i="90"/>
  <c r="E14" i="90"/>
  <c r="E12" i="90"/>
  <c r="M106" i="42"/>
  <c r="R98" i="42"/>
  <c r="G64" i="42" s="1"/>
  <c r="M1002" i="94"/>
  <c r="P87" i="65"/>
  <c r="B19" i="43"/>
  <c r="S89" i="42"/>
  <c r="B80" i="41"/>
  <c r="B82" i="41" s="1"/>
  <c r="F77" i="41"/>
  <c r="F80" i="41" s="1"/>
  <c r="F82" i="41" s="1"/>
  <c r="F83" i="41" s="1"/>
  <c r="D11" i="81" s="1"/>
  <c r="R98" i="37"/>
  <c r="G64" i="37" s="1"/>
  <c r="M1003" i="94"/>
  <c r="M106" i="37"/>
  <c r="F77" i="36"/>
  <c r="F80" i="36" s="1"/>
  <c r="B80" i="36"/>
  <c r="S85" i="37"/>
  <c r="E17" i="30"/>
  <c r="S89" i="22"/>
  <c r="B19" i="23"/>
  <c r="B80" i="21"/>
  <c r="B82" i="21" s="1"/>
  <c r="F77" i="21"/>
  <c r="F80" i="21" s="1"/>
  <c r="D147" i="63"/>
  <c r="H147" i="63"/>
  <c r="G147" i="63"/>
  <c r="E147" i="63"/>
  <c r="I147" i="63"/>
  <c r="F147" i="63"/>
  <c r="H86" i="65"/>
  <c r="H87" i="65" s="1"/>
  <c r="H75" i="65"/>
  <c r="M12" i="64"/>
  <c r="K12" i="64"/>
  <c r="M996" i="94"/>
  <c r="M106" i="22"/>
  <c r="R98" i="22"/>
  <c r="G64" i="22" s="1"/>
  <c r="I46" i="63"/>
  <c r="I44" i="63"/>
  <c r="E13" i="20"/>
  <c r="E12" i="20"/>
  <c r="E15" i="20"/>
  <c r="E14" i="20"/>
  <c r="A47" i="20"/>
  <c r="F30" i="103"/>
  <c r="F27" i="103"/>
  <c r="F28" i="103"/>
  <c r="F26" i="103"/>
  <c r="F29" i="103"/>
  <c r="F25" i="103"/>
  <c r="K14" i="64"/>
  <c r="M14" i="64"/>
  <c r="F15" i="64"/>
  <c r="B80" i="16"/>
  <c r="B82" i="16" s="1"/>
  <c r="F77" i="16"/>
  <c r="F80" i="16" s="1"/>
  <c r="M106" i="17"/>
  <c r="M998" i="94"/>
  <c r="R98" i="17"/>
  <c r="G64" i="17" s="1"/>
  <c r="F87" i="65"/>
  <c r="S85" i="17"/>
  <c r="M21" i="101" l="1"/>
  <c r="I22" i="98"/>
  <c r="G22" i="99"/>
  <c r="G37" i="99"/>
  <c r="I39" i="86"/>
  <c r="X86" i="65"/>
  <c r="X87" i="65" s="1"/>
  <c r="T75" i="65"/>
  <c r="C26" i="65"/>
  <c r="H14" i="99"/>
  <c r="B46" i="65"/>
  <c r="B122" i="57"/>
  <c r="K42" i="98"/>
  <c r="O25" i="73"/>
  <c r="H152" i="63"/>
  <c r="E68" i="104"/>
  <c r="I39" i="105"/>
  <c r="C16" i="65"/>
  <c r="L21" i="102"/>
  <c r="B126" i="57"/>
  <c r="J25" i="80"/>
  <c r="K25" i="80" s="1"/>
  <c r="B81" i="57"/>
  <c r="B75" i="65" s="1"/>
  <c r="F82" i="105"/>
  <c r="F83" i="105" s="1"/>
  <c r="D17" i="81" s="1"/>
  <c r="F152" i="63"/>
  <c r="M23" i="101"/>
  <c r="E68" i="20"/>
  <c r="E17" i="25"/>
  <c r="F82" i="86"/>
  <c r="F83" i="86" s="1"/>
  <c r="D15" i="81" s="1"/>
  <c r="E68" i="90"/>
  <c r="I39" i="91"/>
  <c r="M20" i="101"/>
  <c r="I21" i="98"/>
  <c r="F82" i="21"/>
  <c r="F83" i="21" s="1"/>
  <c r="D7" i="81" s="1"/>
  <c r="D87" i="65"/>
  <c r="K25" i="98"/>
  <c r="I24" i="57"/>
  <c r="M106" i="87"/>
  <c r="I26" i="57"/>
  <c r="E175" i="63"/>
  <c r="G152" i="63"/>
  <c r="I175" i="63"/>
  <c r="D152" i="63"/>
  <c r="G175" i="63"/>
  <c r="F175" i="63"/>
  <c r="F127" i="103"/>
  <c r="H175" i="63"/>
  <c r="L87" i="65"/>
  <c r="F82" i="83"/>
  <c r="F83" i="83" s="1"/>
  <c r="D14" i="81" s="1"/>
  <c r="Z87" i="65"/>
  <c r="M923" i="94"/>
  <c r="O923" i="94" s="1"/>
  <c r="M16" i="101"/>
  <c r="I39" i="21"/>
  <c r="B82" i="36"/>
  <c r="F128" i="103"/>
  <c r="D175" i="63"/>
  <c r="E15" i="56"/>
  <c r="L51" i="101"/>
  <c r="L55" i="101" s="1"/>
  <c r="O25" i="98"/>
  <c r="H25" i="80"/>
  <c r="I25" i="80" s="1"/>
  <c r="O42" i="98"/>
  <c r="F33" i="57"/>
  <c r="F52" i="57" s="1"/>
  <c r="F73" i="63"/>
  <c r="F75" i="63"/>
  <c r="E68" i="116"/>
  <c r="A47" i="45"/>
  <c r="E14" i="45"/>
  <c r="E15" i="45"/>
  <c r="E11" i="45"/>
  <c r="E13" i="45"/>
  <c r="I41" i="26"/>
  <c r="I39" i="26"/>
  <c r="M11" i="101"/>
  <c r="I14" i="98"/>
  <c r="E104" i="56"/>
  <c r="E12" i="45"/>
  <c r="F77" i="51"/>
  <c r="F80" i="51" s="1"/>
  <c r="F82" i="51" s="1"/>
  <c r="F83" i="51" s="1"/>
  <c r="D13" i="81" s="1"/>
  <c r="B80" i="51"/>
  <c r="B82" i="51" s="1"/>
  <c r="F126" i="103"/>
  <c r="E17" i="90"/>
  <c r="D193" i="63"/>
  <c r="F77" i="26"/>
  <c r="F80" i="26" s="1"/>
  <c r="F82" i="26" s="1"/>
  <c r="F83" i="26" s="1"/>
  <c r="D8" i="81" s="1"/>
  <c r="B80" i="26"/>
  <c r="B19" i="33"/>
  <c r="S89" i="32"/>
  <c r="F77" i="2"/>
  <c r="F80" i="2" s="1"/>
  <c r="F82" i="2" s="1"/>
  <c r="F83" i="2" s="1"/>
  <c r="D5" i="81" s="1"/>
  <c r="B80" i="2"/>
  <c r="B82" i="2" s="1"/>
  <c r="M18" i="101"/>
  <c r="I16" i="98"/>
  <c r="E62" i="45"/>
  <c r="E57" i="45"/>
  <c r="E53" i="45"/>
  <c r="A92" i="45"/>
  <c r="E56" i="45"/>
  <c r="E64" i="45"/>
  <c r="E60" i="45"/>
  <c r="E63" i="45"/>
  <c r="E54" i="45"/>
  <c r="E67" i="45"/>
  <c r="E61" i="45"/>
  <c r="E59" i="45"/>
  <c r="E65" i="45"/>
  <c r="E66" i="45"/>
  <c r="M1007" i="94"/>
  <c r="R98" i="47"/>
  <c r="G64" i="47" s="1"/>
  <c r="M106" i="47"/>
  <c r="B82" i="26"/>
  <c r="M1001" i="94"/>
  <c r="R98" i="14"/>
  <c r="G64" i="14" s="1"/>
  <c r="M106" i="14"/>
  <c r="E112" i="56"/>
  <c r="B23" i="88"/>
  <c r="B9" i="88" s="1"/>
  <c r="S91" i="84"/>
  <c r="H156" i="63"/>
  <c r="E156" i="63"/>
  <c r="G156" i="63"/>
  <c r="D156" i="63"/>
  <c r="F156" i="63"/>
  <c r="I156" i="63"/>
  <c r="B19" i="6"/>
  <c r="S89" i="14"/>
  <c r="A136" i="56"/>
  <c r="E109" i="56"/>
  <c r="E108" i="56"/>
  <c r="E111" i="56"/>
  <c r="E107" i="56"/>
  <c r="J33" i="57"/>
  <c r="H25" i="73" s="1"/>
  <c r="I11" i="98"/>
  <c r="I41" i="2"/>
  <c r="M10" i="101"/>
  <c r="I39" i="2"/>
  <c r="E21" i="120"/>
  <c r="G21" i="120" s="1"/>
  <c r="K67" i="57"/>
  <c r="K69" i="57" s="1"/>
  <c r="L25" i="73" s="1"/>
  <c r="L55" i="57"/>
  <c r="L67" i="57" s="1"/>
  <c r="L69" i="57" s="1"/>
  <c r="M25" i="73" s="1"/>
  <c r="F82" i="16"/>
  <c r="F83" i="16" s="1"/>
  <c r="D6" i="81" s="1"/>
  <c r="E113" i="56"/>
  <c r="E58" i="45"/>
  <c r="G193" i="63"/>
  <c r="E66" i="56"/>
  <c r="E17" i="85"/>
  <c r="H193" i="63"/>
  <c r="D133" i="103"/>
  <c r="F124" i="103"/>
  <c r="E14" i="56"/>
  <c r="F82" i="36"/>
  <c r="F83" i="36" s="1"/>
  <c r="D10" i="81" s="1"/>
  <c r="I193" i="63"/>
  <c r="N86" i="65"/>
  <c r="N87" i="65" s="1"/>
  <c r="N75" i="65"/>
  <c r="R98" i="62"/>
  <c r="G64" i="62" s="1"/>
  <c r="M106" i="62"/>
  <c r="M1004" i="94"/>
  <c r="G155" i="63"/>
  <c r="F155" i="63"/>
  <c r="I155" i="63"/>
  <c r="D155" i="63"/>
  <c r="H155" i="63"/>
  <c r="E155" i="63"/>
  <c r="S89" i="47"/>
  <c r="B19" i="48"/>
  <c r="E17" i="1"/>
  <c r="A47" i="35"/>
  <c r="E13" i="35"/>
  <c r="E15" i="35"/>
  <c r="E14" i="35"/>
  <c r="E11" i="35"/>
  <c r="B19" i="28"/>
  <c r="S89" i="27"/>
  <c r="E193" i="63"/>
  <c r="M14" i="101"/>
  <c r="I41" i="51"/>
  <c r="I39" i="51"/>
  <c r="I19" i="98"/>
  <c r="R87" i="65"/>
  <c r="H50" i="102"/>
  <c r="E64" i="15"/>
  <c r="E53" i="15"/>
  <c r="E66" i="15"/>
  <c r="E65" i="15"/>
  <c r="E67" i="15"/>
  <c r="A92" i="15"/>
  <c r="E60" i="15"/>
  <c r="E61" i="15"/>
  <c r="E54" i="15"/>
  <c r="E62" i="15"/>
  <c r="E56" i="15"/>
  <c r="E59" i="15"/>
  <c r="E57" i="15"/>
  <c r="E63" i="15"/>
  <c r="I68" i="57"/>
  <c r="L23" i="102" s="1"/>
  <c r="I76" i="57"/>
  <c r="I70" i="57" s="1"/>
  <c r="N23" i="102" s="1"/>
  <c r="N46" i="102" s="1"/>
  <c r="N50" i="102" s="1"/>
  <c r="E56" i="50"/>
  <c r="E54" i="50"/>
  <c r="E67" i="50"/>
  <c r="E62" i="50"/>
  <c r="E66" i="50"/>
  <c r="E63" i="50"/>
  <c r="E64" i="50"/>
  <c r="E65" i="50"/>
  <c r="E57" i="50"/>
  <c r="A92" i="50"/>
  <c r="E59" i="50"/>
  <c r="E60" i="50"/>
  <c r="E53" i="50"/>
  <c r="E61" i="50"/>
  <c r="M106" i="92"/>
  <c r="M1000" i="94"/>
  <c r="R98" i="92"/>
  <c r="G64" i="92" s="1"/>
  <c r="S91" i="110"/>
  <c r="B23" i="111"/>
  <c r="E103" i="56"/>
  <c r="E65" i="1"/>
  <c r="E63" i="1"/>
  <c r="E64" i="1"/>
  <c r="E61" i="1"/>
  <c r="E60" i="1"/>
  <c r="E57" i="1"/>
  <c r="E62" i="1"/>
  <c r="E59" i="1"/>
  <c r="A92" i="1"/>
  <c r="E67" i="1"/>
  <c r="E54" i="1"/>
  <c r="E56" i="1"/>
  <c r="E53" i="1"/>
  <c r="E66" i="1"/>
  <c r="I12" i="98"/>
  <c r="I39" i="16"/>
  <c r="I41" i="16"/>
  <c r="M19" i="101"/>
  <c r="F129" i="103"/>
  <c r="E17" i="20"/>
  <c r="F130" i="103"/>
  <c r="E13" i="56"/>
  <c r="I152" i="63"/>
  <c r="I13" i="98"/>
  <c r="E17" i="82"/>
  <c r="F193" i="63"/>
  <c r="E106" i="56"/>
  <c r="M999" i="94"/>
  <c r="M106" i="32"/>
  <c r="R98" i="32"/>
  <c r="G64" i="32" s="1"/>
  <c r="M1039" i="94"/>
  <c r="M107" i="84"/>
  <c r="E14" i="81" s="1"/>
  <c r="F51" i="103"/>
  <c r="F53" i="103"/>
  <c r="F56" i="103"/>
  <c r="F57" i="103"/>
  <c r="F55" i="103"/>
  <c r="F54" i="103"/>
  <c r="I41" i="46"/>
  <c r="I18" i="98"/>
  <c r="M13" i="101"/>
  <c r="I39" i="46"/>
  <c r="I51" i="101"/>
  <c r="I55" i="101" s="1"/>
  <c r="G53" i="57"/>
  <c r="L25" i="80"/>
  <c r="M25" i="80" s="1"/>
  <c r="Q25" i="98"/>
  <c r="Q42" i="98"/>
  <c r="F77" i="91"/>
  <c r="F80" i="91" s="1"/>
  <c r="F82" i="91" s="1"/>
  <c r="F83" i="91" s="1"/>
  <c r="D16" i="81" s="1"/>
  <c r="B80" i="91"/>
  <c r="B82" i="91" s="1"/>
  <c r="E58" i="56"/>
  <c r="E54" i="56"/>
  <c r="E60" i="56"/>
  <c r="E61" i="56"/>
  <c r="E53" i="56"/>
  <c r="E64" i="56"/>
  <c r="A92" i="56"/>
  <c r="E57" i="56"/>
  <c r="E67" i="56"/>
  <c r="E56" i="56"/>
  <c r="E62" i="56"/>
  <c r="E65" i="56"/>
  <c r="E53" i="25"/>
  <c r="E54" i="25"/>
  <c r="E60" i="25"/>
  <c r="E64" i="25"/>
  <c r="E67" i="25"/>
  <c r="E63" i="25"/>
  <c r="E57" i="25"/>
  <c r="E66" i="25"/>
  <c r="E62" i="25"/>
  <c r="E59" i="25"/>
  <c r="E65" i="25"/>
  <c r="E61" i="25"/>
  <c r="A92" i="25"/>
  <c r="E56" i="25"/>
  <c r="B19" i="53"/>
  <c r="S89" i="62"/>
  <c r="B80" i="46"/>
  <c r="B82" i="46" s="1"/>
  <c r="F77" i="46"/>
  <c r="F80" i="46" s="1"/>
  <c r="F82" i="46" s="1"/>
  <c r="F83" i="46" s="1"/>
  <c r="D12" i="81" s="1"/>
  <c r="E58" i="1"/>
  <c r="E11" i="56"/>
  <c r="E152" i="63"/>
  <c r="A47" i="56"/>
  <c r="M106" i="27"/>
  <c r="M997" i="94"/>
  <c r="R98" i="27"/>
  <c r="G64" i="27" s="1"/>
  <c r="E110" i="56"/>
  <c r="F77" i="31"/>
  <c r="F80" i="31" s="1"/>
  <c r="F82" i="31" s="1"/>
  <c r="F83" i="31" s="1"/>
  <c r="D9" i="81" s="1"/>
  <c r="B80" i="31"/>
  <c r="B82" i="31" s="1"/>
  <c r="I15" i="98"/>
  <c r="M17" i="101"/>
  <c r="E57" i="35"/>
  <c r="E64" i="35"/>
  <c r="E60" i="35"/>
  <c r="E59" i="35"/>
  <c r="E56" i="35"/>
  <c r="E53" i="35"/>
  <c r="E62" i="35"/>
  <c r="E65" i="35"/>
  <c r="A92" i="35"/>
  <c r="E66" i="35"/>
  <c r="E61" i="35"/>
  <c r="E54" i="35"/>
  <c r="E63" i="35"/>
  <c r="E67" i="35"/>
  <c r="E102" i="56"/>
  <c r="S85" i="92"/>
  <c r="E63" i="56"/>
  <c r="T87" i="65"/>
  <c r="E17" i="104"/>
  <c r="B19" i="107"/>
  <c r="S89" i="106"/>
  <c r="M1040" i="94"/>
  <c r="M107" i="106"/>
  <c r="E17" i="81" s="1"/>
  <c r="S91" i="87"/>
  <c r="S91" i="42"/>
  <c r="B23" i="43"/>
  <c r="B9" i="43" s="1"/>
  <c r="M107" i="42"/>
  <c r="E11" i="81" s="1"/>
  <c r="M1036" i="94"/>
  <c r="S89" i="37"/>
  <c r="B19" i="38"/>
  <c r="M1037" i="94"/>
  <c r="M107" i="37"/>
  <c r="E10" i="81" s="1"/>
  <c r="M1030" i="94"/>
  <c r="M107" i="22"/>
  <c r="E7" i="81" s="1"/>
  <c r="S91" i="22"/>
  <c r="B23" i="23"/>
  <c r="B9" i="23" s="1"/>
  <c r="B19" i="18"/>
  <c r="S89" i="17"/>
  <c r="M107" i="17"/>
  <c r="E6" i="81" s="1"/>
  <c r="M1032" i="94"/>
  <c r="M15" i="64"/>
  <c r="K15" i="64"/>
  <c r="B129" i="57" l="1"/>
  <c r="L46" i="102"/>
  <c r="L50" i="102" s="1"/>
  <c r="E157" i="63"/>
  <c r="E176" i="63" s="1"/>
  <c r="E196" i="63" s="1"/>
  <c r="E17" i="35"/>
  <c r="G157" i="63"/>
  <c r="G176" i="63" s="1"/>
  <c r="G196" i="63" s="1"/>
  <c r="B85" i="57"/>
  <c r="B90" i="57" s="1"/>
  <c r="F90" i="57" s="1"/>
  <c r="F93" i="57" s="1"/>
  <c r="M107" i="87"/>
  <c r="F157" i="63"/>
  <c r="F176" i="63" s="1"/>
  <c r="F196" i="63" s="1"/>
  <c r="H157" i="63"/>
  <c r="H176" i="63" s="1"/>
  <c r="H196" i="63" s="1"/>
  <c r="D157" i="63"/>
  <c r="D176" i="63" s="1"/>
  <c r="D196" i="63" s="1"/>
  <c r="J52" i="57"/>
  <c r="G25" i="73" s="1"/>
  <c r="I157" i="63"/>
  <c r="I176" i="63" s="1"/>
  <c r="I196" i="63" s="1"/>
  <c r="M1008" i="94"/>
  <c r="O1008" i="94" s="1"/>
  <c r="E17" i="45"/>
  <c r="E17" i="56"/>
  <c r="S91" i="27"/>
  <c r="B23" i="28"/>
  <c r="B9" i="28" s="1"/>
  <c r="M107" i="62"/>
  <c r="E13" i="81" s="1"/>
  <c r="M1038" i="94"/>
  <c r="E68" i="15"/>
  <c r="S91" i="14"/>
  <c r="B23" i="6"/>
  <c r="B9" i="6" s="1"/>
  <c r="E68" i="56"/>
  <c r="M107" i="92"/>
  <c r="E16" i="81" s="1"/>
  <c r="M1034" i="94"/>
  <c r="M107" i="47"/>
  <c r="E12" i="81" s="1"/>
  <c r="M1041" i="94"/>
  <c r="E68" i="45"/>
  <c r="B23" i="33"/>
  <c r="B9" i="33" s="1"/>
  <c r="S91" i="32"/>
  <c r="J51" i="101"/>
  <c r="J55" i="101" s="1"/>
  <c r="J42" i="98"/>
  <c r="J25" i="98"/>
  <c r="M1031" i="94"/>
  <c r="M107" i="27"/>
  <c r="E8" i="81" s="1"/>
  <c r="B19" i="93"/>
  <c r="S89" i="92"/>
  <c r="E68" i="1"/>
  <c r="E115" i="56"/>
  <c r="B23" i="53"/>
  <c r="B9" i="53" s="1"/>
  <c r="S91" i="62"/>
  <c r="G54" i="57"/>
  <c r="F81" i="57"/>
  <c r="M107" i="14"/>
  <c r="E5" i="81" s="1"/>
  <c r="M1035" i="94"/>
  <c r="M107" i="32"/>
  <c r="E9" i="81" s="1"/>
  <c r="M1033" i="94"/>
  <c r="S91" i="47"/>
  <c r="B23" i="48"/>
  <c r="B9" i="48" s="1"/>
  <c r="E68" i="50"/>
  <c r="E68" i="35"/>
  <c r="E68" i="25"/>
  <c r="B88" i="65"/>
  <c r="B23" i="107"/>
  <c r="B9" i="107" s="1"/>
  <c r="S91" i="106"/>
  <c r="S91" i="37"/>
  <c r="B23" i="38"/>
  <c r="B9" i="38" s="1"/>
  <c r="B23" i="18"/>
  <c r="B9" i="18" s="1"/>
  <c r="S91" i="17"/>
  <c r="F95" i="57" l="1"/>
  <c r="F96" i="57" s="1"/>
  <c r="X46" i="102"/>
  <c r="X50" i="102" s="1"/>
  <c r="B93" i="57"/>
  <c r="B95" i="57" s="1"/>
  <c r="M1042" i="94"/>
  <c r="B87" i="65"/>
  <c r="S91" i="92"/>
  <c r="B23" i="93"/>
  <c r="B9" i="93" s="1"/>
  <c r="I52" i="57"/>
  <c r="I25" i="98"/>
  <c r="I54" i="57"/>
  <c r="M51" i="101"/>
  <c r="I42" i="98"/>
  <c r="M55" i="101" l="1"/>
  <c r="R51" i="101"/>
  <c r="R55" i="10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23" authorId="0" shapeId="0" xr:uid="{00000000-0006-0000-1300-000001000000}">
      <text>
        <r>
          <rPr>
            <b/>
            <sz val="9"/>
            <color indexed="81"/>
            <rFont val="Tahoma"/>
            <family val="2"/>
          </rPr>
          <t>..:</t>
        </r>
        <r>
          <rPr>
            <sz val="9"/>
            <color indexed="81"/>
            <rFont val="Tahoma"/>
            <family val="2"/>
          </rPr>
          <t xml:space="preserve">
State Appropriations per Full Time Student Equivalent.</t>
        </r>
      </text>
    </comment>
    <comment ref="I25" authorId="0" shapeId="0" xr:uid="{00000000-0006-0000-1300-000002000000}">
      <text>
        <r>
          <rPr>
            <b/>
            <sz val="9"/>
            <color indexed="81"/>
            <rFont val="Tahoma"/>
            <family val="2"/>
          </rPr>
          <t>..:</t>
        </r>
        <r>
          <rPr>
            <sz val="9"/>
            <color indexed="81"/>
            <rFont val="Tahoma"/>
            <family val="2"/>
          </rPr>
          <t xml:space="preserve">
State Appropriations per Full -Time Faculty Equivalent.</t>
        </r>
      </text>
    </comment>
    <comment ref="I51" authorId="0" shapeId="0" xr:uid="{00000000-0006-0000-1300-000003000000}">
      <text>
        <r>
          <rPr>
            <b/>
            <sz val="9"/>
            <color indexed="81"/>
            <rFont val="Tahoma"/>
            <family val="2"/>
          </rPr>
          <t>..:</t>
        </r>
        <r>
          <rPr>
            <sz val="9"/>
            <color indexed="81"/>
            <rFont val="Tahoma"/>
            <family val="2"/>
          </rPr>
          <t xml:space="preserve">
Total Revenue Net of Constitutional Funds Per FTSE.</t>
        </r>
      </text>
    </comment>
    <comment ref="I53" authorId="0" shapeId="0" xr:uid="{00000000-0006-0000-1300-000004000000}">
      <text>
        <r>
          <rPr>
            <b/>
            <sz val="9"/>
            <color indexed="81"/>
            <rFont val="Tahoma"/>
            <family val="2"/>
          </rPr>
          <t>..:</t>
        </r>
        <r>
          <rPr>
            <sz val="9"/>
            <color indexed="81"/>
            <rFont val="Tahoma"/>
            <family val="2"/>
          </rPr>
          <t xml:space="preserve">
Total Revenue Net of Constitutional Funds Per Full Time Faculty Equivalent.</t>
        </r>
      </text>
    </comment>
    <comment ref="I67" authorId="1" shapeId="0" xr:uid="{00000000-0006-0000-1300-000005000000}">
      <text>
        <r>
          <rPr>
            <sz val="8"/>
            <color indexed="81"/>
            <rFont val="Tahoma"/>
            <family val="2"/>
          </rPr>
          <t>Operating Expenses per FTSE - Includes Capital Outlay and Excludes Aux. &amp; Public Service and Hospitals.</t>
        </r>
      </text>
    </comment>
    <comment ref="I69" authorId="1" shapeId="0" xr:uid="{00000000-0006-0000-1300-000006000000}">
      <text>
        <r>
          <rPr>
            <sz val="8"/>
            <color indexed="81"/>
            <rFont val="Tahoma"/>
            <family val="2"/>
          </rPr>
          <t>Operating Expenses per FTEFac - Includes Capital Outlay and Excludes Aux. &amp; Public Service and Hospitals.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7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7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37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37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3700-000005000000}">
      <text>
        <r>
          <rPr>
            <sz val="8"/>
            <color indexed="81"/>
            <rFont val="Tahoma"/>
            <family val="2"/>
          </rPr>
          <t>Operating Expenses per FTSE - Includes Capital Outlay and Excludes Aux. &amp; Public Service and Hospitals.</t>
        </r>
      </text>
    </comment>
    <comment ref="I56" authorId="1" shapeId="0" xr:uid="{00000000-0006-0000-3700-000006000000}">
      <text>
        <r>
          <rPr>
            <sz val="8"/>
            <color indexed="81"/>
            <rFont val="Tahoma"/>
            <family val="2"/>
          </rPr>
          <t>Operating Expenses per FTEFac - Includes Capital Outlay and Excludes Aux. &amp; Public Service and Hospitals.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B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B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3B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3B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3B00-000005000000}">
      <text>
        <r>
          <rPr>
            <sz val="8"/>
            <color indexed="81"/>
            <rFont val="Tahoma"/>
            <family val="2"/>
          </rPr>
          <t>Operating Expenses per FTSE - Includes Capital Outlay and Excludes Aux. &amp; Public Service and Hospitals.</t>
        </r>
      </text>
    </comment>
    <comment ref="I56" authorId="1" shapeId="0" xr:uid="{00000000-0006-0000-3B00-000006000000}">
      <text>
        <r>
          <rPr>
            <sz val="8"/>
            <color indexed="81"/>
            <rFont val="Tahoma"/>
            <family val="2"/>
          </rPr>
          <t>Operating Expenses per FTEFac - Includes Capital Outlay and Excludes Aux. &amp; Public Service and Hospitals.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F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F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3F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3F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3F00-000005000000}">
      <text>
        <r>
          <rPr>
            <sz val="8"/>
            <color indexed="81"/>
            <rFont val="Tahoma"/>
            <family val="2"/>
          </rPr>
          <t>Operating Expenses per FTSE - Includes Capital Outlay and Excludes Aux. &amp; Public Service and Hospitals.</t>
        </r>
      </text>
    </comment>
    <comment ref="I56" authorId="1" shapeId="0" xr:uid="{00000000-0006-0000-3F00-000006000000}">
      <text>
        <r>
          <rPr>
            <sz val="8"/>
            <color indexed="81"/>
            <rFont val="Tahoma"/>
            <family val="2"/>
          </rPr>
          <t>Operating Expenses per FTEFac - Includes Capital Outlay and Excludes Aux. &amp; Public Service and Hospitals.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3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3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43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43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4300-000005000000}">
      <text>
        <r>
          <rPr>
            <sz val="8"/>
            <color indexed="81"/>
            <rFont val="Tahoma"/>
            <family val="2"/>
          </rPr>
          <t>Operating Expenses per FTSE - Includes Capital Outlay and Excludes Aux. &amp; Public Service and Hospitals.</t>
        </r>
      </text>
    </comment>
    <comment ref="I56" authorId="1" shapeId="0" xr:uid="{00000000-0006-0000-4300-000006000000}">
      <text>
        <r>
          <rPr>
            <sz val="8"/>
            <color indexed="81"/>
            <rFont val="Tahoma"/>
            <family val="2"/>
          </rPr>
          <t>Operating Expenses per FTEFac - Includes Capital Outlay and Excludes Aux. &amp; Public Service and Hospitals.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7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7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47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47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4700-000005000000}">
      <text>
        <r>
          <rPr>
            <sz val="8"/>
            <color indexed="81"/>
            <rFont val="Tahoma"/>
            <family val="2"/>
          </rPr>
          <t>Operating Expenses per FTSE - Includes Capital Outlay and Excludes Aux. &amp; Public Service and Hospitals.</t>
        </r>
      </text>
    </comment>
    <comment ref="I56" authorId="1" shapeId="0" xr:uid="{00000000-0006-0000-4700-000006000000}">
      <text>
        <r>
          <rPr>
            <sz val="8"/>
            <color indexed="81"/>
            <rFont val="Tahoma"/>
            <family val="2"/>
          </rPr>
          <t>Operating Expenses per FTEFac - Includes Capital Outlay and Excludes Aux. &amp; Public Service and Hospitals.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B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B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4B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4B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4B00-000005000000}">
      <text>
        <r>
          <rPr>
            <sz val="8"/>
            <color indexed="81"/>
            <rFont val="Tahoma"/>
            <family val="2"/>
          </rPr>
          <t>Operating Expenses per FTSE - Includes Capital Outlay and Excludes Aux. &amp; Public Service and Hospitals.</t>
        </r>
      </text>
    </comment>
    <comment ref="I56" authorId="1" shapeId="0" xr:uid="{00000000-0006-0000-4B00-000006000000}">
      <text>
        <r>
          <rPr>
            <sz val="8"/>
            <color indexed="81"/>
            <rFont val="Tahoma"/>
            <family val="2"/>
          </rPr>
          <t>Operating Expenses per FTEFac - Includes Capital Outlay and Excludes Aux. &amp; Public Service and Hospitals.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F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F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4F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4F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4F00-000005000000}">
      <text>
        <r>
          <rPr>
            <sz val="8"/>
            <color indexed="81"/>
            <rFont val="Tahoma"/>
            <family val="2"/>
          </rPr>
          <t>Operating Expenses per FTSE - Includes Capital Outlay and Excludes Aux. &amp; Public Service and Hospitals.</t>
        </r>
      </text>
    </comment>
    <comment ref="I56" authorId="1" shapeId="0" xr:uid="{00000000-0006-0000-4F00-000006000000}">
      <text>
        <r>
          <rPr>
            <sz val="8"/>
            <color indexed="81"/>
            <rFont val="Tahoma"/>
            <family val="2"/>
          </rPr>
          <t>Operating Expenses per FTEFac - Includes Capital Outlay and Excludes Aux. &amp; Public Service and Hospitals.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53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53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53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53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5300-000005000000}">
      <text>
        <r>
          <rPr>
            <sz val="8"/>
            <color indexed="81"/>
            <rFont val="Tahoma"/>
            <family val="2"/>
          </rPr>
          <t>Operating Expenses per FTSE - Includes Capital Outlay and Excludes Aux. &amp; Public Service and Hospitals.</t>
        </r>
      </text>
    </comment>
    <comment ref="I56" authorId="1" shapeId="0" xr:uid="{00000000-0006-0000-5300-000006000000}">
      <text>
        <r>
          <rPr>
            <sz val="8"/>
            <color indexed="81"/>
            <rFont val="Tahoma"/>
            <family val="2"/>
          </rPr>
          <t>Operating Expenses per FTEFac - Includes Capital Outlay and Excludes Aux. &amp; Public Service and Hospitals.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Q10" authorId="0" shapeId="0" xr:uid="{00000000-0006-0000-0800-000001000000}">
      <text>
        <r>
          <rPr>
            <b/>
            <sz val="9"/>
            <color indexed="81"/>
            <rFont val="Tahoma"/>
            <family val="2"/>
          </rPr>
          <t>..:</t>
        </r>
        <r>
          <rPr>
            <sz val="9"/>
            <color indexed="81"/>
            <rFont val="Tahoma"/>
            <family val="2"/>
          </rPr>
          <t xml:space="preserve">
Source:  Almanac Tab in Research Summary.  Copy and Paste values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17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17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17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17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1700-000005000000}">
      <text>
        <r>
          <rPr>
            <sz val="8"/>
            <color indexed="81"/>
            <rFont val="Tahoma"/>
            <family val="2"/>
          </rPr>
          <t>Operating Expenses per FTSE - Includes Capital Outlay and Excludes Aux. &amp; Public Service and Hospitals.</t>
        </r>
      </text>
    </comment>
    <comment ref="I56" authorId="1" shapeId="0" xr:uid="{00000000-0006-0000-1700-000006000000}">
      <text>
        <r>
          <rPr>
            <sz val="8"/>
            <color indexed="81"/>
            <rFont val="Tahoma"/>
            <family val="2"/>
          </rPr>
          <t>Operating Expenses per FTEFac - Includes Capital Outlay and Excludes Aux. &amp; Public Service and Hospitals.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1B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1B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1B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1B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1B00-000005000000}">
      <text>
        <r>
          <rPr>
            <sz val="8"/>
            <color indexed="81"/>
            <rFont val="Tahoma"/>
            <family val="2"/>
          </rPr>
          <t>Operating Expenses per FTSE - Includes Capital Outlay and Excludes Aux. &amp; Public Service and Hospitals.</t>
        </r>
      </text>
    </comment>
    <comment ref="I56" authorId="1" shapeId="0" xr:uid="{00000000-0006-0000-1B00-000006000000}">
      <text>
        <r>
          <rPr>
            <sz val="8"/>
            <color indexed="81"/>
            <rFont val="Tahoma"/>
            <family val="2"/>
          </rPr>
          <t>Operating Expenses per FTEFac - Includes Capital Outlay and Excludes Aux. &amp; Public Service and Hospitals.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1F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1F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1F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1F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1F00-000005000000}">
      <text>
        <r>
          <rPr>
            <sz val="8"/>
            <color indexed="81"/>
            <rFont val="Tahoma"/>
            <family val="2"/>
          </rPr>
          <t>Operating Expenses per FTSE - Includes Capital Outlay and Excludes Aux. &amp; Public Service and Hospitals.</t>
        </r>
      </text>
    </comment>
    <comment ref="I56" authorId="1" shapeId="0" xr:uid="{00000000-0006-0000-1F00-000006000000}">
      <text>
        <r>
          <rPr>
            <sz val="8"/>
            <color indexed="81"/>
            <rFont val="Tahoma"/>
            <family val="2"/>
          </rPr>
          <t>Operating Expenses per FTEFac - Includes Capital Outlay and Excludes Aux. &amp; Public Service and Hospitals.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3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3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23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23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2300-000005000000}">
      <text>
        <r>
          <rPr>
            <sz val="8"/>
            <color indexed="81"/>
            <rFont val="Tahoma"/>
            <family val="2"/>
          </rPr>
          <t>Operating Expenses per FTSE - Includes Capital Outlay and Excludes Aux. &amp; Public Service and Hospitals.</t>
        </r>
      </text>
    </comment>
    <comment ref="I56" authorId="1" shapeId="0" xr:uid="{00000000-0006-0000-2300-000006000000}">
      <text>
        <r>
          <rPr>
            <sz val="8"/>
            <color indexed="81"/>
            <rFont val="Tahoma"/>
            <family val="2"/>
          </rPr>
          <t>Operating Expenses per FTEFac - Includes Capital Outlay and Excludes Aux. &amp; Public Service and Hospitals.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7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7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27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27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2700-000005000000}">
      <text>
        <r>
          <rPr>
            <sz val="8"/>
            <color indexed="81"/>
            <rFont val="Tahoma"/>
            <family val="2"/>
          </rPr>
          <t>Operating Expenses per FTSE - Includes Capital Outlay and Excludes Aux. &amp; Public Service and Hospitals.</t>
        </r>
      </text>
    </comment>
    <comment ref="I56" authorId="1" shapeId="0" xr:uid="{00000000-0006-0000-2700-000006000000}">
      <text>
        <r>
          <rPr>
            <sz val="8"/>
            <color indexed="81"/>
            <rFont val="Tahoma"/>
            <family val="2"/>
          </rPr>
          <t>Operating Expenses per FTEFac - Includes Capital Outlay and Excludes Aux. &amp; Public Service and Hospitals.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B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B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2B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2B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2B00-000005000000}">
      <text>
        <r>
          <rPr>
            <sz val="8"/>
            <color indexed="81"/>
            <rFont val="Tahoma"/>
            <family val="2"/>
          </rPr>
          <t>Operating Expenses per FTSE - Includes Capital Outlay and Excludes Aux. &amp; Public Service and Hospitals.</t>
        </r>
      </text>
    </comment>
    <comment ref="I56" authorId="1" shapeId="0" xr:uid="{00000000-0006-0000-2B00-000006000000}">
      <text>
        <r>
          <rPr>
            <sz val="8"/>
            <color indexed="81"/>
            <rFont val="Tahoma"/>
            <family val="2"/>
          </rPr>
          <t>Operating Expenses per FTEFac - Includes Capital Outlay and Excludes Aux. &amp; Public Service and Hospitals.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F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F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2F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2F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2F00-000005000000}">
      <text>
        <r>
          <rPr>
            <sz val="8"/>
            <color indexed="81"/>
            <rFont val="Tahoma"/>
            <family val="2"/>
          </rPr>
          <t>Operating Expenses per FTSE - Includes Capital Outlay and Excludes Aux. &amp; Public Service and Hospitals.</t>
        </r>
      </text>
    </comment>
    <comment ref="I56" authorId="1" shapeId="0" xr:uid="{00000000-0006-0000-2F00-000006000000}">
      <text>
        <r>
          <rPr>
            <sz val="8"/>
            <color indexed="81"/>
            <rFont val="Tahoma"/>
            <family val="2"/>
          </rPr>
          <t>Operating Expenses per FTEFac - Includes Capital Outlay and Excludes Aux. &amp; Public Service and Hospitals.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3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3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33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33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3300-000005000000}">
      <text>
        <r>
          <rPr>
            <sz val="8"/>
            <color indexed="81"/>
            <rFont val="Tahoma"/>
            <family val="2"/>
          </rPr>
          <t>Operating Expenses per FTSE - Includes Capital Outlay and Excludes Aux. &amp; Public Service and Hospitals.</t>
        </r>
      </text>
    </comment>
    <comment ref="I56" authorId="1" shapeId="0" xr:uid="{00000000-0006-0000-3300-000006000000}">
      <text>
        <r>
          <rPr>
            <sz val="8"/>
            <color indexed="81"/>
            <rFont val="Tahoma"/>
            <family val="2"/>
          </rPr>
          <t>Operating Expenses per FTEFac - Includes Capital Outlay and Excludes Aux. &amp; Public Service and Hospitals.</t>
        </r>
      </text>
    </comment>
  </commentList>
</comments>
</file>

<file path=xl/sharedStrings.xml><?xml version="1.0" encoding="utf-8"?>
<sst xmlns="http://schemas.openxmlformats.org/spreadsheetml/2006/main" count="9448" uniqueCount="1719">
  <si>
    <t>Sources &amp; Uses of Funds</t>
  </si>
  <si>
    <t>Links to Sources &amp; Uses Tabs</t>
  </si>
  <si>
    <t>FY 2022 - Year Ended August 31, 2022</t>
  </si>
  <si>
    <t>Accountability</t>
  </si>
  <si>
    <t>Version 2022-1</t>
  </si>
  <si>
    <t>&amp; Almanac</t>
  </si>
  <si>
    <t>Data</t>
  </si>
  <si>
    <t xml:space="preserve"> </t>
  </si>
  <si>
    <t>For Institution Specific Questions, Please Contact the Institution Point of Contact</t>
  </si>
  <si>
    <t>HRI Institutions - Summary</t>
  </si>
  <si>
    <t>Charts</t>
  </si>
  <si>
    <t>Summary</t>
  </si>
  <si>
    <t>FGD</t>
  </si>
  <si>
    <t>Footnotes</t>
  </si>
  <si>
    <t>Institution Point of Contact for Sources &amp; Uses</t>
  </si>
  <si>
    <t>HRI  Institutions - Side by Side Summary</t>
  </si>
  <si>
    <t>Name</t>
  </si>
  <si>
    <t>Phone Number</t>
  </si>
  <si>
    <t>Email</t>
  </si>
  <si>
    <t>The University of Texas Southwestern Medical Center at Dallas</t>
  </si>
  <si>
    <t>The University of Texas Medical Branch at Galveston</t>
  </si>
  <si>
    <t>The University of Texas Health Science Center at Houston</t>
  </si>
  <si>
    <t>The University of Texas Health Science Center at San Antonio</t>
  </si>
  <si>
    <t>The University of Texas M.D. Anderson Cancer Center</t>
  </si>
  <si>
    <t>The University of Texas Health Science Center at Tyler</t>
  </si>
  <si>
    <t>Texas A&amp;M University System Health Science Center</t>
  </si>
  <si>
    <t xml:space="preserve">University of North Texas Health Science Center at Fort Worth (Public Medical)    </t>
  </si>
  <si>
    <t>Texas Tech University Health Sciences Center</t>
  </si>
  <si>
    <t>Texas Tech University Health Sciences Center at El Paso</t>
  </si>
  <si>
    <t>The University of Texas at Austin Medical School (M)</t>
  </si>
  <si>
    <t>The University of Texas Rio Grande Valley Medical School (M)</t>
  </si>
  <si>
    <t>University of Houston Medical School (M)</t>
  </si>
  <si>
    <t>Sam Houston State University Medical School (Non-Formula)</t>
  </si>
  <si>
    <t>University of North Texas Health Science Center at Fort Worth Private Medical School (PM)</t>
  </si>
  <si>
    <t>University of North Texas Health Science Center at Fort Worth (Public Medical + Private Medical)</t>
  </si>
  <si>
    <t>Input Schedules</t>
  </si>
  <si>
    <t xml:space="preserve">FTSE &amp; FTFE </t>
  </si>
  <si>
    <t>Names Schedule</t>
  </si>
  <si>
    <t>Template Input Schedule</t>
  </si>
  <si>
    <t>Output Schedules</t>
  </si>
  <si>
    <t>SREB Input</t>
  </si>
  <si>
    <t>Healthcare</t>
  </si>
  <si>
    <t>IFRS Smmy (2)</t>
  </si>
  <si>
    <t>Almanac</t>
  </si>
  <si>
    <t>T&amp;F Summary</t>
  </si>
  <si>
    <t>HRI_IE_Context</t>
  </si>
  <si>
    <t>HRI_IE_Keys</t>
  </si>
  <si>
    <t>HRI Context NA</t>
  </si>
  <si>
    <t>HRI Keys NA</t>
  </si>
  <si>
    <t>ComRpt</t>
  </si>
  <si>
    <t>Sources &amp; Uses Output for SREB Survey</t>
  </si>
  <si>
    <t>Return to Index</t>
  </si>
  <si>
    <t>Net Tuition and Fees from Sources and Uses</t>
  </si>
  <si>
    <t>(Auxiliary excluded)</t>
  </si>
  <si>
    <t>FY 2022</t>
  </si>
  <si>
    <t>S&amp;U</t>
  </si>
  <si>
    <t>FICE</t>
  </si>
  <si>
    <t>Institution</t>
  </si>
  <si>
    <t>Net Tuition &amp; Fees</t>
  </si>
  <si>
    <t>Order</t>
  </si>
  <si>
    <t>Code</t>
  </si>
  <si>
    <t xml:space="preserve">University of Texas Southwestern Medical Center </t>
  </si>
  <si>
    <t>University of Texas Medical Branch at Galveston</t>
  </si>
  <si>
    <t>University of Texas Health Science Center at Houston</t>
  </si>
  <si>
    <t>University of Texas Health Science Center at San Antonio</t>
  </si>
  <si>
    <t>University of Texas M.D. Anderson Cancer Center</t>
  </si>
  <si>
    <t>University of Texas Health Science Center at Tyler</t>
  </si>
  <si>
    <t>Texas A&amp;M Health Science Center</t>
  </si>
  <si>
    <t xml:space="preserve">University of North Texas Health Science Center </t>
  </si>
  <si>
    <t>Total from Smmy FGD</t>
  </si>
  <si>
    <t>Gross T &amp; Fees Less Aux.</t>
  </si>
  <si>
    <t>Total Discounts &amp; Allowances excludes Aux.</t>
  </si>
  <si>
    <t>Additions for SHEF Survey</t>
  </si>
  <si>
    <t>Gross Tuition as reported on AFR excludes Aux.</t>
  </si>
  <si>
    <t>Net Tuition</t>
  </si>
  <si>
    <t>Gross Fees as reported on AFR excludes Aux.</t>
  </si>
  <si>
    <t>Net Fees</t>
  </si>
  <si>
    <t>Totals</t>
  </si>
  <si>
    <t>Copy and Paste total to Overview - Data Tab -SHEF Survey Specific Items - Academic Institutions</t>
  </si>
  <si>
    <t>Aux Fees</t>
  </si>
  <si>
    <t>Net Aux Fees</t>
  </si>
  <si>
    <t>Copy and Paste Values into Overview - Data Tab - HRI T&amp;F section.</t>
  </si>
  <si>
    <t>Health-Related Institutions</t>
  </si>
  <si>
    <t>FY 2013 Summary of Data for Health-Related Institutions Space Model</t>
  </si>
  <si>
    <t xml:space="preserve"> December 11, 2013</t>
  </si>
  <si>
    <t>Not used for FY 2013 - See space model tab in research.</t>
  </si>
  <si>
    <t>Research Expenditures</t>
  </si>
  <si>
    <t>Current E &amp; G Expenditures</t>
  </si>
  <si>
    <t>The University of Texas Health Center at Tyler</t>
  </si>
  <si>
    <t xml:space="preserve">University of North Texas Health Science Center at Fort Worth    </t>
  </si>
  <si>
    <t>Total</t>
  </si>
  <si>
    <t>Not used in space model</t>
  </si>
  <si>
    <t>Instruction</t>
  </si>
  <si>
    <t>Totals 12-11-2013</t>
  </si>
  <si>
    <t>Health - Related Institutions</t>
  </si>
  <si>
    <t xml:space="preserve">FY 2015 Closing The Gaps Cost Estimate Data From Sources &amp; Uses Reports </t>
  </si>
  <si>
    <t>Not Currently Used</t>
  </si>
  <si>
    <t>Source: FY 2014 Sources &amp; Uses</t>
  </si>
  <si>
    <t>Check Links before using.</t>
  </si>
  <si>
    <t>FICE Code</t>
  </si>
  <si>
    <t>Year</t>
  </si>
  <si>
    <t>State Appropriations</t>
  </si>
  <si>
    <t>Constitutional Funds Revenue</t>
  </si>
  <si>
    <t>Total State Appropriations</t>
  </si>
  <si>
    <t>Total Operating Uses Less Aux.</t>
  </si>
  <si>
    <t>State Funded FTSE</t>
  </si>
  <si>
    <t>FY 20xx Graduates</t>
  </si>
  <si>
    <t>Appropriation/   FTSE</t>
  </si>
  <si>
    <t>Expenditures/  FTSE</t>
  </si>
  <si>
    <t>% Funded by State</t>
  </si>
  <si>
    <t>000030</t>
  </si>
  <si>
    <t>FY 15</t>
  </si>
  <si>
    <t>UT Southwestern Med.</t>
  </si>
  <si>
    <t>000040</t>
  </si>
  <si>
    <t>UT San Antonio HSC</t>
  </si>
  <si>
    <t>000089</t>
  </si>
  <si>
    <t>Texas A&amp;M HSC</t>
  </si>
  <si>
    <t>000130</t>
  </si>
  <si>
    <t>U. North Texas HSC</t>
  </si>
  <si>
    <t>000404</t>
  </si>
  <si>
    <t>UT Health Science Center Tyler</t>
  </si>
  <si>
    <t>Excluded</t>
  </si>
  <si>
    <t>000412</t>
  </si>
  <si>
    <t>Texas Tech HSC</t>
  </si>
  <si>
    <t>011618</t>
  </si>
  <si>
    <t>UT Houston Health Science Center</t>
  </si>
  <si>
    <t>025554</t>
  </si>
  <si>
    <t>UT M. D. Anderson</t>
  </si>
  <si>
    <t>UT Galveston Medical Branch</t>
  </si>
  <si>
    <t>Statewide Total</t>
  </si>
  <si>
    <t xml:space="preserve">Total of </t>
  </si>
  <si>
    <t>Sources &amp; Uses Line items</t>
  </si>
  <si>
    <t>Higher Education Assistance Funds</t>
  </si>
  <si>
    <t>Subtotal - State of Texas</t>
  </si>
  <si>
    <t>State Grants and Contracts - Restricted</t>
  </si>
  <si>
    <t>Available University Fund Excellence (See FN8)</t>
  </si>
  <si>
    <t>Research Development Funds</t>
  </si>
  <si>
    <t>Notes:</t>
  </si>
  <si>
    <t xml:space="preserve">   Includes State Appropriations for both Hospital and Medical School.</t>
  </si>
  <si>
    <t xml:space="preserve">   Includes Capital Outlay from Non-Current Sources Only.</t>
  </si>
  <si>
    <t xml:space="preserve">   Does not include Other Sources/Uses of Funds Such as Capital Funds, Transfers, and Other Items Not for Current Operating Use</t>
  </si>
  <si>
    <t xml:space="preserve">   Does not include  Auxiliary Enterprise Funds generated or expended within the Auxiliary Fund Group.</t>
  </si>
  <si>
    <t>12-12-14 Totals</t>
  </si>
  <si>
    <t>Health - Related  Institutions - FY 2016</t>
  </si>
  <si>
    <t>Medical School Funding Costs</t>
  </si>
  <si>
    <t>Needs to be updated for El Paso</t>
  </si>
  <si>
    <t>All State Appropriations</t>
  </si>
  <si>
    <t>Institution State Funded FTSEs</t>
  </si>
  <si>
    <t>Per FTSE</t>
  </si>
  <si>
    <t>Selected Institutions</t>
  </si>
  <si>
    <t>Average</t>
  </si>
  <si>
    <t>Operating Sources</t>
  </si>
  <si>
    <t>State of Texas</t>
  </si>
  <si>
    <t>All Institutions</t>
  </si>
  <si>
    <t>Research Development Funds/ Texas Competitive Knowledge Fund</t>
  </si>
  <si>
    <t>Subtotal</t>
  </si>
  <si>
    <t>Check</t>
  </si>
  <si>
    <t>UT Health Center Tyler</t>
  </si>
  <si>
    <t>State of Texas per FTSE</t>
  </si>
  <si>
    <t>Select Institutions</t>
  </si>
  <si>
    <t>Average per FTSE</t>
  </si>
  <si>
    <t>Student &amp; Parent</t>
  </si>
  <si>
    <t>Federal Government</t>
  </si>
  <si>
    <t>Professional Fees</t>
  </si>
  <si>
    <t>Hospitals and Clinics</t>
  </si>
  <si>
    <t>Tuition - net</t>
  </si>
  <si>
    <t>Fees - net</t>
  </si>
  <si>
    <t>Tuition and Fees (net of Scholarship Discounts and Allowances)</t>
  </si>
  <si>
    <t>Federal Grants and Contracts - Restricted</t>
  </si>
  <si>
    <t>Professional Fees (Net)</t>
  </si>
  <si>
    <t>Hospitals &amp; Clinics (Net)</t>
  </si>
  <si>
    <t>Institutional Resources</t>
  </si>
  <si>
    <t>Endowment and Interest Income (See FN2)</t>
  </si>
  <si>
    <t>Local Government Grants - Restricted</t>
  </si>
  <si>
    <t>Private Gifts and Grants - Restricted</t>
  </si>
  <si>
    <t>Sales and Services</t>
  </si>
  <si>
    <t>Net Auxiliary Enterprises</t>
  </si>
  <si>
    <t>Other Income  (See FN3)</t>
  </si>
  <si>
    <t>Operating Uses</t>
  </si>
  <si>
    <t>Research</t>
  </si>
  <si>
    <t>Public Service</t>
  </si>
  <si>
    <t>Academic Support</t>
  </si>
  <si>
    <t>Student Services</t>
  </si>
  <si>
    <t>Institutional Support</t>
  </si>
  <si>
    <t>Operations and Maintenance of Plant</t>
  </si>
  <si>
    <t>Scholarships and Fellowships</t>
  </si>
  <si>
    <t>Auxiliary Enterprises</t>
  </si>
  <si>
    <t>Capital Outlay from Current Fund Sources</t>
  </si>
  <si>
    <r>
      <t xml:space="preserve">Other Expenses </t>
    </r>
    <r>
      <rPr>
        <i/>
        <sz val="10"/>
        <rFont val="Arial"/>
        <family val="2"/>
      </rPr>
      <t xml:space="preserve"> </t>
    </r>
    <r>
      <rPr>
        <sz val="10"/>
        <rFont val="Arial"/>
        <family val="2"/>
      </rPr>
      <t>(See FN3)</t>
    </r>
  </si>
  <si>
    <t>Total Operating Uses</t>
  </si>
  <si>
    <t>Operating Uses per FTSE</t>
  </si>
  <si>
    <t>FY 2010</t>
  </si>
  <si>
    <t>FY 2011</t>
  </si>
  <si>
    <t>FY 2012</t>
  </si>
  <si>
    <t>FY 2013</t>
  </si>
  <si>
    <t>FY 2014</t>
  </si>
  <si>
    <t>FY 2015</t>
  </si>
  <si>
    <t>Students</t>
  </si>
  <si>
    <t>Faculty</t>
  </si>
  <si>
    <t>Inflation Index</t>
  </si>
  <si>
    <t>All Sources (Net)</t>
  </si>
  <si>
    <t>Total Operating Sources</t>
  </si>
  <si>
    <t>Sources Over/(Under) Uses</t>
  </si>
  <si>
    <t>Hospital &amp; Clinic Expenditures</t>
  </si>
  <si>
    <t>Distribution of Capital Outlay by Function Capital Outlay - Current Fund Sources</t>
  </si>
  <si>
    <t>Total Healthcare Expenditures</t>
  </si>
  <si>
    <t>The University of Texas Southwestern Medical Center</t>
  </si>
  <si>
    <t>University of North Texas Health Science Center at Fort Worth</t>
  </si>
  <si>
    <t>Note:  This Healthcare schedule is different from the Healthcare schedules in the Research section of S&amp;U.  Do not send until requested.</t>
  </si>
  <si>
    <t>Contact:</t>
  </si>
  <si>
    <t>Send Reports to:</t>
  </si>
  <si>
    <t>Olga Garza</t>
  </si>
  <si>
    <t>Tetyana Melnyk,</t>
  </si>
  <si>
    <t>512-415-0939</t>
  </si>
  <si>
    <t>Assistant Director</t>
  </si>
  <si>
    <t>Data Analysis &amp; Transparency</t>
  </si>
  <si>
    <t>Revenue Estimating division</t>
  </si>
  <si>
    <t>Texas Comptroller of Public Accounts</t>
  </si>
  <si>
    <t> olga.garza@cpa.texas.gov</t>
  </si>
  <si>
    <t>Tetyana.Melnyk@cpa.texas.gov</t>
  </si>
  <si>
    <t>Health Related Institutions</t>
  </si>
  <si>
    <t>Purpose:  This tab is used for balancing with the IFRS System</t>
  </si>
  <si>
    <t xml:space="preserve">S &amp; U </t>
  </si>
  <si>
    <t>Used</t>
  </si>
  <si>
    <t>FY 22</t>
  </si>
  <si>
    <t>Tuition</t>
  </si>
  <si>
    <t>Fees</t>
  </si>
  <si>
    <t>S &amp; U Order</t>
  </si>
  <si>
    <t>Tuition Potential 100%</t>
  </si>
  <si>
    <t>Waivers - Statutory (Not Reported in AFR)</t>
  </si>
  <si>
    <t>Waivers - Institutional (Not Reported in AFR)</t>
  </si>
  <si>
    <t>Exemptions - Statutory (Not Reported in AFR)</t>
  </si>
  <si>
    <t>Exemptions - Institutional (Not Reported in AFR)</t>
  </si>
  <si>
    <t>Tuition - Gross - AFR Presentation</t>
  </si>
  <si>
    <t>Waivers - Statutory (Reported in AFR)</t>
  </si>
  <si>
    <t>Waivers - Institutional (Reported in AFR)</t>
  </si>
  <si>
    <t xml:space="preserve">       </t>
  </si>
  <si>
    <t>All Other Scholarship Disc.&amp; Allow. (See FN1)</t>
  </si>
  <si>
    <t>Fees Potential 100%</t>
  </si>
  <si>
    <t>Fees - Gross - AFR Presentation</t>
  </si>
  <si>
    <t>Exemptions - Statutory (Reported in AFR)</t>
  </si>
  <si>
    <t>Exemptions - Institutional (Reported in AFR)</t>
  </si>
  <si>
    <t>Net Tuition and Fees (Funds Collected)</t>
  </si>
  <si>
    <t>Texas Tech HSC at El Paso</t>
  </si>
  <si>
    <t>UT Austin Medical School</t>
  </si>
  <si>
    <t>RGV Medical School</t>
  </si>
  <si>
    <t>13 OK</t>
  </si>
  <si>
    <t>Note:  This version is no longer used.</t>
  </si>
  <si>
    <t xml:space="preserve">Health - Related  Institutions </t>
  </si>
  <si>
    <t>FY 2018 Data For IFRS Reconciliation</t>
  </si>
  <si>
    <t xml:space="preserve"> December 14, 2018</t>
  </si>
  <si>
    <t>FY 17</t>
  </si>
  <si>
    <t>Annual Financial Report</t>
  </si>
  <si>
    <t>Exemptions</t>
  </si>
  <si>
    <t>Waivers</t>
  </si>
  <si>
    <t>Net Student Tuition and Fees</t>
  </si>
  <si>
    <t>Scholarship Discounts and Allowances</t>
  </si>
  <si>
    <t>Statutory</t>
  </si>
  <si>
    <t xml:space="preserve"> Institutional</t>
  </si>
  <si>
    <t>Institutional</t>
  </si>
  <si>
    <t>Exemptions Not Reported in AFR Tuition &amp; Fees</t>
  </si>
  <si>
    <t>Waivers Reported in AFR Tuition &amp; Fees</t>
  </si>
  <si>
    <t>IFRS Control Total</t>
  </si>
  <si>
    <t>12 Ok</t>
  </si>
  <si>
    <t>Updated</t>
  </si>
  <si>
    <t>S&amp;U Order</t>
  </si>
  <si>
    <t>Manual Update</t>
  </si>
  <si>
    <t>Revenue Per FTSE</t>
  </si>
  <si>
    <t>Uses Per FTSE</t>
  </si>
  <si>
    <t>Total Expenditures</t>
  </si>
  <si>
    <t>Almanac Order</t>
  </si>
  <si>
    <t>Total Revenue</t>
  </si>
  <si>
    <t>Tuition/   Fees</t>
  </si>
  <si>
    <t>State Revenue</t>
  </si>
  <si>
    <t>Federal Revenue</t>
  </si>
  <si>
    <t>Institutional Revenue</t>
  </si>
  <si>
    <t>Total Uses</t>
  </si>
  <si>
    <t>Instruction, Research, &amp; Academic Support</t>
  </si>
  <si>
    <t>Students Services &amp; Scholarships</t>
  </si>
  <si>
    <t>Institutional Support and OM of plant</t>
  </si>
  <si>
    <t>Other</t>
  </si>
  <si>
    <t>Total Research Expenditures</t>
  </si>
  <si>
    <t>Fed &amp; Private Research Expenditures Per T/TT FTE</t>
  </si>
  <si>
    <t>N/A</t>
  </si>
  <si>
    <t>U. North Texas HSC (M)</t>
  </si>
  <si>
    <t/>
  </si>
  <si>
    <t>Note: Accountability Data excludes all Auxiliary Revenue &amp; Expenditures.</t>
  </si>
  <si>
    <t xml:space="preserve">         Accountability Data excludes all Public Service Expenditures.</t>
  </si>
  <si>
    <t>Excludes:</t>
  </si>
  <si>
    <t>Aux.</t>
  </si>
  <si>
    <t>Pub. Svc.</t>
  </si>
  <si>
    <t>Sum</t>
  </si>
  <si>
    <t>I48</t>
  </si>
  <si>
    <t>I56</t>
  </si>
  <si>
    <t>I51</t>
  </si>
  <si>
    <t>I59</t>
  </si>
  <si>
    <t>I68</t>
  </si>
  <si>
    <t>J65</t>
  </si>
  <si>
    <t>K65</t>
  </si>
  <si>
    <t>L65</t>
  </si>
  <si>
    <t>M65</t>
  </si>
  <si>
    <t>N65</t>
  </si>
  <si>
    <t>Line Items</t>
  </si>
  <si>
    <t>C6</t>
  </si>
  <si>
    <t>I39</t>
  </si>
  <si>
    <t>I20</t>
  </si>
  <si>
    <t>I15</t>
  </si>
  <si>
    <t>I23</t>
  </si>
  <si>
    <t>I38</t>
  </si>
  <si>
    <t>J56</t>
  </si>
  <si>
    <t>K56</t>
  </si>
  <si>
    <t>L56</t>
  </si>
  <si>
    <t>M56</t>
  </si>
  <si>
    <t>N56</t>
  </si>
  <si>
    <t>13 Ok</t>
  </si>
  <si>
    <t>HRI Institutions</t>
  </si>
  <si>
    <t xml:space="preserve">FY 2020 Accountability Data From Sources &amp; Uses Reports  </t>
  </si>
  <si>
    <t xml:space="preserve"> February 5, 2021</t>
  </si>
  <si>
    <t xml:space="preserve">FICE </t>
  </si>
  <si>
    <t xml:space="preserve">Code </t>
  </si>
  <si>
    <t>Order Used</t>
  </si>
  <si>
    <t>Accountability Groups</t>
  </si>
  <si>
    <t>Institution Name</t>
  </si>
  <si>
    <t>Load Year</t>
  </si>
  <si>
    <t>Institutional Funds Revenue</t>
  </si>
  <si>
    <t xml:space="preserve">Total Revenue </t>
  </si>
  <si>
    <t>Constitutional Revenue</t>
  </si>
  <si>
    <t>Debt Service</t>
  </si>
  <si>
    <t>A</t>
  </si>
  <si>
    <t>B</t>
  </si>
  <si>
    <t>Dollars</t>
  </si>
  <si>
    <t>Load_Year</t>
  </si>
  <si>
    <t>U. North Texas HSC (M)\</t>
  </si>
  <si>
    <t>-</t>
  </si>
  <si>
    <t xml:space="preserve">Health-Related Institutions </t>
  </si>
  <si>
    <t>FY 2022 Summary of Net Tuition and Fees</t>
  </si>
  <si>
    <t xml:space="preserve">Waivers - Statutory </t>
  </si>
  <si>
    <t xml:space="preserve">Waivers - Institutional </t>
  </si>
  <si>
    <t xml:space="preserve">Exemptions - Statutory </t>
  </si>
  <si>
    <t xml:space="preserve">Exemptions - Institutional </t>
  </si>
  <si>
    <t>All Other Scholarship Disc.&amp; Allow.</t>
  </si>
  <si>
    <t>Total Net Tuition &amp; Fees</t>
  </si>
  <si>
    <t xml:space="preserve">FY 2022 Institutional Resume Data From Sources &amp; Uses Reports  To HRI_IE_Context </t>
  </si>
  <si>
    <t>Old Format</t>
  </si>
  <si>
    <t>Purpose:  This tab is used for input to the Institutional Resume System</t>
  </si>
  <si>
    <t>Data to HRI_IE_Context</t>
  </si>
  <si>
    <t>Full Time Faculty Equiv.</t>
  </si>
  <si>
    <t>Total Revenue (Less Constitutional Funds)</t>
  </si>
  <si>
    <t>Not Used</t>
  </si>
  <si>
    <t>HRI_IE_Context File Table Columns</t>
  </si>
  <si>
    <t>K</t>
  </si>
  <si>
    <t>L</t>
  </si>
  <si>
    <t>M</t>
  </si>
  <si>
    <t xml:space="preserve">N </t>
  </si>
  <si>
    <t>O</t>
  </si>
  <si>
    <t>P</t>
  </si>
  <si>
    <t>Q</t>
  </si>
  <si>
    <t>R</t>
  </si>
  <si>
    <t xml:space="preserve">S </t>
  </si>
  <si>
    <t>T</t>
  </si>
  <si>
    <t>U</t>
  </si>
  <si>
    <t>HRI_IE_Context Data Labels</t>
  </si>
  <si>
    <t>FTEStu</t>
  </si>
  <si>
    <t>FTEFac</t>
  </si>
  <si>
    <t>Rev_Total</t>
  </si>
  <si>
    <t>Rev_TuitandFees</t>
  </si>
  <si>
    <t>Rev_State</t>
  </si>
  <si>
    <t>Rev_Fed</t>
  </si>
  <si>
    <t>Rev_HospClinic</t>
  </si>
  <si>
    <t>Rev_ProfFees</t>
  </si>
  <si>
    <t>Rev_OtherLocal</t>
  </si>
  <si>
    <t>Rev_Other</t>
  </si>
  <si>
    <t>Rev_Const</t>
  </si>
  <si>
    <t>RGV Medical School (M)</t>
  </si>
  <si>
    <t>UT Austin Medical School (M)</t>
  </si>
  <si>
    <t>Total of</t>
  </si>
  <si>
    <t>Hospital &amp; Clinic Revenue</t>
  </si>
  <si>
    <t>Professional Fees Revenue</t>
  </si>
  <si>
    <t>Less: Constitutional Funds</t>
  </si>
  <si>
    <t>Less: Hospital &amp; Clinic Revenue</t>
  </si>
  <si>
    <t>Less: Auxiliary</t>
  </si>
  <si>
    <t>Less: Professional Fees Revenue</t>
  </si>
  <si>
    <t>Less Net Auxiliary Enterprises</t>
  </si>
  <si>
    <t>I8</t>
  </si>
  <si>
    <t>G41</t>
  </si>
  <si>
    <t>F20</t>
  </si>
  <si>
    <t>G12</t>
  </si>
  <si>
    <t>F23</t>
  </si>
  <si>
    <t>F38</t>
  </si>
  <si>
    <t>G14</t>
  </si>
  <si>
    <t>Academic Institutions</t>
  </si>
  <si>
    <t xml:space="preserve">FY 2022 Institutional Resumes Data From Sources &amp; Uses Reports  To UNIV_IE_KEYS </t>
  </si>
  <si>
    <t>No LongerUsed.</t>
  </si>
  <si>
    <t>Data to UNIV_IE_Keys</t>
  </si>
  <si>
    <t>Copy from HRI no 23(22) inst funds ftse file - Accountability Folder</t>
  </si>
  <si>
    <t xml:space="preserve"> Expenditures Per FTSE</t>
  </si>
  <si>
    <t>Expenditures Per FTFE</t>
  </si>
  <si>
    <t>UNIV_IE_KEYs Columns</t>
  </si>
  <si>
    <t>F</t>
  </si>
  <si>
    <t>G</t>
  </si>
  <si>
    <t>H</t>
  </si>
  <si>
    <t>I</t>
  </si>
  <si>
    <t>J</t>
  </si>
  <si>
    <t>N</t>
  </si>
  <si>
    <t>UNIV_IE_KEYs Data Labels</t>
  </si>
  <si>
    <t>ExpFTEStu</t>
  </si>
  <si>
    <t>ExpFTEFac</t>
  </si>
  <si>
    <t>IO_Total</t>
  </si>
  <si>
    <t>IO_Med</t>
  </si>
  <si>
    <t>IO_Dental</t>
  </si>
  <si>
    <t>IO_BioMed</t>
  </si>
  <si>
    <t>IO_Allied</t>
  </si>
  <si>
    <t>IO_Nursing</t>
  </si>
  <si>
    <t>IO_Pub</t>
  </si>
  <si>
    <t>IO_Pharm</t>
  </si>
  <si>
    <t>U. North Texas HSC (PM)</t>
  </si>
  <si>
    <t>Per Amount</t>
  </si>
  <si>
    <t>Total Operating Uses (Expenses)</t>
  </si>
  <si>
    <t>Excluding Aux., Public Service, Hos. &amp; Clinics</t>
  </si>
  <si>
    <t>Divided by: FTSE</t>
  </si>
  <si>
    <t>FY 2022 Data to Institutional Resumes</t>
  </si>
  <si>
    <t>File</t>
  </si>
  <si>
    <t>FactHRIContextDollars</t>
  </si>
  <si>
    <t>DimReshType</t>
  </si>
  <si>
    <t>ResOrderCode</t>
  </si>
  <si>
    <t>Insttype Code</t>
  </si>
  <si>
    <t>Data Labels</t>
  </si>
  <si>
    <t>05</t>
  </si>
  <si>
    <t>Balanced</t>
  </si>
  <si>
    <t>Values 12/9/21</t>
  </si>
  <si>
    <t xml:space="preserve"> Hash Totals</t>
  </si>
  <si>
    <t>Hash Values 12/16/21</t>
  </si>
  <si>
    <t>Updated Accountability Master</t>
  </si>
  <si>
    <t>FY 2022 Accountability Data From Sources &amp; Uses Reports  To FactHRIperFTSE</t>
  </si>
  <si>
    <t>Purpose:  This tab is used for input to the Accountability System</t>
  </si>
  <si>
    <t>FactHRIperFTSE</t>
  </si>
  <si>
    <t>ExpendType Code</t>
  </si>
  <si>
    <t>DimYear</t>
  </si>
  <si>
    <t>Instructional Support Expenditures Per FTSE</t>
  </si>
  <si>
    <t>Academic Support Expenditures Per FTSE</t>
  </si>
  <si>
    <t>Institutional Support Expenditures Per FTSE</t>
  </si>
  <si>
    <t>Other Expenditures Per FTSE</t>
  </si>
  <si>
    <t xml:space="preserve"> Total Operating Expenses Per FTSE</t>
  </si>
  <si>
    <t>TotExpenditures Per FTFE</t>
  </si>
  <si>
    <t>Instructional</t>
  </si>
  <si>
    <t>AcadSupport</t>
  </si>
  <si>
    <t>InstSupport</t>
  </si>
  <si>
    <t>OthrExp</t>
  </si>
  <si>
    <t>Expenditures</t>
  </si>
  <si>
    <t>13 ok</t>
  </si>
  <si>
    <t>I42</t>
  </si>
  <si>
    <t>I46</t>
  </si>
  <si>
    <t>I53</t>
  </si>
  <si>
    <t>I55</t>
  </si>
  <si>
    <t>I57</t>
  </si>
  <si>
    <t>Total Hash</t>
  </si>
  <si>
    <t>Hash Totals</t>
  </si>
  <si>
    <t>HRI Operating Sources (Sources &amp; Uses)</t>
  </si>
  <si>
    <t>Amount</t>
  </si>
  <si>
    <t>% of Total</t>
  </si>
  <si>
    <t>Tuition &amp; Fees</t>
  </si>
  <si>
    <t>Total Health-Related Institutions</t>
  </si>
  <si>
    <t>FY 2022 Sources &amp; Uses</t>
  </si>
  <si>
    <t>Total State of Texas</t>
  </si>
  <si>
    <t>Total Revenue Sources</t>
  </si>
  <si>
    <t>Percent Funded by State of Texas</t>
  </si>
  <si>
    <t>Summary of All Health-Related Institutions Side By Side</t>
  </si>
  <si>
    <t>** Row hidden - Do not Delete.**</t>
  </si>
  <si>
    <t>Higher Education Fund</t>
  </si>
  <si>
    <t>Less: Scholarships Discounts &amp; Allowances (See FN1)</t>
  </si>
  <si>
    <t>Total Net Tuition and Fees (Funds Collected)</t>
  </si>
  <si>
    <t>Net Auxiliary Enterprises (See FN9)</t>
  </si>
  <si>
    <t>Auxiliary Enterprises (See FN9)</t>
  </si>
  <si>
    <t>Other Sources / (Uses) of Funds</t>
  </si>
  <si>
    <t>Capital Outlay from Non-Current Fund Sources</t>
  </si>
  <si>
    <t>Mandatory and Non-mandatory Transfers (See FN11- FN10 Starting FY 2010)</t>
  </si>
  <si>
    <t>Bond Proceeds Transfers  (See FN4)</t>
  </si>
  <si>
    <t>Debt Service Payments  (See FN5)</t>
  </si>
  <si>
    <t>Other Items Not for Current Operating Use</t>
  </si>
  <si>
    <t>Unrealized Gains / (Losses)  (See FN6)</t>
  </si>
  <si>
    <t>Additions to Permanent Endowments  (See FN7)</t>
  </si>
  <si>
    <t>Total Sources Over / (Under) Uses (See FN10, FN11 Starting FY 2010))</t>
  </si>
  <si>
    <t>Depreciation Expense</t>
  </si>
  <si>
    <t>Transfer of Capital Asset(s) from System</t>
  </si>
  <si>
    <t>Other Post-Employment Benefit (OPEB) Expense</t>
  </si>
  <si>
    <t>Non-Cash Capital Gifts</t>
  </si>
  <si>
    <t xml:space="preserve">Capital Outlay </t>
  </si>
  <si>
    <t>Change in Net Assets  (Total Agrees with AFR***)</t>
  </si>
  <si>
    <t xml:space="preserve"> 13 OK</t>
  </si>
  <si>
    <t>Summary of All Health-Related Institutions</t>
  </si>
  <si>
    <t>For the Year Ended August 31, 2022</t>
  </si>
  <si>
    <t>Row 1-3 - 37 Pix</t>
  </si>
  <si>
    <t>Source: FY 2022 Annual Financial Report</t>
  </si>
  <si>
    <t>Basis for Graphs - Not Printed</t>
  </si>
  <si>
    <t>$ are needed on all amounts in order to print on graph.</t>
  </si>
  <si>
    <t>Word spacing is set to generate the correct word wrap on the graph labels.</t>
  </si>
  <si>
    <t>Revenue</t>
  </si>
  <si>
    <t>Hospitals, Clinics, Professional Fees</t>
  </si>
  <si>
    <t>Pie Settings:</t>
  </si>
  <si>
    <t>The pie is 1 7/8" in diameter at a 65% Screen Zoom, This produces a 3/4" printed pie.</t>
  </si>
  <si>
    <t>The font is 14.00 Arial Bold - Turn off auto scale.</t>
  </si>
  <si>
    <t>Chart Titles are 18.00 Arial Bold</t>
  </si>
  <si>
    <t>Pie 2"</t>
  </si>
  <si>
    <t>Row H of 13 = 17 Pix.</t>
  </si>
  <si>
    <t>Page Heading for Entire Workbook</t>
  </si>
  <si>
    <t>Detail Worksheet FY 2022</t>
  </si>
  <si>
    <t>Heading on FGD Tab</t>
  </si>
  <si>
    <t>Col L Year on FGD</t>
  </si>
  <si>
    <t>Summary Worksheet FY 2022</t>
  </si>
  <si>
    <t>A5 on SUM Tab</t>
  </si>
  <si>
    <t>State Grants &amp; Contracts</t>
  </si>
  <si>
    <t>Available University Fund Excellence</t>
  </si>
  <si>
    <t>Federal Grants &amp; Contracts</t>
  </si>
  <si>
    <t>Endowment &amp; Interest Income</t>
  </si>
  <si>
    <t>Local Government   Grants</t>
  </si>
  <si>
    <t>Private Gifts &amp; Grants</t>
  </si>
  <si>
    <t>Sales &amp; Services</t>
  </si>
  <si>
    <t>Other Income</t>
  </si>
  <si>
    <t>Expenses</t>
  </si>
  <si>
    <t>Operations &amp; Maintenance of Plant</t>
  </si>
  <si>
    <t>Scholarships &amp; Fellowships</t>
  </si>
  <si>
    <t>Capital Outlay</t>
  </si>
  <si>
    <t>Other Expenses</t>
  </si>
  <si>
    <t>Hospitals &amp; Clinics</t>
  </si>
  <si>
    <t>Non-operating Funds are not included in charts above.  See following page (Summary).</t>
  </si>
  <si>
    <t>May not add to 100% due to rounding.</t>
  </si>
  <si>
    <t>Data to Accountability System</t>
  </si>
  <si>
    <t>Data to Almanac</t>
  </si>
  <si>
    <t>Less: Public Svc/Hosp &amp; Cl</t>
  </si>
  <si>
    <t>Contextual Measures</t>
  </si>
  <si>
    <t>Key Measures</t>
  </si>
  <si>
    <t>Almanac FTSE</t>
  </si>
  <si>
    <t>University of Houston Medical School</t>
  </si>
  <si>
    <t>FTFE</t>
  </si>
  <si>
    <t>See Note Below</t>
  </si>
  <si>
    <t>State Appropriations (Includes Research, Patient Care, &amp; Public Service)</t>
  </si>
  <si>
    <t>Approp_FTEStu</t>
  </si>
  <si>
    <t>** Hidden Row - Do not delete.**</t>
  </si>
  <si>
    <t>Approp_FTEFac</t>
  </si>
  <si>
    <t>Tuition and Fees</t>
  </si>
  <si>
    <t>Federal Grants &amp; contracts</t>
  </si>
  <si>
    <t>Data to Almanac Publication</t>
  </si>
  <si>
    <t>GR_FTEStu</t>
  </si>
  <si>
    <t>Instutional Support and OM of plant</t>
  </si>
  <si>
    <t>Constitutional Fnds</t>
  </si>
  <si>
    <t>GR_FTEFac</t>
  </si>
  <si>
    <t>Total Less Const.</t>
  </si>
  <si>
    <t>InstructionPerFTSE</t>
  </si>
  <si>
    <t>Inst.</t>
  </si>
  <si>
    <t>Res.</t>
  </si>
  <si>
    <t>Public Svc.</t>
  </si>
  <si>
    <t>Not Included</t>
  </si>
  <si>
    <t>Hosp &amp; Clinic</t>
  </si>
  <si>
    <t>AcademicSpptPerFTSE</t>
  </si>
  <si>
    <t>Acad Sppt</t>
  </si>
  <si>
    <t>Stud Svcs</t>
  </si>
  <si>
    <t>InstitutionalSpptPerFTSE</t>
  </si>
  <si>
    <t>Inst. Sppt</t>
  </si>
  <si>
    <t>Op &amp; Maint</t>
  </si>
  <si>
    <t>Sch &amp; Fellow.</t>
  </si>
  <si>
    <t>Aux</t>
  </si>
  <si>
    <t>Cap Outlay</t>
  </si>
  <si>
    <t>OtherPerFTSE</t>
  </si>
  <si>
    <t>Expenses (for Expenses per FTSE Student) - Includes Capital Outlay</t>
  </si>
  <si>
    <t>Dollar Totals</t>
  </si>
  <si>
    <t>Per FTSE Amounts</t>
  </si>
  <si>
    <t>Mandatory and Non-mandatory Transfers (See FN10)</t>
  </si>
  <si>
    <t>Bond Transfers In  (See FN4)</t>
  </si>
  <si>
    <t>Less Tyler</t>
  </si>
  <si>
    <t>Less MD Anderson</t>
  </si>
  <si>
    <t>`</t>
  </si>
  <si>
    <t>Tot. Expenses w/o Tyler &amp; MDA</t>
  </si>
  <si>
    <t>Total Sources Over / (Under) Uses (See FN11)</t>
  </si>
  <si>
    <t>Note:  Due to the nature of Health-Related Institutions, per FTSE calculations are provided on selected line items.</t>
  </si>
  <si>
    <t xml:space="preserve">Output to </t>
  </si>
  <si>
    <t>Sources and Uses - Summary Sum</t>
  </si>
  <si>
    <t>Pie</t>
  </si>
  <si>
    <t>Constitutional Funds</t>
  </si>
  <si>
    <t>Federal Revenues</t>
  </si>
  <si>
    <t>Institutional Revenue (Less Aux.)</t>
  </si>
  <si>
    <t>Auxiliary</t>
  </si>
  <si>
    <t>Total Sources</t>
  </si>
  <si>
    <t>Educational &amp; General</t>
  </si>
  <si>
    <t>Designated</t>
  </si>
  <si>
    <t>Restricted Expendable</t>
  </si>
  <si>
    <t>Loan Funds</t>
  </si>
  <si>
    <t>Annuity, Life &amp; Endowment and Similar Funds</t>
  </si>
  <si>
    <t>Unexpended Plant</t>
  </si>
  <si>
    <t>Retirement of Indebtedness</t>
  </si>
  <si>
    <t>Investment In Plant</t>
  </si>
  <si>
    <t>Primary University</t>
  </si>
  <si>
    <t>** Hidden Row - Do not Delete.**</t>
  </si>
  <si>
    <t xml:space="preserve">       Waivers - Statutory (Not Reported in AFR)</t>
  </si>
  <si>
    <t xml:space="preserve">       Waivers - Institutional (Not Reported in AFR)</t>
  </si>
  <si>
    <t xml:space="preserve">       Exemptions - Statutory (Not Reported in AFR)</t>
  </si>
  <si>
    <t xml:space="preserve">       Exemptions - Institutional (Not Reported in AFR)</t>
  </si>
  <si>
    <t xml:space="preserve">       Waivers - Statutory (Reported in AFR)</t>
  </si>
  <si>
    <t xml:space="preserve">       Waivers - Institutional (Reported in AFR)</t>
  </si>
  <si>
    <t xml:space="preserve">       Exemptions - Statutory (Reported in AFR)</t>
  </si>
  <si>
    <t xml:space="preserve">       Exemptions - Institutional (Reported in AFR)</t>
  </si>
  <si>
    <t xml:space="preserve">       All Other Scholarship Disc.&amp; Allow. (See FN1)</t>
  </si>
  <si>
    <t>Sales and Services - Educational Activities (Net)</t>
  </si>
  <si>
    <t>Capital Outlay from Current Fund Sources*</t>
  </si>
  <si>
    <t>Other Expenses  (See FN3)</t>
  </si>
  <si>
    <t>Capital Outlay from Non-Current Fund Sources**</t>
  </si>
  <si>
    <t>Bond Transfers In (See FN4)</t>
  </si>
  <si>
    <t>Total Sources Over / (Under) Uses (See FN 11)</t>
  </si>
  <si>
    <t>*Defined as any capital outlay expenses from Educational &amp; General, Designated, Auxiliary, or Restricted Expendable Funds.</t>
  </si>
  <si>
    <t>**Defined as any capital outlay expense from funds other than Educational &amp; General, Designated, Auxiliary, or Restricted Expendable.</t>
  </si>
  <si>
    <t>***As reported for "Changes in Net Position" shown on Schedule of Revenues, Expenses, and Changes in Net Position (SRECNP) in Annual Financial Report.</t>
  </si>
  <si>
    <t>Changes in Net Assets as shown on SRECNP in Annual Financial Report.</t>
  </si>
  <si>
    <t>Difference (Must be "0".)</t>
  </si>
  <si>
    <t>Proof of Footing Section:</t>
  </si>
  <si>
    <t>**Hidden Row - Do not delete.**</t>
  </si>
  <si>
    <t xml:space="preserve">       All Other Scholarship Disc.&amp; Allow.</t>
  </si>
  <si>
    <t>Mandatory and Non-mandatory Transfers (See FN11)</t>
  </si>
  <si>
    <t>Bond Proceeds Transfers In (See FN4)</t>
  </si>
  <si>
    <t>Total Sources Over / (Under) Uses (See FN 10)</t>
  </si>
  <si>
    <t>Transfer of Capital Asses(s) from System</t>
  </si>
  <si>
    <t>FOOTNOTES:</t>
  </si>
  <si>
    <t xml:space="preserve">FN1:  Scholarship Discounts and Allowances are scholarships, fellowships, and grants applied to tuition. The discount eliminates tuition revenues that are paid for by University resources which are recorded as revenue elsewhere on the financial statements (i.e. federal and state contracts and grants revenues). In addition, Scholarship Discounts and Allowances eliminate tuition revenue that is exempted from payment due to tuition exemptions approved by the Texas Legislature. Waivers, remissions, and exemptions represent tuition and fee dollars forgone by the university - some are required by statute. See the Integrated Financial Reporting System (IFRS) report submitted to THECB for details on waivers, exemptions, tuition, and fees. Allocation methods to individual funds shown may vary between institutions.
FN2:  Endowment and Interest Income includes interest income and endowment payouts.
FN3:  Other Income is primarily Other Operating and Other Non-operating Revenues from the AFR. Other Expenses is primarily Other Nonoperating Expenses from the AFR.
FN4:  Bond Proceeds are funds received from the sale of bonds and commercial paper used to finance capital projects. This amount includes actual proceeds and accrued or anticipated proceeds to be transferred from System. Independent institutions report only to the extent expended in current year.
FN5: Debt service payments are payments to service and retire debt issued to fund capital projects. System components do this via transfers to System Administrations.  Independent institutions use direct payment to appropriate paying agents.
</t>
  </si>
  <si>
    <t>FN6:  Unrealized Gains / (Losses) represent the increase in the Fair Market Value of Investments and Endowments. Unrealized Gains / (Losses) are accrued as non-cash transactions. Therefore, funds are not actually received for this revenue stream. Accordingly, this revenue is not cash revenue and cannot be used by the University to fund operations. 
FN7:  Additions to Permanent Endowments are additions to endowment principal. This revenue is restricted for investment purposes only and cannot be used to fund operations. Only interest income from these endowments, which is reported on the Endowment and Investment Income line of this report, can be used by the University to fund operations.
FN8:  Distributions from the Available University Fund appropriated through the Appropriation Bill are first used to pay debt service costs on Permanent University Fund Bonds. Funds remaining are distributed to constitutionally designated institutions to promote academic excellence. Only the Excellence funding is shown at the institution level. The AUF funds used to pay debt service on PUF bonds are reported at the System level.
FN9:  Auxiliary Enterprises include athletics, housing and food, student services, and parking and transportation. Auxiliary Enterprises are required to be self-supporting, and therefore must operate on the funds they generate.  
FN10:  Mandatory and non-mandatory transfers includes transfers between funds, transfers between the University System and institutions and transfers to and from other state agencies. In total, all transfers between funds net to zero with the exception of any amounts transferred between the University System, between other institutions, or to and from another state agency. There are no transfers of education and general funds provided by the State of Texas to restricted or auxiliary fund groups. Transfers between education and general funds and designated funds are related to Texas Public Education Grant as provided by the State of Texas.</t>
  </si>
  <si>
    <t>Measures</t>
  </si>
  <si>
    <t>TotExpFTEStu</t>
  </si>
  <si>
    <t>TotExpFTEFac</t>
  </si>
  <si>
    <t>Data Entry Area</t>
  </si>
  <si>
    <t>Zoom % should be at 75%.</t>
  </si>
  <si>
    <t>Col. M Totals - Anticipated Values</t>
  </si>
  <si>
    <t>Note: Bolded &amp; Shaded items below are inputs to the IFRS Reconciliation</t>
  </si>
  <si>
    <t>SRECNP Reconciliation of Net Tuition and Fees</t>
  </si>
  <si>
    <t>To IFRS Reconciliation</t>
  </si>
  <si>
    <t>Per FGD Sheet</t>
  </si>
  <si>
    <t xml:space="preserve">  Net Student Tuition and Fees</t>
  </si>
  <si>
    <t>Tuition - Gross Per AFR</t>
  </si>
  <si>
    <t xml:space="preserve">  Scholarship Discounts and Allowances</t>
  </si>
  <si>
    <t>Gross Student Tuition and Fees</t>
  </si>
  <si>
    <t>Tuition  - Total Contra Items</t>
  </si>
  <si>
    <t xml:space="preserve">  Exemptions - Statutory (Reported in AFR)</t>
  </si>
  <si>
    <t>Fees - Gross Per AFR</t>
  </si>
  <si>
    <t xml:space="preserve">  Exemptions - Statutory (Not Reported in AFR)</t>
  </si>
  <si>
    <t xml:space="preserve">    Exemptions - Statutory</t>
  </si>
  <si>
    <t>Fees - Total Contra Items</t>
  </si>
  <si>
    <t xml:space="preserve">  Exemptions - Institutional (Reported in AFR)</t>
  </si>
  <si>
    <t xml:space="preserve">  Exemptions - Institutional (Not Reported in AFR)</t>
  </si>
  <si>
    <t>Totals per FGD</t>
  </si>
  <si>
    <t xml:space="preserve">    Exemptions - Institutional</t>
  </si>
  <si>
    <t>Per SRECNA</t>
  </si>
  <si>
    <t xml:space="preserve"> Total Exemptions</t>
  </si>
  <si>
    <t>Gross Student Tuition and Fees per SRECNP</t>
  </si>
  <si>
    <t xml:space="preserve">  Waivers - Statutory (Not Reported in AFR)</t>
  </si>
  <si>
    <t>Discounts and Allowances per SRECNP</t>
  </si>
  <si>
    <t xml:space="preserve"> (Enter as Neg.)</t>
  </si>
  <si>
    <t xml:space="preserve">  Waivers - Statutory (Reported in AFR)</t>
  </si>
  <si>
    <t>Difference w/ FGD T&amp;F Total</t>
  </si>
  <si>
    <t xml:space="preserve">    Waivers - Statutory</t>
  </si>
  <si>
    <t xml:space="preserve">  Waivers - Institutional (Not Reported in AFR)</t>
  </si>
  <si>
    <t xml:space="preserve">  Waivers - Institutional (Reported in AFR)</t>
  </si>
  <si>
    <t xml:space="preserve">    Waivers - Institutional</t>
  </si>
  <si>
    <t xml:space="preserve">    Total Waivers</t>
  </si>
  <si>
    <t xml:space="preserve">    Exemptions Not Reported in AFR Tuition &amp; Fees</t>
  </si>
  <si>
    <t xml:space="preserve">    Waivers Reported in AFR Tuition &amp; Fees</t>
  </si>
  <si>
    <t>Space Projection Model Inputs</t>
  </si>
  <si>
    <t>SRECNP Reconciliation</t>
  </si>
  <si>
    <t>Total Col. C,D,&amp;F</t>
  </si>
  <si>
    <t>Distribution of Capital Outlay by Function Capital Outlay - Current FS</t>
  </si>
  <si>
    <t>Less Federal Pass-Through</t>
  </si>
  <si>
    <t>Less State Pass-Through</t>
  </si>
  <si>
    <t>Institution Space Model Data Summary</t>
  </si>
  <si>
    <t>Total Cols. D,E,F, G,&amp; J</t>
  </si>
  <si>
    <t>Sch. of Revenues, Expenses, and Changes in Net Position</t>
  </si>
  <si>
    <t>Difference</t>
  </si>
  <si>
    <t>Operation and Maintenance of Plant</t>
  </si>
  <si>
    <t>Adjustments:</t>
  </si>
  <si>
    <t>Depreciation (Investment in Plant)</t>
  </si>
  <si>
    <t xml:space="preserve">    Sales &amp; Services Hospital/Clinics Revenues, etc.</t>
  </si>
  <si>
    <t>OPEB</t>
  </si>
  <si>
    <t xml:space="preserve">    Discounts and Allowances</t>
  </si>
  <si>
    <t>Net E &amp; G Expenditures</t>
  </si>
  <si>
    <t>Total Sources/Uses FGD Row 75</t>
  </si>
  <si>
    <t>Enter Revenues Received, but not yet expended.</t>
  </si>
  <si>
    <t>Remaining Balance</t>
  </si>
  <si>
    <t xml:space="preserve">Non-expendable funds from unrealized gains </t>
  </si>
  <si>
    <t>Non-expendable funds from additions to permanent</t>
  </si>
  <si>
    <t xml:space="preserve">  endowments</t>
  </si>
  <si>
    <t>Check Total - Must Be "-" or "0"</t>
  </si>
  <si>
    <t>Institution Sources &amp; Uses Contact Information:</t>
  </si>
  <si>
    <t>Contact Name:</t>
  </si>
  <si>
    <t>Telephone Number:</t>
  </si>
  <si>
    <t>Email Address:</t>
  </si>
  <si>
    <t>Please note that the person listed as the Contact Name must be an employee of the institution/system.  Do not list third party contractors as the contact person.</t>
  </si>
  <si>
    <t>SRECNP (M105)</t>
  </si>
  <si>
    <t>SRECNP</t>
  </si>
  <si>
    <t>CS Adj.</t>
  </si>
  <si>
    <t>Fed</t>
  </si>
  <si>
    <t>State</t>
  </si>
  <si>
    <t>SRECNA</t>
  </si>
  <si>
    <t>Fnt 11</t>
  </si>
  <si>
    <t>Fice</t>
  </si>
  <si>
    <t xml:space="preserve">FN11: Of the net increase of </t>
  </si>
  <si>
    <t xml:space="preserve"> approximately </t>
  </si>
  <si>
    <t xml:space="preserve"> represents revenues received but not year expended. This income is fully committed to program expenditures and capital disbursements. The remaining </t>
  </si>
  <si>
    <t xml:space="preserve"> represents non-expendable funds from unrealized gains and additions to permanent endowments of approximately </t>
  </si>
  <si>
    <t xml:space="preserve"> and </t>
  </si>
  <si>
    <t xml:space="preserve"> respectively. Unrealized gains and additions to permanent endowments do not contribute to the availability of the institution's operating cash as discussed in FN6 and FN7.</t>
  </si>
  <si>
    <t>Normally 0 for S76 S77.</t>
  </si>
  <si>
    <t>Note:  Due to the nature of M.D. Anderson's operations and the small number of students, no per student amounts were</t>
  </si>
  <si>
    <t xml:space="preserve">          calculated. </t>
  </si>
  <si>
    <t>Note:  Due to the nature of operations at the Health Center, the institution does not have any enrolled students.</t>
  </si>
  <si>
    <t>University of North Texas Health Science Center at Fort Worth (Public Medical)</t>
  </si>
  <si>
    <t>(Excludes Private Medical School)</t>
  </si>
  <si>
    <t>S76 &amp; S77 Normally 0</t>
  </si>
  <si>
    <t>This data is not included in the Health-Related Institution summary listing, since it is non-formula funded.</t>
  </si>
  <si>
    <t>This data is provided for information only, since it mixes the formula funding and non-formula funding medical schools.</t>
  </si>
  <si>
    <t>It is not included in the Health-Related Institution summary listing.</t>
  </si>
  <si>
    <t>University of North Texas Health Science Center at Fort Worth Private Medical School (Priv M)</t>
  </si>
  <si>
    <t>This data is not included in the Health-Related Institution summary listing, since it is a privately funded.</t>
  </si>
  <si>
    <t>This data is not included in the Health-Related Institution summary listing, since it is privately funded.</t>
  </si>
  <si>
    <t>This data is provided for information only, since it a private medical school.</t>
  </si>
  <si>
    <t>This data is not included in the Health-Related Institution summary listing, since it is a combination of public funding and private funded.</t>
  </si>
  <si>
    <t>This data is not included in the HRI Institution summary listing, since it is a combination of public funding and private funding.</t>
  </si>
  <si>
    <t>This data is provided for information only, since it a combination of a public and a  private medical school.</t>
  </si>
  <si>
    <t>Statements of Sources and Uses</t>
  </si>
  <si>
    <t>Universities, Health-Related Institutions, Lamar State Colleges, and TSTC</t>
  </si>
  <si>
    <t>File and Tab Naming Conventions/ Authorized Amounts</t>
  </si>
  <si>
    <t>Assigned Excel File</t>
  </si>
  <si>
    <t>HEF</t>
  </si>
  <si>
    <t>Tab Name</t>
  </si>
  <si>
    <t>Number</t>
  </si>
  <si>
    <t>Name on Returned File</t>
  </si>
  <si>
    <t>Higher Education Fund - As Adjusted</t>
  </si>
  <si>
    <t>U:tility Survey Ordering</t>
  </si>
  <si>
    <t>FY 2021</t>
  </si>
  <si>
    <t>FY 2021- 2025</t>
  </si>
  <si>
    <t>University Institutions:</t>
  </si>
  <si>
    <t>30 - Reserved for Summary</t>
  </si>
  <si>
    <t>The University of Texas System</t>
  </si>
  <si>
    <t>UTS</t>
  </si>
  <si>
    <t>S40</t>
  </si>
  <si>
    <t>S40 - S &amp; U - FY 2022 - UTS.xlsx</t>
  </si>
  <si>
    <t>The University of Texas at Arlington</t>
  </si>
  <si>
    <t>ARL</t>
  </si>
  <si>
    <t>40 - S &amp; U - FY 2022 - ARL.xlsx</t>
  </si>
  <si>
    <t>The University of Texas at Austin -  All Disciplines (A+H+M)</t>
  </si>
  <si>
    <t>AUS</t>
  </si>
  <si>
    <t>50 - S &amp; U - FY 2022 - AUS.xlsx</t>
  </si>
  <si>
    <t>The University of Texas at Austin - Academic &amp; Health (A+H)</t>
  </si>
  <si>
    <t>AUS1</t>
  </si>
  <si>
    <t>51 - S &amp; U - FY 2022 - AUS1.xlsx</t>
  </si>
  <si>
    <t>The University of Texas at Dallas</t>
  </si>
  <si>
    <t>DAL</t>
  </si>
  <si>
    <t>60 - S &amp; U - FY 2022 - DAL.xlsx</t>
  </si>
  <si>
    <t>The University of Texas at El Paso</t>
  </si>
  <si>
    <t>E-P</t>
  </si>
  <si>
    <t>70 - S &amp; U - FY 2022 - E-P.xlsx</t>
  </si>
  <si>
    <t>The University of Texas RGV - All Disciplines (A+H+M)</t>
  </si>
  <si>
    <t>RGV</t>
  </si>
  <si>
    <t>90 - S &amp; U - FY 2022 - RGV.xlsx</t>
  </si>
  <si>
    <t>The University of Texas RGV - Academic &amp; Health (A+H)</t>
  </si>
  <si>
    <t>RGV1</t>
  </si>
  <si>
    <t>91 - S &amp; U - FY 2022 - RGV1.xlsx</t>
  </si>
  <si>
    <t>The University of Texas of the Permian Basin</t>
  </si>
  <si>
    <t>P-B</t>
  </si>
  <si>
    <t>100 - S &amp; U - FY 2022 - P-B.xlsx</t>
  </si>
  <si>
    <t>The University of Texas at San Antonio</t>
  </si>
  <si>
    <t>S-A</t>
  </si>
  <si>
    <t>110 - S &amp; U - FY 2022 - S-A.xlsx</t>
  </si>
  <si>
    <t>The University of Texas at Tyler</t>
  </si>
  <si>
    <t>TYL</t>
  </si>
  <si>
    <t>120 - S &amp; U - FY 2022 - TYL.xlsx</t>
  </si>
  <si>
    <t>Texas A&amp;M University System</t>
  </si>
  <si>
    <t>TAMUS</t>
  </si>
  <si>
    <t>S130</t>
  </si>
  <si>
    <t>S130 - S &amp; U - FY 2022 - TAMUS.xlsx</t>
  </si>
  <si>
    <t>Texas A&amp;M University</t>
  </si>
  <si>
    <t>TAMU</t>
  </si>
  <si>
    <t>130 - S &amp; U - FY 2022 - TAMU.xlsx</t>
  </si>
  <si>
    <t>Texas A&amp;M University at Galveston</t>
  </si>
  <si>
    <t>TAMUG</t>
  </si>
  <si>
    <t>140 - S &amp; U - FY 2022 - TAMUG.xlsx</t>
  </si>
  <si>
    <t>Prairie View A&amp;M University</t>
  </si>
  <si>
    <t>PVAMU</t>
  </si>
  <si>
    <t>150 - S &amp; U - FY 2022 - PVAMU.xlsx</t>
  </si>
  <si>
    <t>Tarleton State University</t>
  </si>
  <si>
    <t>TARLST</t>
  </si>
  <si>
    <t>160 - S &amp; U - FY 2022 - TARL ST.xlsx</t>
  </si>
  <si>
    <t>Texas A&amp;M University - Corpus Christi</t>
  </si>
  <si>
    <t>TAMUCC</t>
  </si>
  <si>
    <t>170 - S &amp; U - FY 2022 - TAMUCC.xlsx</t>
  </si>
  <si>
    <t>Texas A&amp;M University - Kingsville</t>
  </si>
  <si>
    <t>TAMUK</t>
  </si>
  <si>
    <t>180 - S &amp; U - FY 2022 - TAMUK.xlsx</t>
  </si>
  <si>
    <t>Texas A&amp;M International University</t>
  </si>
  <si>
    <t>TAMIU</t>
  </si>
  <si>
    <t>190 - S &amp; U - FY 2022 - TAMIU.xlsx</t>
  </si>
  <si>
    <t>West Texas A&amp;M University</t>
  </si>
  <si>
    <t>WTAMU</t>
  </si>
  <si>
    <t>200 - S &amp; U - FY 2022 - WTAMU.xlsx</t>
  </si>
  <si>
    <t>Texas A&amp;M University - Commerce</t>
  </si>
  <si>
    <t>TAMUC</t>
  </si>
  <si>
    <t>210 - S &amp; U - FY 2022 - TAMUC.xlsx</t>
  </si>
  <si>
    <t>Texas A&amp;M University - Texarkana</t>
  </si>
  <si>
    <t>TAMUT</t>
  </si>
  <si>
    <t>220 - S &amp; U - FY 2022 - TAMUT.xlsx</t>
  </si>
  <si>
    <t>Texas A&amp;M University - Central Texas</t>
  </si>
  <si>
    <t>TAMUCT</t>
  </si>
  <si>
    <t>223 - S &amp; U - FY 2022 - TAMUCT.xlsx</t>
  </si>
  <si>
    <t>Texas A&amp;M University - San Antonio</t>
  </si>
  <si>
    <t>TAMUSA</t>
  </si>
  <si>
    <t>226 - S &amp; U - FY 2022 - TAMUSA.xlsx</t>
  </si>
  <si>
    <t>Texas A&amp;M AgriLife Research</t>
  </si>
  <si>
    <t>TAR</t>
  </si>
  <si>
    <t>600 - S &amp; U - FY 2022 - TAR.xlsx</t>
  </si>
  <si>
    <t>Texas A&amp;M AgriLife Extension Service</t>
  </si>
  <si>
    <t>TAES</t>
  </si>
  <si>
    <t>605 - S &amp; U - FY 2022 - TAES.xlsx</t>
  </si>
  <si>
    <t>Texas A&amp;M Engineering Experiment Station</t>
  </si>
  <si>
    <t>TEES1</t>
  </si>
  <si>
    <t>610 - S &amp; U - FY 2022 - TEES1.xlsx</t>
  </si>
  <si>
    <t>Texas A&amp;M Engineering Extension Service</t>
  </si>
  <si>
    <t>TEES2</t>
  </si>
  <si>
    <t>615 - S &amp; U - FY 2022 - TEES2.xlsx</t>
  </si>
  <si>
    <t>Texas A&amp;M Forest Service</t>
  </si>
  <si>
    <t>TFS</t>
  </si>
  <si>
    <t>620 - S &amp; U - FY 2022 - TFS.xlsx</t>
  </si>
  <si>
    <t>Texas A&amp;M Transportation Institute</t>
  </si>
  <si>
    <t>TTI</t>
  </si>
  <si>
    <t>625 - S &amp; U - FY 2022 - TTI.xlsx</t>
  </si>
  <si>
    <t>Texas A&amp;M Vet. Medical Diagnostic Laboratory</t>
  </si>
  <si>
    <t>TVMDL</t>
  </si>
  <si>
    <t>630 - S &amp; U - FY 2022 - TVMDL.xlsx</t>
  </si>
  <si>
    <t>Texas Division of Emergency Management</t>
  </si>
  <si>
    <t>TDEM</t>
  </si>
  <si>
    <t>640 - S &amp; U - FY 2022 - TDEM.xlsx</t>
  </si>
  <si>
    <t>Texas A&amp;M System Shared Services Center</t>
  </si>
  <si>
    <t>TAMSS</t>
  </si>
  <si>
    <t>635 - S &amp; U - FY 2022 - TAMSS.xlsx</t>
  </si>
  <si>
    <t>University of Houston System</t>
  </si>
  <si>
    <t>UHS</t>
  </si>
  <si>
    <t>S230</t>
  </si>
  <si>
    <t>S230 - S &amp; U - FY 2022 - UTS.xlsx</t>
  </si>
  <si>
    <t>University of Houston -  All Disciplines (A+H+M)</t>
  </si>
  <si>
    <t>UH</t>
  </si>
  <si>
    <t>230 - S &amp; U - FY 2022 - UH.xlsx</t>
  </si>
  <si>
    <t>University of Houston - Academic &amp; Health (A+H)</t>
  </si>
  <si>
    <t>UH1</t>
  </si>
  <si>
    <t>231 - S &amp; U - FY 2022 - UH1.xlsx</t>
  </si>
  <si>
    <t>University of Houston - Clear Lake</t>
  </si>
  <si>
    <t>UHCL</t>
  </si>
  <si>
    <t>240 - S &amp; U - FY 2022 - UHCL.xlsx</t>
  </si>
  <si>
    <t>University of Houston - Downtown</t>
  </si>
  <si>
    <t>UHD</t>
  </si>
  <si>
    <t>250 - S &amp; U - FY 2022 - UHD.xlsx</t>
  </si>
  <si>
    <t>University of Houston - Victoria</t>
  </si>
  <si>
    <t>UHV</t>
  </si>
  <si>
    <t>260 - S &amp; U - FY 2022 - UHV.xlsx</t>
  </si>
  <si>
    <t>Texas State System</t>
  </si>
  <si>
    <t>TXSTS</t>
  </si>
  <si>
    <t>S270</t>
  </si>
  <si>
    <t>S270 - S &amp; U - FY 2022 - TXSTS.xlsx</t>
  </si>
  <si>
    <t xml:space="preserve">Lamar University </t>
  </si>
  <si>
    <t>LU</t>
  </si>
  <si>
    <t>270 - S &amp; U - FY 2022 - LU.xlsx</t>
  </si>
  <si>
    <t>Sam Houston State University -  All Disciplines (A+H+NF)</t>
  </si>
  <si>
    <t>SHSU</t>
  </si>
  <si>
    <t>280 - S &amp; U - FY 2022 - SHSU.xlsx</t>
  </si>
  <si>
    <t>Sam Houston State University - Academic &amp; Health (A+H)</t>
  </si>
  <si>
    <t>SHSU1</t>
  </si>
  <si>
    <t>281 - S &amp; U - FY 2022 - SHSU1.xlsx</t>
  </si>
  <si>
    <t>Texas State University</t>
  </si>
  <si>
    <t>TXST</t>
  </si>
  <si>
    <t>290 - S &amp; U - FY 2022 - TXST.xlsx</t>
  </si>
  <si>
    <t>Sul Ross State University</t>
  </si>
  <si>
    <t>SRSU</t>
  </si>
  <si>
    <t>300 - S &amp; U - FY 2022 - SRSU.xlsx</t>
  </si>
  <si>
    <t>Texas Tech University System</t>
  </si>
  <si>
    <t>TTUS</t>
  </si>
  <si>
    <t>S310</t>
  </si>
  <si>
    <t>S310 - S &amp; U - FY 2022 - TTUS.xlsx</t>
  </si>
  <si>
    <t>Texas Tech University</t>
  </si>
  <si>
    <t>TTU</t>
  </si>
  <si>
    <t>310 - S &amp; U - FY 2022 - TTU.xlsx</t>
  </si>
  <si>
    <t>Angelo State University</t>
  </si>
  <si>
    <t>ASU</t>
  </si>
  <si>
    <t>320 - S &amp; U - FY 2022 - ASU.xlsx</t>
  </si>
  <si>
    <t>University of North Texas System</t>
  </si>
  <si>
    <t>UNTS</t>
  </si>
  <si>
    <t>S330</t>
  </si>
  <si>
    <t>S330 - S &amp; U - FY 2022 - UNTS.xlsx</t>
  </si>
  <si>
    <t>University of North Texas</t>
  </si>
  <si>
    <t>UNT</t>
  </si>
  <si>
    <t>330 - S &amp; U - FY 2022 - UNT.xlsx</t>
  </si>
  <si>
    <t>University of North Texas at Dallas</t>
  </si>
  <si>
    <t>UNTD</t>
  </si>
  <si>
    <t>333 - S &amp; U - FY 2022 - UNTD.xlsx</t>
  </si>
  <si>
    <t>Midwestern State University</t>
  </si>
  <si>
    <t>MidWST</t>
  </si>
  <si>
    <t>340 - S &amp; U - FY 2022 - MidWST.xlsx</t>
  </si>
  <si>
    <t>Stephen F. Austin State University</t>
  </si>
  <si>
    <t>SFA</t>
  </si>
  <si>
    <t>350 - S &amp; U - FY 2022 - SFA.xlsx</t>
  </si>
  <si>
    <t>Texas Southern University</t>
  </si>
  <si>
    <t>TSU</t>
  </si>
  <si>
    <t>360 - S &amp; U - FY 2022 - TSU.xlsx</t>
  </si>
  <si>
    <t>Texas Woman's University</t>
  </si>
  <si>
    <t>TWU</t>
  </si>
  <si>
    <t>370 - S &amp; U - FY 2022 - TWU.xlsx</t>
  </si>
  <si>
    <t>Lamar Institute of Technology</t>
  </si>
  <si>
    <t>LIT</t>
  </si>
  <si>
    <t>490 - S &amp; U - FY 2022 - LIT.xlsx</t>
  </si>
  <si>
    <t>Lamar State College - Orange</t>
  </si>
  <si>
    <t>LSCO</t>
  </si>
  <si>
    <t>500 - S &amp; U - FY 2022 - LSCO.xlsx</t>
  </si>
  <si>
    <t>Lamar State College - Port Arthur</t>
  </si>
  <si>
    <t>LSCPA</t>
  </si>
  <si>
    <t>510 - S &amp; U - FY 2022 - LSCPA.xlsx</t>
  </si>
  <si>
    <t>Texas State Technical College - Harlingen</t>
  </si>
  <si>
    <t>TSTCH</t>
  </si>
  <si>
    <t>520 - S &amp; U - FY 2022 - TSTCH.xlsx</t>
  </si>
  <si>
    <t>Texas State Technical College - West Texas</t>
  </si>
  <si>
    <t>TSTCWT</t>
  </si>
  <si>
    <t>530 - S &amp; U - FY 2022 - TSTCWT.xlsx</t>
  </si>
  <si>
    <t>Texas State Technical College - Marshall</t>
  </si>
  <si>
    <t>TSTCM</t>
  </si>
  <si>
    <t>540 - S &amp; U - FY 2022 - TSTCM.xlsx</t>
  </si>
  <si>
    <t>Texas State Technical College - Waco</t>
  </si>
  <si>
    <t>TSTCW</t>
  </si>
  <si>
    <t>550 - S &amp; U - FY 2022 - TSTCW.xlsx</t>
  </si>
  <si>
    <t>Texas State Technical College - North Texas</t>
  </si>
  <si>
    <t>TSTCNT</t>
  </si>
  <si>
    <t>552 - S &amp; U - FY 2022 - TSTCNT.xlsx</t>
  </si>
  <si>
    <t>Texas State Technical College - Fort Bend</t>
  </si>
  <si>
    <t>TSTCFB</t>
  </si>
  <si>
    <t>553 - S &amp; U - FY 2022 - TSTCFB.xlsx</t>
  </si>
  <si>
    <t>Texas State Technical College - System</t>
  </si>
  <si>
    <t>TSTCS</t>
  </si>
  <si>
    <t>555 - S &amp; U - FY 2022 - TSTCS.xlsx</t>
  </si>
  <si>
    <t>Health-Related Institutions:</t>
  </si>
  <si>
    <t>380 - Reserved for Summary</t>
  </si>
  <si>
    <t>SWM</t>
  </si>
  <si>
    <t>390 - S &amp; U - FY 2022 - SWM.xlsx</t>
  </si>
  <si>
    <t>HSSA</t>
  </si>
  <si>
    <t>420 - S &amp; U - FY 2022 - HSSA.xlsx</t>
  </si>
  <si>
    <t>TAMHSC</t>
  </si>
  <si>
    <t>450 - S &amp; U - FY 2022 - TAMHSC.xlsx</t>
  </si>
  <si>
    <t>UNTHSC</t>
  </si>
  <si>
    <t>460 - S &amp; U - FY 2022 - UNTHSC (Pub M + Priv M).xlsx</t>
  </si>
  <si>
    <t>UNTHSC1</t>
  </si>
  <si>
    <t>461 - S &amp; U - FY 2022 - UNTHSC (Pub M).xlsx</t>
  </si>
  <si>
    <t>TTUHSC</t>
  </si>
  <si>
    <t>470 - S &amp; U - FY 2022 - TTUHSC.xlsx</t>
  </si>
  <si>
    <t>TTUHSCEP</t>
  </si>
  <si>
    <t>480 - S &amp; U - FY 2022 - TTUHSCEP.xlsx</t>
  </si>
  <si>
    <t>HSH</t>
  </si>
  <si>
    <t>410 - S &amp; U - FY 2022 - HSH.xlsx</t>
  </si>
  <si>
    <t>MDA</t>
  </si>
  <si>
    <t>430 - S &amp; U - FY 2022 - MDA.xlsx</t>
  </si>
  <si>
    <t>THC</t>
  </si>
  <si>
    <t>440 - S &amp; U - FY 2022 - THC.xlsx</t>
  </si>
  <si>
    <t>MBG</t>
  </si>
  <si>
    <t>400 - S &amp; U - FY 2022 - MBG.xlsx</t>
  </si>
  <si>
    <t>RGVM</t>
  </si>
  <si>
    <t>500 - S &amp; U - FY 2022 - RGVM.xlsx</t>
  </si>
  <si>
    <t>AUSM</t>
  </si>
  <si>
    <t>510 - S &amp; U - FY 2022 - AUSM.xlsx</t>
  </si>
  <si>
    <t>UHM</t>
  </si>
  <si>
    <t>520 - S &amp; U - FY 2022 - UHM.xlsx</t>
  </si>
  <si>
    <t>SHNF</t>
  </si>
  <si>
    <t>530 - S &amp; U - FY 2022 - SHSUMNF.xlsx</t>
  </si>
  <si>
    <t>UNTHSCPM</t>
  </si>
  <si>
    <t>540 - S &amp; U - FY 2022 -UNTHSCPM.xlsx</t>
  </si>
  <si>
    <t>Checked Ok</t>
  </si>
  <si>
    <t>The University of Texas at Austin - Medical School &amp; Health Prof (M+H)</t>
  </si>
  <si>
    <t>AUS2</t>
  </si>
  <si>
    <t>501 - S &amp; U - FY 2018 - AUS2.xlsx</t>
  </si>
  <si>
    <t>The University of Texas RGV - Medical School&amp; Health Prof (M+H)</t>
  </si>
  <si>
    <t>RGV2</t>
  </si>
  <si>
    <t>511 - S &amp; U - FY 2018 - RGV2.xlsx</t>
  </si>
  <si>
    <t>The University of Texas at Austin - Academic Only (A)</t>
  </si>
  <si>
    <t>52 - S &amp; U - FY 2018 - AUS2.xlsx</t>
  </si>
  <si>
    <t>The University of Texas RGV - Academic Only (A)</t>
  </si>
  <si>
    <t>93 - S &amp; U - FY 2018 - RGV2.xlsx</t>
  </si>
  <si>
    <t>Texas A&amp;M Research Foundation</t>
  </si>
  <si>
    <t>TAMRF</t>
  </si>
  <si>
    <t>635 - S &amp; U - FY 2015 - TAMRF.xlsx</t>
  </si>
  <si>
    <t>Texas A&amp;M Office of Sponsored Research Services</t>
  </si>
  <si>
    <t>TAMSR</t>
  </si>
  <si>
    <t>637 - S &amp; U - FY 2015 - TAMSR.xlsx</t>
  </si>
  <si>
    <t>Texas A&amp;M office of Technology &amp; Commercialization</t>
  </si>
  <si>
    <t>TAMTC</t>
  </si>
  <si>
    <t>639 - S &amp; U - FY 2015 - TAMTC.xlsx</t>
  </si>
  <si>
    <t>UZ Last Number</t>
  </si>
  <si>
    <t>Q65</t>
  </si>
  <si>
    <t>R65</t>
  </si>
  <si>
    <t>S</t>
  </si>
  <si>
    <t>X</t>
  </si>
  <si>
    <t>Research Development Funds/ Texas Competitive Knowledge Funds</t>
  </si>
  <si>
    <t>Endowment and Interest Income</t>
  </si>
  <si>
    <t>Mandatory and Non-mandatory Transfers</t>
  </si>
  <si>
    <t>Bond Proceeds Transfers In</t>
  </si>
  <si>
    <t>Debt Service Payments</t>
  </si>
  <si>
    <t>Unrealized Gains / (Losses)</t>
  </si>
  <si>
    <t>Additions to Permanent Endowments</t>
  </si>
  <si>
    <t>Cost Study Capital Outlay</t>
  </si>
  <si>
    <t>Space Model - Federal Pass-Through</t>
  </si>
  <si>
    <t>Space Model - State Pass-Through</t>
  </si>
  <si>
    <t>CS. Adj</t>
  </si>
  <si>
    <t>Footnote</t>
  </si>
  <si>
    <t>Contact</t>
  </si>
  <si>
    <t>Data Complete</t>
  </si>
  <si>
    <t>E&amp;G</t>
  </si>
  <si>
    <t>Desg.</t>
  </si>
  <si>
    <t>R Exp</t>
  </si>
  <si>
    <t>Ln Fn</t>
  </si>
  <si>
    <t>Annuity</t>
  </si>
  <si>
    <t>Unexp</t>
  </si>
  <si>
    <t>R of Ind.</t>
  </si>
  <si>
    <t>Inv in P</t>
  </si>
  <si>
    <t>T &amp; F</t>
  </si>
  <si>
    <t>Disc &amp; All</t>
  </si>
  <si>
    <t>Resh</t>
  </si>
  <si>
    <t>Pub Svc</t>
  </si>
  <si>
    <t>H &amp; C</t>
  </si>
  <si>
    <t>Aca Sppt</t>
  </si>
  <si>
    <t>Stu Svcs</t>
  </si>
  <si>
    <t>Sch &amp; Fello</t>
  </si>
  <si>
    <t>H&amp;C</t>
  </si>
  <si>
    <t>Sales &amp; Services Hospital/Clinics Revenues, etc.</t>
  </si>
  <si>
    <t>Disc &amp; Allow</t>
  </si>
  <si>
    <t>Rev Rec'd</t>
  </si>
  <si>
    <t>Non Exp.</t>
  </si>
  <si>
    <t>Phone No.</t>
  </si>
  <si>
    <t>Checksum Out</t>
  </si>
  <si>
    <t>Cents?</t>
  </si>
  <si>
    <t>B2</t>
  </si>
  <si>
    <t>D10</t>
  </si>
  <si>
    <t>E10</t>
  </si>
  <si>
    <t>F10</t>
  </si>
  <si>
    <t>G10</t>
  </si>
  <si>
    <t>H10</t>
  </si>
  <si>
    <t>I10</t>
  </si>
  <si>
    <t>J10</t>
  </si>
  <si>
    <t>K10</t>
  </si>
  <si>
    <t>L10</t>
  </si>
  <si>
    <t>D11</t>
  </si>
  <si>
    <t>E11</t>
  </si>
  <si>
    <t>F11</t>
  </si>
  <si>
    <t>G11</t>
  </si>
  <si>
    <t>H11</t>
  </si>
  <si>
    <t>I11</t>
  </si>
  <si>
    <t>J11</t>
  </si>
  <si>
    <t>K11</t>
  </si>
  <si>
    <t>L11</t>
  </si>
  <si>
    <t>D12</t>
  </si>
  <si>
    <t>E12</t>
  </si>
  <si>
    <t>F12</t>
  </si>
  <si>
    <t>H12</t>
  </si>
  <si>
    <t>I12</t>
  </si>
  <si>
    <t>J12</t>
  </si>
  <si>
    <t>K12</t>
  </si>
  <si>
    <t>L12</t>
  </si>
  <si>
    <t>D13</t>
  </si>
  <si>
    <t>E13</t>
  </si>
  <si>
    <t>F13</t>
  </si>
  <si>
    <t>G13</t>
  </si>
  <si>
    <t>H13</t>
  </si>
  <si>
    <t>I13</t>
  </si>
  <si>
    <t>J13</t>
  </si>
  <si>
    <t>K13</t>
  </si>
  <si>
    <t>L13</t>
  </si>
  <si>
    <t>D14</t>
  </si>
  <si>
    <t>E14</t>
  </si>
  <si>
    <t>F14</t>
  </si>
  <si>
    <t>H14</t>
  </si>
  <si>
    <t>I14</t>
  </si>
  <si>
    <t>J14</t>
  </si>
  <si>
    <t>K14</t>
  </si>
  <si>
    <t>L14</t>
  </si>
  <si>
    <t>D19</t>
  </si>
  <si>
    <t>E19</t>
  </si>
  <si>
    <t>F19</t>
  </si>
  <si>
    <t>G19</t>
  </si>
  <si>
    <t>H19</t>
  </si>
  <si>
    <t>I19</t>
  </si>
  <si>
    <t>J19</t>
  </si>
  <si>
    <t>K19</t>
  </si>
  <si>
    <t>L19</t>
  </si>
  <si>
    <t>D20</t>
  </si>
  <si>
    <t>E20</t>
  </si>
  <si>
    <t>G20</t>
  </si>
  <si>
    <t>H20</t>
  </si>
  <si>
    <t>J20</t>
  </si>
  <si>
    <t>K20</t>
  </si>
  <si>
    <t>L20</t>
  </si>
  <si>
    <t>D21</t>
  </si>
  <si>
    <t>E21</t>
  </si>
  <si>
    <t>F21</t>
  </si>
  <si>
    <t>G21</t>
  </si>
  <si>
    <t>H21</t>
  </si>
  <si>
    <t>I21</t>
  </si>
  <si>
    <t>J21</t>
  </si>
  <si>
    <t>K21</t>
  </si>
  <si>
    <t>L21</t>
  </si>
  <si>
    <t>D22</t>
  </si>
  <si>
    <t>E22</t>
  </si>
  <si>
    <t>F22</t>
  </si>
  <si>
    <t>G22</t>
  </si>
  <si>
    <t>H22</t>
  </si>
  <si>
    <t>I22</t>
  </si>
  <si>
    <t>J22</t>
  </si>
  <si>
    <t>K22</t>
  </si>
  <si>
    <t>L22</t>
  </si>
  <si>
    <t>D23</t>
  </si>
  <si>
    <t>E23</t>
  </si>
  <si>
    <t>G23</t>
  </si>
  <si>
    <t>H23</t>
  </si>
  <si>
    <t>J23</t>
  </si>
  <si>
    <t>K23</t>
  </si>
  <si>
    <t>L23</t>
  </si>
  <si>
    <t>D24</t>
  </si>
  <si>
    <t>E24</t>
  </si>
  <si>
    <t>F24</t>
  </si>
  <si>
    <t>G24</t>
  </si>
  <si>
    <t>H24</t>
  </si>
  <si>
    <t>I24</t>
  </si>
  <si>
    <t>J24</t>
  </si>
  <si>
    <t>K24</t>
  </si>
  <si>
    <t>L24</t>
  </si>
  <si>
    <t>D25</t>
  </si>
  <si>
    <t>E25</t>
  </si>
  <si>
    <t>F25</t>
  </si>
  <si>
    <t>G25</t>
  </si>
  <si>
    <t>H25</t>
  </si>
  <si>
    <t>I25</t>
  </si>
  <si>
    <t>J25</t>
  </si>
  <si>
    <t>K25</t>
  </si>
  <si>
    <t>L25</t>
  </si>
  <si>
    <t>D26</t>
  </si>
  <si>
    <t>E26</t>
  </si>
  <si>
    <t>F26</t>
  </si>
  <si>
    <t>G26</t>
  </si>
  <si>
    <t>H26</t>
  </si>
  <si>
    <t>I26</t>
  </si>
  <si>
    <t>J26</t>
  </si>
  <si>
    <t>K26</t>
  </si>
  <si>
    <t>L26</t>
  </si>
  <si>
    <t>D27</t>
  </si>
  <si>
    <t>E27</t>
  </si>
  <si>
    <t>F27</t>
  </si>
  <si>
    <t>G27</t>
  </si>
  <si>
    <t>H27</t>
  </si>
  <si>
    <t>I27</t>
  </si>
  <si>
    <t>J27</t>
  </si>
  <si>
    <t>K27</t>
  </si>
  <si>
    <t>L27</t>
  </si>
  <si>
    <t>D28</t>
  </si>
  <si>
    <t>E28</t>
  </si>
  <si>
    <t>F28</t>
  </si>
  <si>
    <t>G28</t>
  </si>
  <si>
    <t>H28</t>
  </si>
  <si>
    <t>I28</t>
  </si>
  <si>
    <t>J28</t>
  </si>
  <si>
    <t>K28</t>
  </si>
  <si>
    <t>L28</t>
  </si>
  <si>
    <t>D32</t>
  </si>
  <si>
    <t>E32</t>
  </si>
  <si>
    <t>F32</t>
  </si>
  <si>
    <t>G32</t>
  </si>
  <si>
    <t>H32</t>
  </si>
  <si>
    <t>I32</t>
  </si>
  <si>
    <t>J32</t>
  </si>
  <si>
    <t>K32</t>
  </si>
  <si>
    <t>L32</t>
  </si>
  <si>
    <t>D33</t>
  </si>
  <si>
    <t>E33</t>
  </si>
  <si>
    <t>F33</t>
  </si>
  <si>
    <t>G33</t>
  </si>
  <si>
    <t>H33</t>
  </si>
  <si>
    <t>I33</t>
  </si>
  <si>
    <t>J33</t>
  </si>
  <si>
    <t>K33</t>
  </si>
  <si>
    <t>L33</t>
  </si>
  <si>
    <t>D34</t>
  </si>
  <si>
    <t>E34</t>
  </si>
  <si>
    <t>F34</t>
  </si>
  <si>
    <t>G34</t>
  </si>
  <si>
    <t>H34</t>
  </si>
  <si>
    <t>I34</t>
  </si>
  <si>
    <t>J34</t>
  </si>
  <si>
    <t>K34</t>
  </si>
  <si>
    <t>L34</t>
  </si>
  <si>
    <t>D35</t>
  </si>
  <si>
    <t>E35</t>
  </si>
  <si>
    <t>F35</t>
  </si>
  <si>
    <t>G35</t>
  </si>
  <si>
    <t>H35</t>
  </si>
  <si>
    <t>I35</t>
  </si>
  <si>
    <t>J35</t>
  </si>
  <si>
    <t>K35</t>
  </si>
  <si>
    <t>L35</t>
  </si>
  <si>
    <t>D36</t>
  </si>
  <si>
    <t>E36</t>
  </si>
  <si>
    <t>F36</t>
  </si>
  <si>
    <t>G36</t>
  </si>
  <si>
    <t>H36</t>
  </si>
  <si>
    <t>I36</t>
  </si>
  <si>
    <t>J36</t>
  </si>
  <si>
    <t>K36</t>
  </si>
  <si>
    <t>L36</t>
  </si>
  <si>
    <t>D37</t>
  </si>
  <si>
    <t>E37</t>
  </si>
  <si>
    <t>F37</t>
  </si>
  <si>
    <t>G37</t>
  </si>
  <si>
    <t>H37</t>
  </si>
  <si>
    <t>I37</t>
  </si>
  <si>
    <t>J37</t>
  </si>
  <si>
    <t>K37</t>
  </si>
  <si>
    <t>L37</t>
  </si>
  <si>
    <t>D38</t>
  </si>
  <si>
    <t>E38</t>
  </si>
  <si>
    <t>G38</t>
  </si>
  <si>
    <t>H38</t>
  </si>
  <si>
    <t>J38</t>
  </si>
  <si>
    <t>K38</t>
  </si>
  <si>
    <t>L38</t>
  </si>
  <si>
    <t>D39</t>
  </si>
  <si>
    <t>E39</t>
  </si>
  <si>
    <t>F39</t>
  </si>
  <si>
    <t>G39</t>
  </si>
  <si>
    <t>H39</t>
  </si>
  <si>
    <t>J39</t>
  </si>
  <si>
    <t>K39</t>
  </si>
  <si>
    <t>L39</t>
  </si>
  <si>
    <t>D40</t>
  </si>
  <si>
    <t>E40</t>
  </si>
  <si>
    <t>F40</t>
  </si>
  <si>
    <t>G40</t>
  </si>
  <si>
    <t>H40</t>
  </si>
  <si>
    <t>I40</t>
  </si>
  <si>
    <t>J40</t>
  </si>
  <si>
    <t>K40</t>
  </si>
  <si>
    <t>L40</t>
  </si>
  <si>
    <t>D41</t>
  </si>
  <si>
    <t>E41</t>
  </si>
  <si>
    <t>F41</t>
  </si>
  <si>
    <t>H41</t>
  </si>
  <si>
    <t>I41</t>
  </si>
  <si>
    <t>J41</t>
  </si>
  <si>
    <t>K41</t>
  </si>
  <si>
    <t>L41</t>
  </si>
  <si>
    <t>D47</t>
  </si>
  <si>
    <t>E47</t>
  </si>
  <si>
    <t>F47</t>
  </si>
  <si>
    <t>G47</t>
  </si>
  <si>
    <t>H47</t>
  </si>
  <si>
    <t>I47</t>
  </si>
  <si>
    <t>J47</t>
  </si>
  <si>
    <t>K47</t>
  </si>
  <si>
    <t>L47</t>
  </si>
  <si>
    <t>D50</t>
  </si>
  <si>
    <t>E50</t>
  </si>
  <si>
    <t>F50</t>
  </si>
  <si>
    <t>G50</t>
  </si>
  <si>
    <t>H50</t>
  </si>
  <si>
    <t>I50</t>
  </si>
  <si>
    <t>J50</t>
  </si>
  <si>
    <t>K50</t>
  </si>
  <si>
    <t>L50</t>
  </si>
  <si>
    <t>D53</t>
  </si>
  <si>
    <t>E53</t>
  </si>
  <si>
    <t>F53</t>
  </si>
  <si>
    <t>G53</t>
  </si>
  <si>
    <t>H53</t>
  </si>
  <si>
    <t>J53</t>
  </si>
  <si>
    <t>K53</t>
  </si>
  <si>
    <t>L53</t>
  </si>
  <si>
    <t>D56</t>
  </si>
  <si>
    <t>E56</t>
  </si>
  <si>
    <t>F56</t>
  </si>
  <si>
    <t>G56</t>
  </si>
  <si>
    <t>H56</t>
  </si>
  <si>
    <t>D57</t>
  </si>
  <si>
    <t>E57</t>
  </si>
  <si>
    <t>F57</t>
  </si>
  <si>
    <t>G57</t>
  </si>
  <si>
    <t>H57</t>
  </si>
  <si>
    <t>J57</t>
  </si>
  <si>
    <t>K57</t>
  </si>
  <si>
    <t>L57</t>
  </si>
  <si>
    <t>D58</t>
  </si>
  <si>
    <t>E58</t>
  </si>
  <si>
    <t>F58</t>
  </si>
  <si>
    <t>G58</t>
  </si>
  <si>
    <t>H58</t>
  </si>
  <si>
    <t>I58</t>
  </si>
  <si>
    <t>J58</t>
  </si>
  <si>
    <t>K58</t>
  </si>
  <si>
    <t>L58</t>
  </si>
  <si>
    <t>D59</t>
  </si>
  <si>
    <t>E59</t>
  </si>
  <si>
    <t>F59</t>
  </si>
  <si>
    <t>G59</t>
  </si>
  <si>
    <t>H59</t>
  </si>
  <si>
    <t>J59</t>
  </si>
  <si>
    <t>K59</t>
  </si>
  <si>
    <t>L59</t>
  </si>
  <si>
    <t>D60</t>
  </si>
  <si>
    <t>E60</t>
  </si>
  <si>
    <t>F60</t>
  </si>
  <si>
    <t>G60</t>
  </si>
  <si>
    <t>H60</t>
  </si>
  <si>
    <t>I60</t>
  </si>
  <si>
    <t>J60</t>
  </si>
  <si>
    <t>K60</t>
  </si>
  <si>
    <t>L60</t>
  </si>
  <si>
    <t>D61</t>
  </si>
  <si>
    <t>E61</t>
  </si>
  <si>
    <t>F61</t>
  </si>
  <si>
    <t>G61</t>
  </si>
  <si>
    <t>H61</t>
  </si>
  <si>
    <t>I61</t>
  </si>
  <si>
    <t>J61</t>
  </si>
  <si>
    <t>K61</t>
  </si>
  <si>
    <t>L61</t>
  </si>
  <si>
    <t>D65</t>
  </si>
  <si>
    <t>E65</t>
  </si>
  <si>
    <t>F65</t>
  </si>
  <si>
    <t>G65</t>
  </si>
  <si>
    <t>H65</t>
  </si>
  <si>
    <t>I65</t>
  </si>
  <si>
    <t>D66</t>
  </si>
  <si>
    <t>E66</t>
  </si>
  <si>
    <t>F66</t>
  </si>
  <si>
    <t>G66</t>
  </si>
  <si>
    <t>H66</t>
  </si>
  <si>
    <t>I66</t>
  </si>
  <si>
    <t>J66</t>
  </si>
  <si>
    <t>K66</t>
  </si>
  <si>
    <t>L66</t>
  </si>
  <si>
    <t>D67</t>
  </si>
  <si>
    <t>E67</t>
  </si>
  <si>
    <t>F67</t>
  </si>
  <si>
    <t>G67</t>
  </si>
  <si>
    <t>H67</t>
  </si>
  <si>
    <t>I67</t>
  </si>
  <si>
    <t>J67</t>
  </si>
  <si>
    <t>K67</t>
  </si>
  <si>
    <t>L67</t>
  </si>
  <si>
    <t>D68</t>
  </si>
  <si>
    <t>E68</t>
  </si>
  <si>
    <t>F68</t>
  </si>
  <si>
    <t>G68</t>
  </si>
  <si>
    <t>H68</t>
  </si>
  <si>
    <t>J68</t>
  </si>
  <si>
    <t>K68</t>
  </si>
  <si>
    <t>L68</t>
  </si>
  <si>
    <t>D69</t>
  </si>
  <si>
    <t>E69</t>
  </si>
  <si>
    <t>F69</t>
  </si>
  <si>
    <t>G69</t>
  </si>
  <si>
    <t>H69</t>
  </si>
  <si>
    <t>I69</t>
  </si>
  <si>
    <t>J69</t>
  </si>
  <si>
    <t>K69</t>
  </si>
  <si>
    <t>L69</t>
  </si>
  <si>
    <t>D70</t>
  </si>
  <si>
    <t>E70</t>
  </si>
  <si>
    <t>F70</t>
  </si>
  <si>
    <t>G70</t>
  </si>
  <si>
    <t>H70</t>
  </si>
  <si>
    <t>I70</t>
  </si>
  <si>
    <t>J70</t>
  </si>
  <si>
    <t>K70</t>
  </si>
  <si>
    <t>L70</t>
  </si>
  <si>
    <t>D71</t>
  </si>
  <si>
    <t>E71</t>
  </si>
  <si>
    <t>F71</t>
  </si>
  <si>
    <t>G71</t>
  </si>
  <si>
    <t>H71</t>
  </si>
  <si>
    <t>I71</t>
  </si>
  <si>
    <t>J71</t>
  </si>
  <si>
    <t>K71</t>
  </si>
  <si>
    <t>L71</t>
  </si>
  <si>
    <t>D72</t>
  </si>
  <si>
    <t>E72</t>
  </si>
  <si>
    <t>F72</t>
  </si>
  <si>
    <t>G72</t>
  </si>
  <si>
    <t>H72</t>
  </si>
  <si>
    <t>I72</t>
  </si>
  <si>
    <t>J72</t>
  </si>
  <si>
    <t>K72</t>
  </si>
  <si>
    <t>L72</t>
  </si>
  <si>
    <t>D73</t>
  </si>
  <si>
    <t>E73</t>
  </si>
  <si>
    <t>F73</t>
  </si>
  <si>
    <t>G73</t>
  </si>
  <si>
    <t>H73</t>
  </si>
  <si>
    <t>I73</t>
  </si>
  <si>
    <t>J73</t>
  </si>
  <si>
    <t>K73</t>
  </si>
  <si>
    <t>L73</t>
  </si>
  <si>
    <t>D74</t>
  </si>
  <si>
    <t>E74</t>
  </si>
  <si>
    <t>F74</t>
  </si>
  <si>
    <t>G74</t>
  </si>
  <si>
    <t>H74</t>
  </si>
  <si>
    <t>I74</t>
  </si>
  <si>
    <t>J74</t>
  </si>
  <si>
    <t>K74</t>
  </si>
  <si>
    <t>L74</t>
  </si>
  <si>
    <t>D75</t>
  </si>
  <si>
    <t>E75</t>
  </si>
  <si>
    <t>F75</t>
  </si>
  <si>
    <t>G75</t>
  </si>
  <si>
    <t>H75</t>
  </si>
  <si>
    <t>I75</t>
  </si>
  <si>
    <t>J75</t>
  </si>
  <si>
    <t>K75</t>
  </si>
  <si>
    <t>L75</t>
  </si>
  <si>
    <t>D76</t>
  </si>
  <si>
    <t>E76</t>
  </si>
  <si>
    <t>F76</t>
  </si>
  <si>
    <t>G76</t>
  </si>
  <si>
    <t>H76</t>
  </si>
  <si>
    <t>I76</t>
  </si>
  <si>
    <t>J76</t>
  </si>
  <si>
    <t>K76</t>
  </si>
  <si>
    <t>L76</t>
  </si>
  <si>
    <t>D80</t>
  </si>
  <si>
    <t>E80</t>
  </si>
  <si>
    <t>F80</t>
  </si>
  <si>
    <t>G80</t>
  </si>
  <si>
    <t>H80</t>
  </si>
  <si>
    <t>I80</t>
  </si>
  <si>
    <t>J80</t>
  </si>
  <si>
    <t>K80</t>
  </si>
  <si>
    <t>L80</t>
  </si>
  <si>
    <t>D81</t>
  </si>
  <si>
    <t>E81</t>
  </si>
  <si>
    <t>F81</t>
  </si>
  <si>
    <t>G81</t>
  </si>
  <si>
    <t>H81</t>
  </si>
  <si>
    <t>I81</t>
  </si>
  <si>
    <t>J81</t>
  </si>
  <si>
    <t>K81</t>
  </si>
  <si>
    <t>L81</t>
  </si>
  <si>
    <t>D82</t>
  </si>
  <si>
    <t>E82</t>
  </si>
  <si>
    <t>F82</t>
  </si>
  <si>
    <t>G82</t>
  </si>
  <si>
    <t>H82</t>
  </si>
  <si>
    <t>I82</t>
  </si>
  <si>
    <t>J82</t>
  </si>
  <si>
    <t>K82</t>
  </si>
  <si>
    <t>L82</t>
  </si>
  <si>
    <t>D83</t>
  </si>
  <si>
    <t>E83</t>
  </si>
  <si>
    <t>F83</t>
  </si>
  <si>
    <t>G83</t>
  </si>
  <si>
    <t>H83</t>
  </si>
  <si>
    <t>I83</t>
  </si>
  <si>
    <t>J83</t>
  </si>
  <si>
    <t>K83</t>
  </si>
  <si>
    <t>L83</t>
  </si>
  <si>
    <t>D87</t>
  </si>
  <si>
    <t>E87</t>
  </si>
  <si>
    <t>F87</t>
  </si>
  <si>
    <t>G87</t>
  </si>
  <si>
    <t>H87</t>
  </si>
  <si>
    <t>I87</t>
  </si>
  <si>
    <t>J87</t>
  </si>
  <si>
    <t>K87</t>
  </si>
  <si>
    <t>L87</t>
  </si>
  <si>
    <t>D88</t>
  </si>
  <si>
    <t>E88</t>
  </si>
  <si>
    <t>F88</t>
  </si>
  <si>
    <t>G88</t>
  </si>
  <si>
    <t>H88</t>
  </si>
  <si>
    <t>I88</t>
  </si>
  <si>
    <t>J88</t>
  </si>
  <si>
    <t>K88</t>
  </si>
  <si>
    <t>L88</t>
  </si>
  <si>
    <t>D93</t>
  </si>
  <si>
    <t>E93</t>
  </si>
  <si>
    <t>F93</t>
  </si>
  <si>
    <t>G93</t>
  </si>
  <si>
    <t>H93</t>
  </si>
  <si>
    <t>I93</t>
  </si>
  <si>
    <t>J93</t>
  </si>
  <si>
    <t>K93</t>
  </si>
  <si>
    <t>L93</t>
  </si>
  <si>
    <t>D94</t>
  </si>
  <si>
    <t>E94</t>
  </si>
  <si>
    <t>F94</t>
  </si>
  <si>
    <t>G94</t>
  </si>
  <si>
    <t>H94</t>
  </si>
  <si>
    <t>I94</t>
  </si>
  <si>
    <t>J94</t>
  </si>
  <si>
    <t>K94</t>
  </si>
  <si>
    <t>L94</t>
  </si>
  <si>
    <t>D95</t>
  </si>
  <si>
    <t>E95</t>
  </si>
  <si>
    <t>F95</t>
  </si>
  <si>
    <t>G95</t>
  </si>
  <si>
    <t>H95</t>
  </si>
  <si>
    <t>I95</t>
  </si>
  <si>
    <t>J95</t>
  </si>
  <si>
    <t>K95</t>
  </si>
  <si>
    <t>L95</t>
  </si>
  <si>
    <t>D96</t>
  </si>
  <si>
    <t>E96</t>
  </si>
  <si>
    <t>F96</t>
  </si>
  <si>
    <t>G96</t>
  </si>
  <si>
    <t>H96</t>
  </si>
  <si>
    <t>I96</t>
  </si>
  <si>
    <t>J96</t>
  </si>
  <si>
    <t>K96</t>
  </si>
  <si>
    <t>L96</t>
  </si>
  <si>
    <t>D97</t>
  </si>
  <si>
    <t>E97</t>
  </si>
  <si>
    <t>F97</t>
  </si>
  <si>
    <t>G97</t>
  </si>
  <si>
    <t>H97</t>
  </si>
  <si>
    <t>I97</t>
  </si>
  <si>
    <t>J97</t>
  </si>
  <si>
    <t>K97</t>
  </si>
  <si>
    <t>L97</t>
  </si>
  <si>
    <t>M105</t>
  </si>
  <si>
    <t>Q32</t>
  </si>
  <si>
    <t>R34</t>
  </si>
  <si>
    <t>P65</t>
  </si>
  <si>
    <t>P66</t>
  </si>
  <si>
    <t>P67</t>
  </si>
  <si>
    <t>P68</t>
  </si>
  <si>
    <t>P69</t>
  </si>
  <si>
    <t>P70</t>
  </si>
  <si>
    <t>P71</t>
  </si>
  <si>
    <t>P72</t>
  </si>
  <si>
    <t>P73</t>
  </si>
  <si>
    <t>P74</t>
  </si>
  <si>
    <t>Q66</t>
  </si>
  <si>
    <t>Q67</t>
  </si>
  <si>
    <t>Q68</t>
  </si>
  <si>
    <t>Q69</t>
  </si>
  <si>
    <t>Q70</t>
  </si>
  <si>
    <t>Q71</t>
  </si>
  <si>
    <t>Q72</t>
  </si>
  <si>
    <t>Q73</t>
  </si>
  <si>
    <t>R66</t>
  </si>
  <si>
    <t>R67</t>
  </si>
  <si>
    <t>R68</t>
  </si>
  <si>
    <t>R69</t>
  </si>
  <si>
    <t>R70</t>
  </si>
  <si>
    <t>R71</t>
  </si>
  <si>
    <t>R72</t>
  </si>
  <si>
    <t>R73</t>
  </si>
  <si>
    <t>S76</t>
  </si>
  <si>
    <t>S77</t>
  </si>
  <si>
    <t>X65</t>
  </si>
  <si>
    <t>X66</t>
  </si>
  <si>
    <t>X67</t>
  </si>
  <si>
    <t>X68</t>
  </si>
  <si>
    <t>X69</t>
  </si>
  <si>
    <t>X70</t>
  </si>
  <si>
    <t>X71</t>
  </si>
  <si>
    <t>X72</t>
  </si>
  <si>
    <t>X73</t>
  </si>
  <si>
    <t>X74</t>
  </si>
  <si>
    <t>S84</t>
  </si>
  <si>
    <t>S87</t>
  </si>
  <si>
    <t>P103</t>
  </si>
  <si>
    <t>R103</t>
  </si>
  <si>
    <t>U103</t>
  </si>
  <si>
    <t>OK</t>
  </si>
  <si>
    <t>John Schmidt</t>
  </si>
  <si>
    <t>214-648-0888</t>
  </si>
  <si>
    <t>john.schmidt@utsouthwestern.edu</t>
  </si>
  <si>
    <t>Joshua Tucker</t>
  </si>
  <si>
    <t>joatucker@utmb.edu</t>
  </si>
  <si>
    <t>Scott Barnett</t>
  </si>
  <si>
    <t>713-500-4915</t>
  </si>
  <si>
    <t>Scott.Barnett@uth.tmc.edu</t>
  </si>
  <si>
    <t>Yinwen Li</t>
  </si>
  <si>
    <t>210-562-6268</t>
  </si>
  <si>
    <t>liy2@uthscsa.edu</t>
  </si>
  <si>
    <t>Duy</t>
  </si>
  <si>
    <t>713-745-8630</t>
  </si>
  <si>
    <t>ddtran2@mdanderson.org</t>
  </si>
  <si>
    <t>THCM</t>
  </si>
  <si>
    <t>Bob Armstrong</t>
  </si>
  <si>
    <t>903-877-7710</t>
  </si>
  <si>
    <t>bob.armstrong@uthct.edu</t>
  </si>
  <si>
    <t>Tracy Crowley</t>
  </si>
  <si>
    <t>979-458-6077</t>
  </si>
  <si>
    <t>tcrowley@tamus.edu</t>
  </si>
  <si>
    <t>Julie Meisinger</t>
  </si>
  <si>
    <t>817-735-2609</t>
  </si>
  <si>
    <t>julie.meisinger@unthsc.edu</t>
  </si>
  <si>
    <t>Rebecca Aguilar</t>
  </si>
  <si>
    <t>806-743-7381</t>
  </si>
  <si>
    <t>rebecca.aguilar@ttuhsc.edu</t>
  </si>
  <si>
    <t xml:space="preserve">Robert Ortega </t>
  </si>
  <si>
    <t>(915) 215 - 4378</t>
  </si>
  <si>
    <t>Robert.ortega@ttuhsc.edu</t>
  </si>
  <si>
    <t>Lilia M. St. Clair</t>
  </si>
  <si>
    <t>956-665-7906</t>
  </si>
  <si>
    <t>lilia.stclair@utrgv.edu</t>
  </si>
  <si>
    <t>Marcy Lowther</t>
  </si>
  <si>
    <t>512-471-28008</t>
  </si>
  <si>
    <t>mlowther@austin.utexas.edu</t>
  </si>
  <si>
    <t>Charlotte Hotz</t>
  </si>
  <si>
    <t>(713) 743.5296</t>
  </si>
  <si>
    <t>cahotz@uh.edu</t>
  </si>
  <si>
    <t>Jennifer Jones</t>
  </si>
  <si>
    <t>936-294-3405</t>
  </si>
  <si>
    <t>jlj093@shsu.edu</t>
  </si>
  <si>
    <t>Julie.Meisinger@unthsc.edu</t>
  </si>
  <si>
    <t>STATE-FUNDED SEMESTER CREDIT HOURS BY LEVEL</t>
  </si>
  <si>
    <t>For Accountability Use; Source Victor</t>
  </si>
  <si>
    <t>For HRI IE Keys</t>
  </si>
  <si>
    <t>\\thecb-auvfs41\SAS\Janice\Janice's Programs\FacFTEAppt_med.sas</t>
  </si>
  <si>
    <t>Inst/Funding Cat</t>
  </si>
  <si>
    <t>Doctoral</t>
  </si>
  <si>
    <t>Total SCH</t>
  </si>
  <si>
    <t>Calculated FTSE</t>
  </si>
  <si>
    <t>FTSE Used For S&amp;U</t>
  </si>
  <si>
    <t>FTFE-Annual</t>
  </si>
  <si>
    <t>SHSU Medical School</t>
  </si>
  <si>
    <t>UT SW MEDICAL CTR. AT DALLAS</t>
  </si>
  <si>
    <t>Copy from 0-HRI-FacFTEAppt - History FY -x.xlsx</t>
  </si>
  <si>
    <t xml:space="preserve">   Southwestern Medical School</t>
  </si>
  <si>
    <t xml:space="preserve">   Grad School of Biomedical Sciences</t>
  </si>
  <si>
    <t xml:space="preserve">   School of Health Professions</t>
  </si>
  <si>
    <t>UT MED BRANCH AT GALVESTON</t>
  </si>
  <si>
    <t xml:space="preserve">   Medical School</t>
  </si>
  <si>
    <t xml:space="preserve">   School of Public Health</t>
  </si>
  <si>
    <t xml:space="preserve">   School of Nursing</t>
  </si>
  <si>
    <t xml:space="preserve">UT HSC AT HOUSTON </t>
  </si>
  <si>
    <t>TX TECH HSC-EL PASO</t>
  </si>
  <si>
    <t xml:space="preserve">   Allied Health (Dental)</t>
  </si>
  <si>
    <t>UT Medical School</t>
  </si>
  <si>
    <t xml:space="preserve">   Dental Branch/Academics</t>
  </si>
  <si>
    <t xml:space="preserve">   Dental School</t>
  </si>
  <si>
    <t xml:space="preserve">   Medical School/Academics</t>
  </si>
  <si>
    <t xml:space="preserve">   School of Biomedical Informatics</t>
  </si>
  <si>
    <t>This data is Fall 2021, FY 2022 data.</t>
  </si>
  <si>
    <t>UT HSC AT SAN ANTONIO</t>
  </si>
  <si>
    <t xml:space="preserve">   Dental School/Academics</t>
  </si>
  <si>
    <t xml:space="preserve">   Dental Hygiene</t>
  </si>
  <si>
    <t>UT M.D. ANDERSON CANCER CENTER</t>
  </si>
  <si>
    <t>UT HSC at Tyler</t>
  </si>
  <si>
    <t xml:space="preserve">   Biomedical Science</t>
  </si>
  <si>
    <t xml:space="preserve">   School of Community and Rural Healt</t>
  </si>
  <si>
    <t>THE TAMU SYSTEM HEALTH SCI. CTR.</t>
  </si>
  <si>
    <t xml:space="preserve">   Baylor Col Dentistry-Advanced Educ</t>
  </si>
  <si>
    <t xml:space="preserve">   Baylor Col Dentistry-Dental School</t>
  </si>
  <si>
    <t xml:space="preserve">   Baylor Col Dentistry-Dental Hygiene</t>
  </si>
  <si>
    <t xml:space="preserve">   College of Medicine Academic</t>
  </si>
  <si>
    <t xml:space="preserve">   College of Nursing</t>
  </si>
  <si>
    <t xml:space="preserve">   College of Pharmacy</t>
  </si>
  <si>
    <t xml:space="preserve">   College of Medicine</t>
  </si>
  <si>
    <t xml:space="preserve">   School of Rural Public Health</t>
  </si>
  <si>
    <t xml:space="preserve">   Texas Col of Osteopathic Medicine</t>
  </si>
  <si>
    <t xml:space="preserve">   School of Pharmacy</t>
  </si>
  <si>
    <t>TEXAS TECH UNIV. HEALTH SCIENCES CTR.</t>
  </si>
  <si>
    <t xml:space="preserve">   Department of Public Health</t>
  </si>
  <si>
    <t xml:space="preserve">   School of Allied Health</t>
  </si>
  <si>
    <t xml:space="preserve">   School of Medicine</t>
  </si>
  <si>
    <t>Texas Tech Univ. Health Sciences Center-El Paso</t>
  </si>
  <si>
    <t xml:space="preserve">   Gayle G. Hunt School of Nursing</t>
  </si>
  <si>
    <t xml:space="preserve">   Paul L. Foster School of Medicine</t>
  </si>
  <si>
    <t xml:space="preserve">   School of Dental Medicine</t>
  </si>
  <si>
    <t>UTRGV - Medical Center (M)</t>
  </si>
  <si>
    <t>UT Austin Medical Center (M)</t>
  </si>
  <si>
    <t xml:space="preserve">  TOTAL</t>
  </si>
  <si>
    <t>Sam Houston State University Medical School</t>
  </si>
  <si>
    <t>Notes: Dual degree (FE=2) and inter-institutional students (FE=4) are included; all other inter-institutional, flexible entry,
           and non-state-funded hours are excluded. Source of data is CBM001, Student Report.</t>
  </si>
  <si>
    <t>HRI No. 23 Measure for Accountability - FTSE portion</t>
  </si>
  <si>
    <t>Copy Green items below to HRI NO. 23(22) inst funds ftse FY xx</t>
  </si>
  <si>
    <t>Medical Education FTSE</t>
  </si>
  <si>
    <t>Dental Education FTSE</t>
  </si>
  <si>
    <t>Biomedical Sciences FTSE</t>
  </si>
  <si>
    <t>Allied Health FTSE</t>
  </si>
  <si>
    <t>Nursing Education FTSE</t>
  </si>
  <si>
    <t>Public Health FTSE</t>
  </si>
  <si>
    <t>Pharmacy Education FTSE</t>
  </si>
  <si>
    <t>Total FTSE</t>
  </si>
  <si>
    <t>UT Southwestern Medical Center</t>
  </si>
  <si>
    <t>UT HSC San Antonio</t>
  </si>
  <si>
    <t>Texas A&amp;M Univ HSC</t>
  </si>
  <si>
    <t>Univ of North Texas HSC</t>
  </si>
  <si>
    <t>Texas Tech Univ HSC</t>
  </si>
  <si>
    <t>Texas Tech Univ HSC at El Paso</t>
  </si>
  <si>
    <t xml:space="preserve">UT HSC Houston </t>
  </si>
  <si>
    <t>UT MD Anderson</t>
  </si>
  <si>
    <t xml:space="preserve">UT Medical Branch Galveston </t>
  </si>
  <si>
    <t>Medical &amp; Dental Education for SSDB survey</t>
  </si>
  <si>
    <t>Balancing Schedule</t>
  </si>
  <si>
    <t>SRCENP Total</t>
  </si>
  <si>
    <t>Hash Total vs. Input</t>
  </si>
  <si>
    <t>Gross T&amp;F</t>
  </si>
  <si>
    <t>T &amp; F Disc.</t>
  </si>
  <si>
    <t>Space Model</t>
  </si>
  <si>
    <t>SRECNP Expenditures</t>
  </si>
  <si>
    <t>University of North Texas Health Science Center at Fort Worth (Less PM)</t>
  </si>
  <si>
    <t>University of North Texas Health Science Center at Fort Worth (Less PM + PM)</t>
  </si>
  <si>
    <t>Other Institutional Data Not Included in Summary Totals</t>
  </si>
  <si>
    <r>
      <t>Under-</t>
    </r>
    <r>
      <rPr>
        <u/>
        <sz val="10"/>
        <rFont val="Overpass"/>
      </rPr>
      <t xml:space="preserve">
graduate</t>
    </r>
  </si>
  <si>
    <r>
      <t>Master's</t>
    </r>
    <r>
      <rPr>
        <vertAlign val="superscript"/>
        <sz val="10"/>
        <rFont val="Overpass"/>
      </rPr>
      <t>1</t>
    </r>
  </si>
  <si>
    <r>
      <t>Professional
&amp; Professional</t>
    </r>
    <r>
      <rPr>
        <u/>
        <sz val="10"/>
        <rFont val="Overpass"/>
      </rPr>
      <t xml:space="preserve">
</t>
    </r>
    <r>
      <rPr>
        <sz val="10"/>
        <rFont val="Overpass"/>
      </rPr>
      <t>Specialty</t>
    </r>
    <r>
      <rPr>
        <u/>
        <sz val="10"/>
        <rFont val="Overpass"/>
      </rPr>
      <t xml:space="preserve">
Headcount</t>
    </r>
  </si>
  <si>
    <r>
      <t>Full-Time
Student</t>
    </r>
    <r>
      <rPr>
        <u/>
        <sz val="10"/>
        <rFont val="Overpass"/>
      </rPr>
      <t xml:space="preserve">
Equivalents</t>
    </r>
    <r>
      <rPr>
        <vertAlign val="superscript"/>
        <sz val="10"/>
        <rFont val="Overpass"/>
      </rPr>
      <t>2</t>
    </r>
  </si>
  <si>
    <r>
      <t>1</t>
    </r>
    <r>
      <rPr>
        <sz val="10"/>
        <rFont val="Overpass"/>
      </rPr>
      <t>Includes post-baccalaureate, master's, AUD, DPT, and PharmD.</t>
    </r>
  </si>
  <si>
    <r>
      <t>2</t>
    </r>
    <r>
      <rPr>
        <sz val="10"/>
        <rFont val="Overpass"/>
      </rPr>
      <t>The sum of undergraduate semester credit hours divided by 30, master's semester credit hours divided by 24, doctoral
  semester credit hours divided by 18, and DDS, DO, MD, and post-doctoral specialty headcount enrollments (the larger
  of the fall or summer semester in the fiscal year).</t>
    </r>
  </si>
  <si>
    <r>
      <t xml:space="preserve">Please enter the amounts </t>
    </r>
    <r>
      <rPr>
        <b/>
        <u/>
        <sz val="12"/>
        <rFont val="Overpass"/>
      </rPr>
      <t>as printed</t>
    </r>
    <r>
      <rPr>
        <b/>
        <sz val="12"/>
        <rFont val="Overpass"/>
      </rPr>
      <t xml:space="preserve"> on your Schedule</t>
    </r>
  </si>
  <si>
    <r>
      <t xml:space="preserve">Other Expenses </t>
    </r>
    <r>
      <rPr>
        <i/>
        <sz val="10"/>
        <rFont val="Overpass"/>
      </rPr>
      <t xml:space="preserve"> </t>
    </r>
    <r>
      <rPr>
        <sz val="10"/>
        <rFont val="Overpass"/>
      </rPr>
      <t>(See FN3)</t>
    </r>
  </si>
  <si>
    <r>
      <rPr>
        <sz val="9"/>
        <rFont val="Overpass"/>
      </rPr>
      <t>FN11:</t>
    </r>
    <r>
      <rPr>
        <b/>
        <sz val="9"/>
        <rFont val="Overpass"/>
      </rPr>
      <t xml:space="preserve"> </t>
    </r>
    <r>
      <rPr>
        <sz val="9"/>
        <rFont val="Overpass"/>
      </rPr>
      <t xml:space="preserve"> See each individual institution for the revenues received but not yet expended for each institution. This income is fully committed to program expenditures and capital disbursements. The amount of Non-expendable funds for each institution is provided. Non-expendable funds, including unrealized gains (losses) and additions (reductions) to permanent endowments, are provided for each institution. Unrealized gains (losses) and additions (reductions) to permanent endowments do not contribute to the availability of the institution's operating cash as discussed in FN6 and FN7 above. The total overall increase in Sources Over Uses is provided. If Sources Over Uses is negative, this footnote will be marked N/A. </t>
    </r>
  </si>
  <si>
    <t>Texas Public Health-Related Institutions, FY 2022</t>
  </si>
  <si>
    <t>FY 2022 Data For Almanac Publication</t>
  </si>
  <si>
    <t>FY 2022 Data For IFRS Reconciliation</t>
  </si>
  <si>
    <t>FY 2022 Healthcare Expenditures for Comptroller's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</si>
</sst>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quot;$&quot;#,##0"/>
    <numFmt numFmtId="166" formatCode="&quot;$&quot;#,##0\ ;\(&quot;$&quot;#,##0\)"/>
    <numFmt numFmtId="167" formatCode="0.0%"/>
    <numFmt numFmtId="168" formatCode="0.00%_);\(0.00%\)"/>
    <numFmt numFmtId="169" formatCode="_(&quot;$&quot;* #,##0.0_);_(&quot;$&quot;* \(#,##0.0\);_(&quot;$&quot;* &quot;-&quot;?_);_(@_)"/>
    <numFmt numFmtId="170" formatCode="_(&quot;$&quot;* #,##0_);_(&quot;$&quot;* \(#,##0\);_(&quot;$&quot;* &quot;-&quot;??_);_(@_)"/>
    <numFmt numFmtId="171" formatCode="_(* #,##0.00_);_(* \(#,##0.00\);_(* &quot;-&quot;_);_(@_)"/>
    <numFmt numFmtId="172" formatCode="000000"/>
    <numFmt numFmtId="173" formatCode="_(&quot;$&quot;* #,##0.00_);_(&quot;$&quot;* \(#,##0.00\);_(&quot;$&quot;* &quot;-&quot;_);_(@_)"/>
  </numFmts>
  <fonts count="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i/>
      <sz val="10"/>
      <name val="Arial"/>
      <family val="2"/>
    </font>
    <font>
      <b/>
      <sz val="12"/>
      <name val="Arial"/>
      <family val="2"/>
    </font>
    <font>
      <sz val="12"/>
      <name val="Arial"/>
      <family val="2"/>
    </font>
    <font>
      <sz val="10"/>
      <color indexed="24"/>
      <name val="Arial"/>
      <family val="2"/>
    </font>
    <font>
      <b/>
      <sz val="18"/>
      <color indexed="24"/>
      <name val="Arial"/>
      <family val="2"/>
    </font>
    <font>
      <b/>
      <sz val="12"/>
      <color indexed="24"/>
      <name val="Arial"/>
      <family val="2"/>
    </font>
    <font>
      <sz val="8"/>
      <name val="Arial"/>
      <family val="2"/>
    </font>
    <font>
      <sz val="8"/>
      <color indexed="81"/>
      <name val="Tahoma"/>
      <family val="2"/>
    </font>
    <font>
      <b/>
      <sz val="9"/>
      <name val="Arial"/>
      <family val="2"/>
    </font>
    <font>
      <sz val="10"/>
      <color indexed="24"/>
      <name val="Arial"/>
      <family val="2"/>
    </font>
    <font>
      <b/>
      <sz val="18"/>
      <color indexed="24"/>
      <name val="Arial"/>
      <family val="2"/>
    </font>
    <font>
      <b/>
      <sz val="12"/>
      <color indexed="24"/>
      <name val="Arial"/>
      <family val="2"/>
    </font>
    <font>
      <sz val="10"/>
      <name val="Arial"/>
      <family val="2"/>
    </font>
    <font>
      <b/>
      <i/>
      <sz val="10"/>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0"/>
      <name val="Tahoma"/>
      <family val="2"/>
    </font>
    <font>
      <sz val="8"/>
      <name val="TimesNewRomanPS"/>
    </font>
    <font>
      <sz val="10"/>
      <name val="Tahoma"/>
      <family val="2"/>
    </font>
    <font>
      <sz val="10"/>
      <name val="MS Sans Serif"/>
      <family val="2"/>
    </font>
    <font>
      <sz val="10"/>
      <name val="System"/>
      <family val="2"/>
    </font>
    <font>
      <b/>
      <sz val="9"/>
      <color indexed="81"/>
      <name val="Tahoma"/>
      <family val="2"/>
    </font>
    <font>
      <sz val="9"/>
      <color indexed="81"/>
      <name val="Tahoma"/>
      <family val="2"/>
    </font>
    <font>
      <u/>
      <sz val="10"/>
      <color theme="10"/>
      <name val="Arial"/>
      <family val="2"/>
    </font>
    <font>
      <u/>
      <sz val="10"/>
      <color indexed="12"/>
      <name val="Arial"/>
      <family val="2"/>
    </font>
    <font>
      <sz val="12"/>
      <name val="AGaramond"/>
      <family val="3"/>
    </font>
    <font>
      <sz val="10"/>
      <name val="Arial"/>
      <family val="2"/>
    </font>
    <font>
      <b/>
      <sz val="12"/>
      <color theme="1"/>
      <name val="Arial"/>
      <family val="2"/>
    </font>
    <font>
      <b/>
      <sz val="11"/>
      <color theme="1"/>
      <name val="Calibri"/>
      <family val="2"/>
      <scheme val="minor"/>
    </font>
    <font>
      <sz val="10"/>
      <name val="Overpass"/>
    </font>
    <font>
      <sz val="10"/>
      <color theme="1"/>
      <name val="Overpass"/>
    </font>
    <font>
      <b/>
      <sz val="12"/>
      <name val="Overpass"/>
    </font>
    <font>
      <b/>
      <sz val="10"/>
      <name val="Overpass"/>
    </font>
    <font>
      <u/>
      <sz val="10"/>
      <color theme="10"/>
      <name val="Overpass"/>
    </font>
    <font>
      <sz val="12"/>
      <name val="Overpass"/>
    </font>
    <font>
      <u/>
      <sz val="10"/>
      <color indexed="12"/>
      <name val="Overpass"/>
    </font>
    <font>
      <b/>
      <sz val="11"/>
      <name val="Overpass"/>
    </font>
    <font>
      <b/>
      <sz val="11"/>
      <color theme="1"/>
      <name val="Overpass"/>
    </font>
    <font>
      <u/>
      <sz val="10"/>
      <name val="Overpass"/>
    </font>
    <font>
      <vertAlign val="superscript"/>
      <sz val="10"/>
      <name val="Overpass"/>
    </font>
    <font>
      <sz val="11"/>
      <color theme="1"/>
      <name val="Overpass"/>
    </font>
    <font>
      <sz val="9.5"/>
      <color rgb="FF000000"/>
      <name val="Overpass"/>
    </font>
    <font>
      <sz val="10"/>
      <color indexed="8"/>
      <name val="Overpass"/>
    </font>
    <font>
      <b/>
      <sz val="10"/>
      <color theme="1"/>
      <name val="Overpass"/>
    </font>
    <font>
      <b/>
      <u/>
      <sz val="10"/>
      <name val="Overpass"/>
    </font>
    <font>
      <b/>
      <i/>
      <sz val="10"/>
      <color indexed="10"/>
      <name val="Overpass"/>
    </font>
    <font>
      <b/>
      <sz val="9"/>
      <name val="Overpass"/>
    </font>
    <font>
      <b/>
      <sz val="10"/>
      <color rgb="FF1F497D"/>
      <name val="Overpass"/>
    </font>
    <font>
      <sz val="11"/>
      <name val="Overpass"/>
    </font>
    <font>
      <sz val="10"/>
      <color rgb="FF1F497D"/>
      <name val="Overpass"/>
    </font>
    <font>
      <b/>
      <sz val="10"/>
      <color rgb="FF000000"/>
      <name val="Overpass"/>
    </font>
    <font>
      <sz val="9"/>
      <name val="Overpass"/>
    </font>
    <font>
      <b/>
      <sz val="16"/>
      <name val="Overpass"/>
    </font>
    <font>
      <b/>
      <u/>
      <sz val="12"/>
      <name val="Overpass"/>
    </font>
    <font>
      <sz val="8"/>
      <name val="Overpass"/>
    </font>
    <font>
      <sz val="10"/>
      <color rgb="FF454545"/>
      <name val="Overpass"/>
    </font>
    <font>
      <sz val="10"/>
      <color indexed="10"/>
      <name val="Overpass"/>
    </font>
    <font>
      <b/>
      <sz val="14"/>
      <name val="Overpass"/>
    </font>
    <font>
      <i/>
      <sz val="10"/>
      <name val="Overpass"/>
    </font>
    <font>
      <b/>
      <sz val="22"/>
      <name val="Overpass"/>
    </font>
    <font>
      <sz val="14"/>
      <name val="Overpass"/>
    </font>
    <font>
      <b/>
      <sz val="20"/>
      <name val="Overpass"/>
    </font>
    <font>
      <b/>
      <sz val="8"/>
      <name val="Overpass"/>
    </font>
    <font>
      <b/>
      <sz val="12"/>
      <color indexed="8"/>
      <name val="Overpass"/>
    </font>
    <font>
      <sz val="10"/>
      <color rgb="FF000000"/>
      <name val="Overpass"/>
    </font>
    <font>
      <b/>
      <u val="singleAccounting"/>
      <sz val="10"/>
      <name val="Overpass"/>
    </font>
  </fonts>
  <fills count="47">
    <fill>
      <patternFill patternType="none"/>
    </fill>
    <fill>
      <patternFill patternType="gray125"/>
    </fill>
    <fill>
      <patternFill patternType="solid">
        <fgColor indexed="13"/>
        <bgColor indexed="64"/>
      </patternFill>
    </fill>
    <fill>
      <patternFill patternType="solid">
        <fgColor indexed="47"/>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CCFFCC"/>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tint="-0.14996795556505021"/>
        <bgColor indexed="64"/>
      </patternFill>
    </fill>
    <fill>
      <patternFill patternType="solid">
        <fgColor theme="6" tint="0.39997558519241921"/>
        <bgColor indexed="64"/>
      </patternFill>
    </fill>
    <fill>
      <patternFill patternType="solid">
        <fgColor theme="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FF"/>
        <bgColor indexed="64"/>
      </patternFill>
    </fill>
  </fills>
  <borders count="145">
    <border>
      <left/>
      <right/>
      <top/>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right/>
      <top style="thin">
        <color indexed="8"/>
      </top>
      <bottom style="thin">
        <color indexed="8"/>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12"/>
      </left>
      <right style="double">
        <color indexed="12"/>
      </right>
      <top style="double">
        <color indexed="12"/>
      </top>
      <bottom/>
      <diagonal/>
    </border>
    <border>
      <left style="double">
        <color indexed="12"/>
      </left>
      <right/>
      <top style="double">
        <color indexed="12"/>
      </top>
      <bottom style="double">
        <color indexed="12"/>
      </bottom>
      <diagonal/>
    </border>
    <border>
      <left/>
      <right/>
      <top style="double">
        <color indexed="12"/>
      </top>
      <bottom style="double">
        <color indexed="12"/>
      </bottom>
      <diagonal/>
    </border>
    <border>
      <left/>
      <right style="double">
        <color indexed="12"/>
      </right>
      <top style="double">
        <color indexed="12"/>
      </top>
      <bottom style="double">
        <color indexed="12"/>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top style="thick">
        <color rgb="FFFF0000"/>
      </top>
      <bottom/>
      <diagonal/>
    </border>
    <border>
      <left style="thin">
        <color indexed="64"/>
      </left>
      <right style="thin">
        <color indexed="64"/>
      </right>
      <top style="thick">
        <color rgb="FF00B050"/>
      </top>
      <bottom/>
      <diagonal/>
    </border>
    <border>
      <left style="thin">
        <color indexed="64"/>
      </left>
      <right style="thin">
        <color indexed="64"/>
      </right>
      <top style="thick">
        <color rgb="FFFF0000"/>
      </top>
      <bottom/>
      <diagonal/>
    </border>
    <border>
      <left style="thin">
        <color indexed="64"/>
      </left>
      <right style="thick">
        <color rgb="FFFF0000"/>
      </right>
      <top style="thick">
        <color rgb="FFFF0000"/>
      </top>
      <bottom/>
      <diagonal/>
    </border>
    <border>
      <left style="thick">
        <color auto="1"/>
      </left>
      <right/>
      <top/>
      <bottom/>
      <diagonal/>
    </border>
    <border>
      <left/>
      <right style="thin">
        <color indexed="64"/>
      </right>
      <top/>
      <bottom/>
      <diagonal/>
    </border>
    <border>
      <left style="thin">
        <color indexed="64"/>
      </left>
      <right style="thick">
        <color indexed="64"/>
      </right>
      <top/>
      <bottom/>
      <diagonal/>
    </border>
    <border>
      <left style="thick">
        <color rgb="FFFF0000"/>
      </left>
      <right/>
      <top/>
      <bottom/>
      <diagonal/>
    </border>
    <border>
      <left style="thin">
        <color indexed="64"/>
      </left>
      <right style="thin">
        <color indexed="64"/>
      </right>
      <top/>
      <bottom/>
      <diagonal/>
    </border>
    <border>
      <left style="thin">
        <color indexed="64"/>
      </left>
      <right style="thick">
        <color rgb="FFFF0000"/>
      </right>
      <top/>
      <bottom/>
      <diagonal/>
    </border>
    <border>
      <left style="thick">
        <color rgb="FFFF0000"/>
      </left>
      <right/>
      <top/>
      <bottom style="thin">
        <color indexed="64"/>
      </bottom>
      <diagonal/>
    </border>
    <border>
      <left style="thin">
        <color indexed="64"/>
      </left>
      <right style="thick">
        <color rgb="FFFF0000"/>
      </right>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style="thick">
        <color rgb="FFFF0000"/>
      </left>
      <right/>
      <top style="thin">
        <color indexed="64"/>
      </top>
      <bottom/>
      <diagonal/>
    </border>
    <border>
      <left style="thin">
        <color indexed="64"/>
      </left>
      <right style="thick">
        <color rgb="FFFF0000"/>
      </right>
      <top style="thin">
        <color indexed="64"/>
      </top>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style="thick">
        <color rgb="FFFF0000"/>
      </left>
      <right style="thick">
        <color rgb="FFFF0000"/>
      </right>
      <top style="thick">
        <color rgb="FFFF0000"/>
      </top>
      <bottom style="thick">
        <color rgb="FFFF0000"/>
      </bottom>
      <diagonal/>
    </border>
    <border>
      <left style="thick">
        <color rgb="FFFF0000"/>
      </left>
      <right/>
      <top/>
      <bottom style="thick">
        <color rgb="FFFF0000"/>
      </bottom>
      <diagonal/>
    </border>
    <border>
      <left style="thin">
        <color indexed="64"/>
      </left>
      <right style="thin">
        <color indexed="64"/>
      </right>
      <top/>
      <bottom style="thick">
        <color rgb="FFFF0000"/>
      </bottom>
      <diagonal/>
    </border>
    <border>
      <left style="thin">
        <color indexed="64"/>
      </left>
      <right style="thick">
        <color rgb="FFFF0000"/>
      </right>
      <top/>
      <bottom style="thick">
        <color rgb="FFFF0000"/>
      </bottom>
      <diagonal/>
    </border>
    <border>
      <left/>
      <right style="thick">
        <color rgb="FFFF0000"/>
      </right>
      <top/>
      <bottom/>
      <diagonal/>
    </border>
    <border>
      <left/>
      <right/>
      <top/>
      <bottom style="thick">
        <color rgb="FFFF0000"/>
      </bottom>
      <diagonal/>
    </border>
    <border>
      <left/>
      <right style="thick">
        <color rgb="FFFF0000"/>
      </right>
      <top/>
      <bottom style="thick">
        <color rgb="FFFF0000"/>
      </bottom>
      <diagonal/>
    </border>
    <border>
      <left/>
      <right/>
      <top style="thick">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ck">
        <color auto="1"/>
      </left>
      <right/>
      <top/>
      <bottom style="thick">
        <color auto="1"/>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ck">
        <color rgb="FF0070C0"/>
      </left>
      <right/>
      <top style="thick">
        <color rgb="FF0070C0"/>
      </top>
      <bottom/>
      <diagonal/>
    </border>
    <border>
      <left/>
      <right/>
      <top style="thick">
        <color rgb="FF0070C0"/>
      </top>
      <bottom/>
      <diagonal/>
    </border>
    <border>
      <left style="thick">
        <color rgb="FF0070C0"/>
      </left>
      <right/>
      <top/>
      <bottom/>
      <diagonal/>
    </border>
    <border>
      <left style="thick">
        <color rgb="FF0070C0"/>
      </left>
      <right/>
      <top style="thin">
        <color indexed="64"/>
      </top>
      <bottom style="thin">
        <color indexed="64"/>
      </bottom>
      <diagonal/>
    </border>
    <border>
      <left style="thick">
        <color rgb="FF0070C0"/>
      </left>
      <right/>
      <top/>
      <bottom style="thin">
        <color indexed="64"/>
      </bottom>
      <diagonal/>
    </border>
    <border>
      <left style="thick">
        <color rgb="FF0070C0"/>
      </left>
      <right/>
      <top/>
      <bottom style="thick">
        <color rgb="FF0070C0"/>
      </bottom>
      <diagonal/>
    </border>
    <border>
      <left/>
      <right/>
      <top/>
      <bottom style="thick">
        <color rgb="FF0070C0"/>
      </bottom>
      <diagonal/>
    </border>
    <border>
      <left style="thin">
        <color indexed="64"/>
      </left>
      <right style="thin">
        <color indexed="64"/>
      </right>
      <top style="thin">
        <color indexed="64"/>
      </top>
      <bottom style="thick">
        <color rgb="FF0070C0"/>
      </bottom>
      <diagonal/>
    </border>
    <border>
      <left style="thin">
        <color indexed="64"/>
      </left>
      <right/>
      <top style="thin">
        <color indexed="64"/>
      </top>
      <bottom style="thick">
        <color rgb="FF0070C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ck">
        <color theme="3" tint="0.39994506668294322"/>
      </left>
      <right/>
      <top style="thick">
        <color theme="3" tint="0.39994506668294322"/>
      </top>
      <bottom/>
      <diagonal/>
    </border>
    <border>
      <left/>
      <right/>
      <top style="thick">
        <color theme="3" tint="0.39994506668294322"/>
      </top>
      <bottom/>
      <diagonal/>
    </border>
    <border>
      <left/>
      <right style="thick">
        <color theme="3" tint="0.39994506668294322"/>
      </right>
      <top style="thick">
        <color theme="3" tint="0.39994506668294322"/>
      </top>
      <bottom/>
      <diagonal/>
    </border>
    <border>
      <left style="thick">
        <color theme="3" tint="0.39991454817346722"/>
      </left>
      <right/>
      <top style="thick">
        <color theme="3" tint="0.39991454817346722"/>
      </top>
      <bottom/>
      <diagonal/>
    </border>
    <border>
      <left/>
      <right/>
      <top style="thick">
        <color theme="3" tint="0.39991454817346722"/>
      </top>
      <bottom/>
      <diagonal/>
    </border>
    <border>
      <left/>
      <right style="thick">
        <color theme="3" tint="0.39991454817346722"/>
      </right>
      <top style="thick">
        <color theme="3" tint="0.39991454817346722"/>
      </top>
      <bottom/>
      <diagonal/>
    </border>
    <border>
      <left style="thick">
        <color theme="3" tint="0.39991454817346722"/>
      </left>
      <right/>
      <top/>
      <bottom/>
      <diagonal/>
    </border>
    <border>
      <left style="thin">
        <color indexed="64"/>
      </left>
      <right style="thick">
        <color theme="3" tint="0.39991454817346722"/>
      </right>
      <top style="thin">
        <color indexed="64"/>
      </top>
      <bottom style="thin">
        <color indexed="64"/>
      </bottom>
      <diagonal/>
    </border>
    <border>
      <left/>
      <right style="thick">
        <color theme="3" tint="0.39991454817346722"/>
      </right>
      <top/>
      <bottom/>
      <diagonal/>
    </border>
    <border>
      <left style="thick">
        <color theme="3" tint="0.39991454817346722"/>
      </left>
      <right/>
      <top/>
      <bottom style="thick">
        <color theme="3" tint="0.39991454817346722"/>
      </bottom>
      <diagonal/>
    </border>
    <border>
      <left/>
      <right/>
      <top/>
      <bottom style="thick">
        <color theme="3" tint="0.39991454817346722"/>
      </bottom>
      <diagonal/>
    </border>
    <border>
      <left/>
      <right style="thick">
        <color theme="3" tint="0.39991454817346722"/>
      </right>
      <top/>
      <bottom style="thick">
        <color theme="3" tint="0.39991454817346722"/>
      </bottom>
      <diagonal/>
    </border>
    <border>
      <left style="thick">
        <color rgb="FF00B050"/>
      </left>
      <right style="thick">
        <color rgb="FF00B050"/>
      </right>
      <top style="thick">
        <color rgb="FF00B050"/>
      </top>
      <bottom style="thick">
        <color rgb="FF00B050"/>
      </bottom>
      <diagonal/>
    </border>
    <border>
      <left style="thick">
        <color rgb="FF00B050"/>
      </left>
      <right style="thick">
        <color rgb="FF00B050"/>
      </right>
      <top style="thick">
        <color rgb="FF00B050"/>
      </top>
      <bottom/>
      <diagonal/>
    </border>
    <border>
      <left style="thick">
        <color rgb="FF00B050"/>
      </left>
      <right style="thick">
        <color rgb="FF00B050"/>
      </right>
      <top/>
      <bottom/>
      <diagonal/>
    </border>
    <border>
      <left style="thick">
        <color rgb="FF00B050"/>
      </left>
      <right style="thick">
        <color rgb="FF00B050"/>
      </right>
      <top/>
      <bottom style="thick">
        <color rgb="FF00B050"/>
      </bottom>
      <diagonal/>
    </border>
    <border>
      <left/>
      <right style="thick">
        <color rgb="FF0070C0"/>
      </right>
      <top style="thick">
        <color rgb="FF0070C0"/>
      </top>
      <bottom/>
      <diagonal/>
    </border>
    <border>
      <left/>
      <right style="thick">
        <color rgb="FF0070C0"/>
      </right>
      <top/>
      <bottom/>
      <diagonal/>
    </border>
    <border>
      <left/>
      <right style="thick">
        <color rgb="FF0070C0"/>
      </right>
      <top/>
      <bottom style="thin">
        <color indexed="64"/>
      </bottom>
      <diagonal/>
    </border>
    <border>
      <left/>
      <right style="thick">
        <color rgb="FF0070C0"/>
      </right>
      <top style="thin">
        <color indexed="64"/>
      </top>
      <bottom style="thin">
        <color indexed="64"/>
      </bottom>
      <diagonal/>
    </border>
    <border>
      <left/>
      <right style="thick">
        <color rgb="FF0070C0"/>
      </right>
      <top/>
      <bottom style="thick">
        <color rgb="FF0070C0"/>
      </bottom>
      <diagonal/>
    </border>
    <border>
      <left style="double">
        <color indexed="12"/>
      </left>
      <right/>
      <top/>
      <bottom/>
      <diagonal/>
    </border>
    <border>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top/>
      <bottom style="double">
        <color indexed="12"/>
      </bottom>
      <diagonal/>
    </border>
    <border>
      <left/>
      <right style="double">
        <color indexed="12"/>
      </right>
      <top/>
      <bottom style="double">
        <color indexed="12"/>
      </bottom>
      <diagonal/>
    </border>
    <border>
      <left/>
      <right/>
      <top style="medium">
        <color indexed="64"/>
      </top>
      <bottom style="medium">
        <color indexed="64"/>
      </bottom>
      <diagonal/>
    </border>
    <border>
      <left/>
      <right style="double">
        <color indexed="12"/>
      </right>
      <top/>
      <bottom/>
      <diagonal/>
    </border>
    <border>
      <left style="thin">
        <color indexed="64"/>
      </left>
      <right style="medium">
        <color indexed="64"/>
      </right>
      <top style="medium">
        <color indexed="64"/>
      </top>
      <bottom style="medium">
        <color indexed="64"/>
      </bottom>
      <diagonal/>
    </border>
    <border>
      <left/>
      <right style="double">
        <color indexed="12"/>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double">
        <color rgb="FF0000FF"/>
      </left>
      <right/>
      <top style="double">
        <color rgb="FF0000FF"/>
      </top>
      <bottom style="double">
        <color rgb="FF0000FF"/>
      </bottom>
      <diagonal/>
    </border>
    <border>
      <left/>
      <right style="double">
        <color rgb="FF0000FF"/>
      </right>
      <top style="double">
        <color rgb="FF0000FF"/>
      </top>
      <bottom style="double">
        <color rgb="FF0000FF"/>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double">
        <color rgb="FF0000FF"/>
      </top>
      <bottom style="double">
        <color rgb="FF0000FF"/>
      </bottom>
      <diagonal/>
    </border>
    <border>
      <left/>
      <right style="medium">
        <color indexed="64"/>
      </right>
      <top style="double">
        <color rgb="FF0000FF"/>
      </top>
      <bottom style="double">
        <color rgb="FF0000FF"/>
      </bottom>
      <diagonal/>
    </border>
    <border>
      <left/>
      <right/>
      <top style="double">
        <color indexed="12"/>
      </top>
      <bottom style="thin">
        <color indexed="64"/>
      </bottom>
      <diagonal/>
    </border>
    <border>
      <left style="double">
        <color indexed="12"/>
      </left>
      <right/>
      <top style="double">
        <color indexed="12"/>
      </top>
      <bottom/>
      <diagonal/>
    </border>
    <border>
      <left style="thick">
        <color auto="1"/>
      </left>
      <right style="thin">
        <color indexed="64"/>
      </right>
      <top style="medium">
        <color indexed="64"/>
      </top>
      <bottom/>
      <diagonal/>
    </border>
    <border>
      <left style="thick">
        <color auto="1"/>
      </left>
      <right style="thin">
        <color indexed="64"/>
      </right>
      <top/>
      <bottom/>
      <diagonal/>
    </border>
    <border>
      <left style="thick">
        <color auto="1"/>
      </left>
      <right style="thin">
        <color indexed="64"/>
      </right>
      <top/>
      <bottom style="thin">
        <color indexed="64"/>
      </bottom>
      <diagonal/>
    </border>
    <border>
      <left style="thin">
        <color indexed="64"/>
      </left>
      <right style="thick">
        <color rgb="FFFF0000"/>
      </right>
      <top style="thick">
        <color rgb="FFFF0000"/>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95">
    <xf numFmtId="0" fontId="0" fillId="0" borderId="0"/>
    <xf numFmtId="43" fontId="5" fillId="0" borderId="0" applyFont="0" applyFill="0" applyBorder="0" applyAlignment="0" applyProtection="0"/>
    <xf numFmtId="3" fontId="10" fillId="0" borderId="0" applyFont="0" applyFill="0" applyBorder="0" applyAlignment="0" applyProtection="0"/>
    <xf numFmtId="166" fontId="10" fillId="0" borderId="0" applyFont="0" applyFill="0" applyBorder="0" applyAlignment="0" applyProtection="0"/>
    <xf numFmtId="0" fontId="10" fillId="0" borderId="0" applyFont="0" applyFill="0" applyBorder="0" applyAlignment="0" applyProtection="0"/>
    <xf numFmtId="2" fontId="10"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0" fillId="0" borderId="1" applyNumberFormat="0" applyFont="0" applyFill="0" applyAlignment="0" applyProtection="0"/>
    <xf numFmtId="3" fontId="16" fillId="0" borderId="0" applyFont="0" applyFill="0" applyBorder="0" applyAlignment="0" applyProtection="0"/>
    <xf numFmtId="166" fontId="16" fillId="0" borderId="0" applyFont="0" applyFill="0" applyBorder="0" applyAlignment="0" applyProtection="0"/>
    <xf numFmtId="0" fontId="16" fillId="0" borderId="0" applyFont="0" applyFill="0" applyBorder="0" applyAlignment="0" applyProtection="0"/>
    <xf numFmtId="2" fontId="16" fillId="0" borderId="0" applyFon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6" fillId="0" borderId="1" applyNumberFormat="0" applyFont="0" applyFill="0" applyAlignment="0" applyProtection="0"/>
    <xf numFmtId="0" fontId="5" fillId="0" borderId="0"/>
    <xf numFmtId="3" fontId="10" fillId="0" borderId="0" applyFont="0" applyFill="0" applyBorder="0" applyAlignment="0" applyProtection="0"/>
    <xf numFmtId="166" fontId="10" fillId="0" borderId="0" applyFont="0" applyFill="0" applyBorder="0" applyAlignment="0" applyProtection="0"/>
    <xf numFmtId="0" fontId="10" fillId="0" borderId="0" applyFont="0" applyFill="0" applyBorder="0" applyAlignment="0" applyProtection="0"/>
    <xf numFmtId="2" fontId="10"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0" fillId="0" borderId="1" applyNumberFormat="0" applyFont="0" applyFill="0" applyAlignment="0" applyProtection="0"/>
    <xf numFmtId="9" fontId="5" fillId="0" borderId="0" applyFont="0" applyFill="0" applyBorder="0" applyAlignment="0" applyProtection="0"/>
    <xf numFmtId="44" fontId="19" fillId="0" borderId="0" applyFont="0" applyFill="0" applyBorder="0" applyAlignment="0" applyProtection="0"/>
    <xf numFmtId="0" fontId="5" fillId="0" borderId="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2" fillId="19"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6" borderId="0" applyNumberFormat="0" applyBorder="0" applyAlignment="0" applyProtection="0"/>
    <xf numFmtId="0" fontId="23" fillId="10" borderId="0" applyNumberFormat="0" applyBorder="0" applyAlignment="0" applyProtection="0"/>
    <xf numFmtId="0" fontId="24" fillId="27" borderId="27" applyNumberFormat="0" applyAlignment="0" applyProtection="0"/>
    <xf numFmtId="0" fontId="25" fillId="28" borderId="28" applyNumberFormat="0" applyAlignment="0" applyProtection="0"/>
    <xf numFmtId="0" fontId="26" fillId="0" borderId="0" applyNumberFormat="0" applyFill="0" applyBorder="0" applyAlignment="0" applyProtection="0"/>
    <xf numFmtId="0" fontId="27" fillId="11" borderId="0" applyNumberFormat="0" applyBorder="0" applyAlignment="0" applyProtection="0"/>
    <xf numFmtId="0" fontId="28" fillId="0" borderId="29" applyNumberFormat="0" applyFill="0" applyAlignment="0" applyProtection="0"/>
    <xf numFmtId="0" fontId="28" fillId="0" borderId="0" applyNumberFormat="0" applyFill="0" applyBorder="0" applyAlignment="0" applyProtection="0"/>
    <xf numFmtId="0" fontId="29" fillId="14" borderId="27" applyNumberFormat="0" applyAlignment="0" applyProtection="0"/>
    <xf numFmtId="0" fontId="30" fillId="0" borderId="30" applyNumberFormat="0" applyFill="0" applyAlignment="0" applyProtection="0"/>
    <xf numFmtId="0" fontId="31" fillId="2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31" applyNumberFormat="0" applyFont="0" applyAlignment="0" applyProtection="0"/>
    <xf numFmtId="0" fontId="32" fillId="27" borderId="32"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6" fillId="0" borderId="0"/>
    <xf numFmtId="43" fontId="5" fillId="0" borderId="0" applyFont="0" applyFill="0" applyAlignment="0" applyProtection="0"/>
    <xf numFmtId="0" fontId="38" fillId="0" borderId="0"/>
    <xf numFmtId="0" fontId="39" fillId="0" borderId="0"/>
    <xf numFmtId="0" fontId="5" fillId="0" borderId="0"/>
    <xf numFmtId="0" fontId="38" fillId="0" borderId="0"/>
    <xf numFmtId="0" fontId="39" fillId="0" borderId="0"/>
    <xf numFmtId="43" fontId="5" fillId="0" borderId="0" applyFon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5" fillId="0" borderId="0"/>
    <xf numFmtId="0" fontId="4" fillId="0" borderId="0"/>
    <xf numFmtId="0" fontId="38" fillId="0" borderId="0"/>
    <xf numFmtId="43" fontId="44" fillId="0" borderId="0" applyFont="0" applyFill="0" applyBorder="0" applyAlignment="0" applyProtection="0"/>
    <xf numFmtId="0" fontId="5" fillId="0" borderId="0"/>
    <xf numFmtId="0" fontId="4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cellStyleXfs>
  <cellXfs count="1277">
    <xf numFmtId="0" fontId="0" fillId="0" borderId="0" xfId="0"/>
    <xf numFmtId="0" fontId="6" fillId="0" borderId="0" xfId="0" applyFont="1"/>
    <xf numFmtId="0" fontId="6" fillId="0" borderId="3" xfId="0" applyFont="1" applyBorder="1"/>
    <xf numFmtId="37" fontId="6" fillId="0" borderId="2" xfId="0" applyNumberFormat="1" applyFont="1" applyBorder="1"/>
    <xf numFmtId="0" fontId="6" fillId="2" borderId="0" xfId="0" applyFont="1" applyFill="1"/>
    <xf numFmtId="42" fontId="6" fillId="2" borderId="5" xfId="1" applyNumberFormat="1" applyFont="1" applyFill="1" applyBorder="1"/>
    <xf numFmtId="0" fontId="5" fillId="0" borderId="0" xfId="0" applyFont="1"/>
    <xf numFmtId="0" fontId="5" fillId="0" borderId="0" xfId="16"/>
    <xf numFmtId="0" fontId="6" fillId="0" borderId="0" xfId="16" applyFont="1"/>
    <xf numFmtId="0" fontId="8" fillId="0" borderId="0" xfId="16" applyFont="1" applyAlignment="1">
      <alignment horizontal="left"/>
    </xf>
    <xf numFmtId="0" fontId="5" fillId="0" borderId="0" xfId="16" applyAlignment="1">
      <alignment horizontal="center"/>
    </xf>
    <xf numFmtId="42" fontId="5" fillId="0" borderId="0" xfId="16" applyNumberFormat="1"/>
    <xf numFmtId="41" fontId="5" fillId="0" borderId="0" xfId="16" applyNumberFormat="1"/>
    <xf numFmtId="37" fontId="5" fillId="4" borderId="0" xfId="16" applyNumberFormat="1" applyFill="1"/>
    <xf numFmtId="0" fontId="5" fillId="4" borderId="0" xfId="16" applyFill="1" applyAlignment="1">
      <alignment horizontal="center"/>
    </xf>
    <xf numFmtId="0" fontId="5" fillId="4" borderId="0" xfId="16" applyFill="1"/>
    <xf numFmtId="0" fontId="6" fillId="4" borderId="0" xfId="16" applyFont="1" applyFill="1" applyAlignment="1">
      <alignment horizontal="center"/>
    </xf>
    <xf numFmtId="0" fontId="6" fillId="4" borderId="0" xfId="16" applyFont="1" applyFill="1"/>
    <xf numFmtId="167" fontId="5" fillId="4" borderId="0" xfId="24" applyNumberFormat="1" applyFill="1"/>
    <xf numFmtId="0" fontId="6" fillId="4" borderId="3" xfId="16" applyFont="1" applyFill="1" applyBorder="1" applyAlignment="1">
      <alignment horizontal="center" wrapText="1"/>
    </xf>
    <xf numFmtId="0" fontId="15" fillId="2" borderId="3" xfId="16" applyFont="1" applyFill="1" applyBorder="1" applyAlignment="1">
      <alignment horizontal="center" wrapText="1"/>
    </xf>
    <xf numFmtId="0" fontId="15" fillId="4" borderId="3" xfId="16" applyFont="1" applyFill="1" applyBorder="1" applyAlignment="1">
      <alignment horizontal="center" wrapText="1"/>
    </xf>
    <xf numFmtId="167" fontId="6" fillId="4" borderId="3" xfId="24" applyNumberFormat="1" applyFont="1" applyFill="1" applyBorder="1" applyAlignment="1">
      <alignment horizontal="center" wrapText="1"/>
    </xf>
    <xf numFmtId="0" fontId="5" fillId="4" borderId="0" xfId="16" applyFill="1" applyAlignment="1">
      <alignment horizontal="center" wrapText="1"/>
    </xf>
    <xf numFmtId="49" fontId="5" fillId="4" borderId="0" xfId="16" applyNumberFormat="1" applyFill="1" applyAlignment="1">
      <alignment horizontal="center"/>
    </xf>
    <xf numFmtId="38" fontId="5" fillId="4" borderId="0" xfId="16" applyNumberFormat="1" applyFill="1"/>
    <xf numFmtId="42" fontId="5" fillId="2" borderId="0" xfId="1" applyNumberFormat="1" applyFill="1"/>
    <xf numFmtId="42" fontId="5" fillId="4" borderId="0" xfId="1" applyNumberFormat="1" applyFill="1"/>
    <xf numFmtId="42" fontId="5" fillId="4" borderId="0" xfId="16" applyNumberFormat="1" applyFill="1"/>
    <xf numFmtId="168" fontId="5" fillId="4" borderId="0" xfId="24" applyNumberFormat="1" applyFill="1"/>
    <xf numFmtId="41" fontId="5" fillId="2" borderId="0" xfId="1" applyNumberFormat="1" applyFill="1"/>
    <xf numFmtId="41" fontId="5" fillId="4" borderId="0" xfId="1" applyNumberFormat="1" applyFill="1"/>
    <xf numFmtId="41" fontId="5" fillId="4" borderId="0" xfId="16" applyNumberFormat="1" applyFill="1"/>
    <xf numFmtId="49" fontId="5" fillId="4" borderId="3" xfId="16" applyNumberFormat="1" applyFill="1" applyBorder="1" applyAlignment="1">
      <alignment horizontal="center"/>
    </xf>
    <xf numFmtId="38" fontId="5" fillId="4" borderId="3" xfId="16" applyNumberFormat="1" applyFill="1" applyBorder="1"/>
    <xf numFmtId="41" fontId="5" fillId="2" borderId="3" xfId="1" applyNumberFormat="1" applyFill="1" applyBorder="1"/>
    <xf numFmtId="41" fontId="5" fillId="4" borderId="3" xfId="1" applyNumberFormat="1" applyFill="1" applyBorder="1"/>
    <xf numFmtId="41" fontId="5" fillId="4" borderId="3" xfId="16" applyNumberFormat="1" applyFill="1" applyBorder="1"/>
    <xf numFmtId="168" fontId="5" fillId="4" borderId="3" xfId="24" applyNumberFormat="1" applyFill="1" applyBorder="1"/>
    <xf numFmtId="0" fontId="5" fillId="4" borderId="5" xfId="16" applyFill="1" applyBorder="1" applyAlignment="1">
      <alignment horizontal="center"/>
    </xf>
    <xf numFmtId="0" fontId="6" fillId="4" borderId="5" xfId="16" applyFont="1" applyFill="1" applyBorder="1"/>
    <xf numFmtId="42" fontId="6" fillId="4" borderId="5" xfId="1" applyNumberFormat="1" applyFont="1" applyFill="1" applyBorder="1"/>
    <xf numFmtId="42" fontId="6" fillId="4" borderId="5" xfId="16" applyNumberFormat="1" applyFont="1" applyFill="1" applyBorder="1"/>
    <xf numFmtId="168" fontId="6" fillId="4" borderId="5" xfId="24" applyNumberFormat="1" applyFont="1" applyFill="1" applyBorder="1"/>
    <xf numFmtId="0" fontId="5" fillId="0" borderId="13" xfId="16" applyBorder="1" applyAlignment="1">
      <alignment wrapText="1"/>
    </xf>
    <xf numFmtId="0" fontId="5" fillId="4" borderId="13" xfId="16" applyFill="1" applyBorder="1" applyAlignment="1">
      <alignment wrapText="1"/>
    </xf>
    <xf numFmtId="0" fontId="5" fillId="4" borderId="0" xfId="16" applyFill="1" applyAlignment="1">
      <alignment wrapText="1"/>
    </xf>
    <xf numFmtId="0" fontId="5" fillId="4" borderId="0" xfId="16" applyFill="1" applyAlignment="1">
      <alignment horizontal="left"/>
    </xf>
    <xf numFmtId="0" fontId="6" fillId="0" borderId="0" xfId="16" applyFont="1" applyAlignment="1">
      <alignment horizontal="center"/>
    </xf>
    <xf numFmtId="42" fontId="5" fillId="0" borderId="2" xfId="16" applyNumberFormat="1" applyBorder="1"/>
    <xf numFmtId="0" fontId="5" fillId="7" borderId="0" xfId="16" applyFill="1"/>
    <xf numFmtId="41" fontId="5" fillId="7" borderId="0" xfId="16" applyNumberFormat="1" applyFill="1"/>
    <xf numFmtId="4" fontId="5" fillId="4" borderId="0" xfId="16" applyNumberFormat="1" applyFill="1"/>
    <xf numFmtId="0" fontId="5" fillId="4" borderId="6" xfId="16" applyFill="1" applyBorder="1"/>
    <xf numFmtId="42" fontId="5" fillId="4" borderId="7" xfId="16" applyNumberFormat="1" applyFill="1" applyBorder="1"/>
    <xf numFmtId="44" fontId="5" fillId="4" borderId="0" xfId="16" applyNumberFormat="1" applyFill="1"/>
    <xf numFmtId="37" fontId="6" fillId="0" borderId="2" xfId="0" applyNumberFormat="1" applyFont="1" applyBorder="1" applyAlignment="1">
      <alignment horizontal="center" wrapText="1"/>
    </xf>
    <xf numFmtId="42" fontId="5" fillId="4" borderId="5" xfId="16" applyNumberFormat="1" applyFill="1" applyBorder="1"/>
    <xf numFmtId="0" fontId="5" fillId="4" borderId="3" xfId="16" applyFill="1" applyBorder="1" applyAlignment="1">
      <alignment horizontal="center" wrapText="1"/>
    </xf>
    <xf numFmtId="9" fontId="5" fillId="4" borderId="0" xfId="16" applyNumberFormat="1" applyFill="1"/>
    <xf numFmtId="42" fontId="5" fillId="4" borderId="2" xfId="16" applyNumberFormat="1" applyFill="1" applyBorder="1"/>
    <xf numFmtId="0" fontId="6" fillId="4" borderId="3" xfId="16" applyFont="1" applyFill="1" applyBorder="1" applyAlignment="1">
      <alignment horizontal="center"/>
    </xf>
    <xf numFmtId="167" fontId="5" fillId="4" borderId="0" xfId="24" applyNumberFormat="1" applyFill="1" applyAlignment="1">
      <alignment horizontal="center" wrapText="1"/>
    </xf>
    <xf numFmtId="0" fontId="5" fillId="0" borderId="3" xfId="0" applyFont="1" applyBorder="1" applyAlignment="1">
      <alignment horizontal="center" wrapText="1"/>
    </xf>
    <xf numFmtId="0" fontId="6" fillId="0" borderId="3" xfId="0" applyFont="1" applyBorder="1" applyAlignment="1">
      <alignment horizontal="center" wrapText="1"/>
    </xf>
    <xf numFmtId="0" fontId="6" fillId="0" borderId="2" xfId="0" applyFont="1" applyBorder="1" applyAlignment="1">
      <alignment horizontal="center" wrapText="1"/>
    </xf>
    <xf numFmtId="0" fontId="6" fillId="4" borderId="0" xfId="16" applyFont="1" applyFill="1" applyAlignment="1">
      <alignment horizontal="center" wrapText="1"/>
    </xf>
    <xf numFmtId="167" fontId="6" fillId="4" borderId="0" xfId="24" applyNumberFormat="1" applyFont="1" applyFill="1" applyAlignment="1">
      <alignment horizontal="center" wrapText="1"/>
    </xf>
    <xf numFmtId="41" fontId="5" fillId="4" borderId="5" xfId="16" applyNumberFormat="1" applyFill="1" applyBorder="1"/>
    <xf numFmtId="44" fontId="5" fillId="4" borderId="5" xfId="16" applyNumberFormat="1" applyFill="1" applyBorder="1"/>
    <xf numFmtId="0" fontId="5" fillId="4" borderId="5" xfId="16" applyFill="1" applyBorder="1"/>
    <xf numFmtId="0" fontId="6" fillId="4" borderId="2" xfId="16" applyFont="1" applyFill="1" applyBorder="1" applyAlignment="1">
      <alignment horizontal="center" wrapText="1"/>
    </xf>
    <xf numFmtId="0" fontId="5" fillId="4" borderId="15" xfId="16" applyFill="1" applyBorder="1"/>
    <xf numFmtId="0" fontId="5" fillId="4" borderId="16" xfId="16" applyFill="1" applyBorder="1"/>
    <xf numFmtId="0" fontId="6" fillId="2" borderId="16" xfId="0" applyFont="1" applyFill="1" applyBorder="1"/>
    <xf numFmtId="0" fontId="5" fillId="8" borderId="16" xfId="16" applyFill="1" applyBorder="1"/>
    <xf numFmtId="44" fontId="5" fillId="4" borderId="16" xfId="16" applyNumberFormat="1" applyFill="1" applyBorder="1"/>
    <xf numFmtId="0" fontId="5" fillId="4" borderId="17" xfId="16" applyFill="1" applyBorder="1"/>
    <xf numFmtId="0" fontId="5" fillId="4" borderId="18" xfId="16" applyFill="1" applyBorder="1"/>
    <xf numFmtId="0" fontId="5" fillId="4" borderId="19" xfId="16" applyFill="1" applyBorder="1"/>
    <xf numFmtId="0" fontId="5" fillId="4" borderId="20" xfId="16" applyFill="1" applyBorder="1" applyAlignment="1">
      <alignment horizontal="center" wrapText="1"/>
    </xf>
    <xf numFmtId="0" fontId="5" fillId="4" borderId="21" xfId="16" applyFill="1" applyBorder="1" applyAlignment="1">
      <alignment horizontal="center" wrapText="1"/>
    </xf>
    <xf numFmtId="0" fontId="5" fillId="4" borderId="19" xfId="24" applyNumberFormat="1" applyFill="1" applyBorder="1"/>
    <xf numFmtId="0" fontId="5" fillId="8" borderId="0" xfId="16" applyFill="1"/>
    <xf numFmtId="0" fontId="5" fillId="4" borderId="22" xfId="16" applyFill="1" applyBorder="1"/>
    <xf numFmtId="0" fontId="5" fillId="4" borderId="23" xfId="16" applyFill="1" applyBorder="1"/>
    <xf numFmtId="44" fontId="5" fillId="4" borderId="23" xfId="16" applyNumberFormat="1" applyFill="1" applyBorder="1"/>
    <xf numFmtId="0" fontId="5" fillId="4" borderId="24" xfId="16" applyFill="1" applyBorder="1"/>
    <xf numFmtId="0" fontId="6" fillId="4" borderId="25" xfId="16" applyFont="1" applyFill="1" applyBorder="1" applyAlignment="1">
      <alignment horizontal="center" wrapText="1"/>
    </xf>
    <xf numFmtId="0" fontId="6" fillId="4" borderId="26" xfId="16" applyFont="1" applyFill="1" applyBorder="1" applyAlignment="1">
      <alignment horizontal="center" wrapText="1"/>
    </xf>
    <xf numFmtId="0" fontId="6" fillId="0" borderId="26" xfId="0" applyFont="1" applyBorder="1" applyAlignment="1">
      <alignment horizontal="center" wrapText="1"/>
    </xf>
    <xf numFmtId="0" fontId="6" fillId="0" borderId="16" xfId="0" applyFont="1" applyBorder="1" applyAlignment="1">
      <alignment horizontal="center" wrapText="1"/>
    </xf>
    <xf numFmtId="0" fontId="6" fillId="4" borderId="17" xfId="16" applyFont="1" applyFill="1" applyBorder="1" applyAlignment="1">
      <alignment horizontal="center" wrapText="1"/>
    </xf>
    <xf numFmtId="0" fontId="5" fillId="4" borderId="19" xfId="16" applyFill="1" applyBorder="1" applyAlignment="1">
      <alignment horizontal="center" wrapText="1"/>
    </xf>
    <xf numFmtId="0" fontId="5" fillId="4" borderId="23" xfId="16" applyFill="1" applyBorder="1" applyAlignment="1">
      <alignment horizontal="center"/>
    </xf>
    <xf numFmtId="0" fontId="6" fillId="4" borderId="23" xfId="16" applyFont="1" applyFill="1" applyBorder="1"/>
    <xf numFmtId="0" fontId="6" fillId="0" borderId="16" xfId="0" applyFont="1" applyBorder="1"/>
    <xf numFmtId="0" fontId="5" fillId="4" borderId="16" xfId="16" applyFill="1" applyBorder="1" applyAlignment="1">
      <alignment horizontal="center"/>
    </xf>
    <xf numFmtId="0" fontId="6" fillId="4" borderId="16" xfId="16" applyFont="1" applyFill="1" applyBorder="1"/>
    <xf numFmtId="167" fontId="5" fillId="4" borderId="17" xfId="24" applyNumberFormat="1" applyFill="1" applyBorder="1"/>
    <xf numFmtId="167" fontId="5" fillId="4" borderId="19" xfId="24" applyNumberFormat="1" applyFill="1" applyBorder="1"/>
    <xf numFmtId="0" fontId="6" fillId="8" borderId="0" xfId="0" applyFont="1" applyFill="1"/>
    <xf numFmtId="167" fontId="5" fillId="4" borderId="24" xfId="24" applyNumberFormat="1" applyFill="1" applyBorder="1"/>
    <xf numFmtId="0" fontId="5" fillId="4" borderId="2" xfId="16" applyFill="1" applyBorder="1"/>
    <xf numFmtId="42" fontId="6" fillId="4" borderId="0" xfId="16" applyNumberFormat="1" applyFont="1" applyFill="1"/>
    <xf numFmtId="0" fontId="5" fillId="4" borderId="3" xfId="16" applyFill="1" applyBorder="1"/>
    <xf numFmtId="4" fontId="5" fillId="7" borderId="0" xfId="1" applyNumberFormat="1" applyFill="1"/>
    <xf numFmtId="4" fontId="5" fillId="7" borderId="3" xfId="1" applyNumberFormat="1" applyFill="1" applyBorder="1"/>
    <xf numFmtId="4" fontId="6" fillId="4" borderId="5" xfId="16" applyNumberFormat="1" applyFont="1" applyFill="1" applyBorder="1"/>
    <xf numFmtId="38" fontId="20" fillId="4" borderId="0" xfId="1" applyNumberFormat="1" applyFont="1" applyFill="1" applyAlignment="1" applyProtection="1"/>
    <xf numFmtId="0" fontId="15" fillId="7" borderId="3" xfId="16" applyFont="1" applyFill="1" applyBorder="1" applyAlignment="1">
      <alignment horizontal="center" wrapText="1"/>
    </xf>
    <xf numFmtId="42" fontId="5" fillId="7" borderId="0" xfId="1" applyNumberFormat="1" applyFill="1"/>
    <xf numFmtId="41" fontId="5" fillId="7" borderId="0" xfId="1" applyNumberFormat="1" applyFill="1"/>
    <xf numFmtId="41" fontId="5" fillId="7" borderId="3" xfId="1" applyNumberFormat="1" applyFill="1" applyBorder="1"/>
    <xf numFmtId="42" fontId="6" fillId="7" borderId="5" xfId="1" applyNumberFormat="1" applyFont="1" applyFill="1" applyBorder="1"/>
    <xf numFmtId="0" fontId="15" fillId="0" borderId="3" xfId="16" applyFont="1" applyBorder="1" applyAlignment="1">
      <alignment horizontal="center" wrapText="1"/>
    </xf>
    <xf numFmtId="0" fontId="6" fillId="0" borderId="3" xfId="16" applyFont="1" applyBorder="1" applyAlignment="1">
      <alignment horizontal="center" wrapText="1"/>
    </xf>
    <xf numFmtId="0" fontId="6" fillId="0" borderId="0" xfId="16" applyFont="1" applyAlignment="1">
      <alignment horizontal="center" wrapText="1"/>
    </xf>
    <xf numFmtId="42" fontId="5" fillId="0" borderId="0" xfId="1" applyNumberFormat="1"/>
    <xf numFmtId="10" fontId="5" fillId="0" borderId="0" xfId="24" applyNumberFormat="1" applyFont="1"/>
    <xf numFmtId="41" fontId="5" fillId="0" borderId="0" xfId="25" applyNumberFormat="1" applyFont="1"/>
    <xf numFmtId="42" fontId="6" fillId="0" borderId="5" xfId="1" applyNumberFormat="1" applyFont="1" applyBorder="1"/>
    <xf numFmtId="10" fontId="6" fillId="0" borderId="5" xfId="24" applyNumberFormat="1" applyFont="1" applyBorder="1"/>
    <xf numFmtId="41" fontId="5" fillId="0" borderId="0" xfId="25" applyNumberFormat="1" applyFont="1" applyAlignment="1">
      <alignment horizontal="center"/>
    </xf>
    <xf numFmtId="0" fontId="0" fillId="0" borderId="0" xfId="26" applyFont="1"/>
    <xf numFmtId="164" fontId="0" fillId="0" borderId="0" xfId="1" applyNumberFormat="1" applyFont="1" applyAlignment="1">
      <alignment horizontal="center"/>
    </xf>
    <xf numFmtId="0" fontId="0" fillId="0" borderId="0" xfId="0" applyAlignment="1">
      <alignment horizontal="right" vertical="top" wrapText="1"/>
    </xf>
    <xf numFmtId="3" fontId="0" fillId="0" borderId="0" xfId="0" applyNumberFormat="1" applyAlignment="1">
      <alignment horizontal="right" vertical="top" wrapText="1"/>
    </xf>
    <xf numFmtId="3" fontId="6" fillId="0" borderId="5" xfId="16" applyNumberFormat="1" applyFont="1" applyBorder="1"/>
    <xf numFmtId="0" fontId="5" fillId="0" borderId="5" xfId="16" applyBorder="1"/>
    <xf numFmtId="0" fontId="5" fillId="0" borderId="0" xfId="0" applyFont="1" applyAlignment="1">
      <alignment horizontal="center"/>
    </xf>
    <xf numFmtId="37" fontId="5" fillId="0" borderId="0" xfId="0" applyNumberFormat="1" applyFont="1"/>
    <xf numFmtId="42" fontId="0" fillId="0" borderId="0" xfId="0" applyNumberFormat="1"/>
    <xf numFmtId="0" fontId="0" fillId="5" borderId="0" xfId="0" applyFill="1"/>
    <xf numFmtId="0" fontId="6" fillId="0" borderId="0" xfId="0" applyFont="1" applyAlignment="1">
      <alignment horizontal="center" wrapText="1"/>
    </xf>
    <xf numFmtId="42" fontId="6" fillId="0" borderId="5" xfId="0" applyNumberFormat="1" applyFont="1" applyBorder="1"/>
    <xf numFmtId="41" fontId="0" fillId="0" borderId="0" xfId="0" applyNumberFormat="1"/>
    <xf numFmtId="49" fontId="5" fillId="0" borderId="0" xfId="16" applyNumberFormat="1" applyAlignment="1">
      <alignment horizontal="center"/>
    </xf>
    <xf numFmtId="0" fontId="5" fillId="0" borderId="2" xfId="0" applyFont="1" applyBorder="1"/>
    <xf numFmtId="0" fontId="9" fillId="0" borderId="0" xfId="16" applyFont="1" applyAlignment="1">
      <alignment vertical="top" wrapText="1"/>
    </xf>
    <xf numFmtId="0" fontId="5" fillId="0" borderId="3" xfId="0" applyFont="1" applyBorder="1"/>
    <xf numFmtId="0" fontId="5" fillId="0" borderId="2" xfId="0" applyFont="1" applyBorder="1" applyAlignment="1">
      <alignment horizontal="center" wrapText="1"/>
    </xf>
    <xf numFmtId="0" fontId="5" fillId="0" borderId="0" xfId="16" applyAlignment="1">
      <alignment horizontal="center" wrapText="1"/>
    </xf>
    <xf numFmtId="0" fontId="6" fillId="0" borderId="13" xfId="16" applyFont="1" applyBorder="1" applyAlignment="1">
      <alignment horizontal="center" wrapText="1"/>
    </xf>
    <xf numFmtId="0" fontId="6" fillId="0" borderId="14" xfId="16" applyFont="1" applyBorder="1" applyAlignment="1">
      <alignment horizontal="center" wrapText="1"/>
    </xf>
    <xf numFmtId="0" fontId="6" fillId="4" borderId="13" xfId="16" applyFont="1" applyFill="1" applyBorder="1" applyAlignment="1">
      <alignment horizontal="center"/>
    </xf>
    <xf numFmtId="0" fontId="5" fillId="0" borderId="5" xfId="16" applyBorder="1" applyAlignment="1">
      <alignment horizontal="center"/>
    </xf>
    <xf numFmtId="0" fontId="6" fillId="0" borderId="5" xfId="16" applyFont="1" applyBorder="1"/>
    <xf numFmtId="43" fontId="5" fillId="4" borderId="0" xfId="1" applyFill="1"/>
    <xf numFmtId="0" fontId="5" fillId="2" borderId="0" xfId="16" applyFill="1"/>
    <xf numFmtId="38" fontId="20" fillId="4" borderId="0" xfId="1" applyNumberFormat="1" applyFont="1" applyFill="1" applyAlignment="1" applyProtection="1">
      <alignment horizontal="left"/>
    </xf>
    <xf numFmtId="0" fontId="5" fillId="0" borderId="3" xfId="16" applyBorder="1" applyAlignment="1">
      <alignment horizontal="center" wrapText="1"/>
    </xf>
    <xf numFmtId="0" fontId="6" fillId="0" borderId="65" xfId="16" applyFont="1" applyBorder="1" applyAlignment="1">
      <alignment horizontal="center" wrapText="1"/>
    </xf>
    <xf numFmtId="0" fontId="6" fillId="0" borderId="6" xfId="16" applyFont="1" applyBorder="1" applyAlignment="1">
      <alignment horizontal="center" wrapText="1"/>
    </xf>
    <xf numFmtId="0" fontId="5" fillId="32" borderId="0" xfId="16" applyFill="1" applyAlignment="1">
      <alignment horizontal="center"/>
    </xf>
    <xf numFmtId="42" fontId="6" fillId="0" borderId="5" xfId="16" applyNumberFormat="1" applyFont="1" applyBorder="1"/>
    <xf numFmtId="41" fontId="6" fillId="0" borderId="5" xfId="16" applyNumberFormat="1" applyFont="1" applyBorder="1"/>
    <xf numFmtId="0" fontId="5" fillId="2" borderId="0" xfId="16" applyFill="1" applyAlignment="1">
      <alignment horizontal="center"/>
    </xf>
    <xf numFmtId="0" fontId="5" fillId="0" borderId="0" xfId="0" applyFont="1" applyAlignment="1">
      <alignment horizontal="center" wrapText="1"/>
    </xf>
    <xf numFmtId="0" fontId="6" fillId="4" borderId="13" xfId="61" applyFont="1" applyFill="1" applyBorder="1" applyAlignment="1">
      <alignment wrapText="1"/>
    </xf>
    <xf numFmtId="0" fontId="5" fillId="40" borderId="13" xfId="61" applyFill="1" applyBorder="1" applyAlignment="1">
      <alignment wrapText="1"/>
    </xf>
    <xf numFmtId="14" fontId="5" fillId="4" borderId="0" xfId="16" applyNumberFormat="1" applyFill="1"/>
    <xf numFmtId="164" fontId="43" fillId="0" borderId="83" xfId="83" applyNumberFormat="1" applyFill="1" applyBorder="1" applyAlignment="1" applyProtection="1">
      <alignment horizontal="center"/>
    </xf>
    <xf numFmtId="0" fontId="15" fillId="0" borderId="0" xfId="16" quotePrefix="1" applyFont="1" applyAlignment="1">
      <alignment horizontal="center" wrapText="1"/>
    </xf>
    <xf numFmtId="0" fontId="6" fillId="7" borderId="0" xfId="67" applyFont="1" applyFill="1" applyAlignment="1">
      <alignment horizontal="center"/>
    </xf>
    <xf numFmtId="0" fontId="9" fillId="0" borderId="0" xfId="16" applyFont="1" applyAlignment="1">
      <alignment horizontal="left"/>
    </xf>
    <xf numFmtId="0" fontId="9" fillId="0" borderId="0" xfId="16" applyFont="1" applyAlignment="1">
      <alignment horizontal="center"/>
    </xf>
    <xf numFmtId="0" fontId="9" fillId="0" borderId="0" xfId="16" applyFont="1" applyAlignment="1">
      <alignment vertical="center"/>
    </xf>
    <xf numFmtId="0" fontId="8" fillId="0" borderId="15" xfId="16" applyFont="1" applyBorder="1" applyAlignment="1">
      <alignment horizontal="center" wrapText="1"/>
    </xf>
    <xf numFmtId="0" fontId="8" fillId="0" borderId="16" xfId="16" applyFont="1" applyBorder="1" applyAlignment="1">
      <alignment horizontal="center" wrapText="1"/>
    </xf>
    <xf numFmtId="0" fontId="9" fillId="0" borderId="0" xfId="16" quotePrefix="1" applyFont="1" applyAlignment="1">
      <alignment horizontal="center" wrapText="1"/>
    </xf>
    <xf numFmtId="0" fontId="9" fillId="0" borderId="0" xfId="16" applyFont="1"/>
    <xf numFmtId="0" fontId="5" fillId="0" borderId="0" xfId="16" applyAlignment="1">
      <alignment vertical="center"/>
    </xf>
    <xf numFmtId="0" fontId="37" fillId="0" borderId="0" xfId="0" quotePrefix="1" applyFont="1" applyAlignment="1">
      <alignment horizontal="center" wrapText="1"/>
    </xf>
    <xf numFmtId="0" fontId="0" fillId="0" borderId="0" xfId="0" quotePrefix="1" applyAlignment="1">
      <alignment horizontal="center" wrapText="1"/>
    </xf>
    <xf numFmtId="0" fontId="0" fillId="0" borderId="19" xfId="0" quotePrefix="1" applyBorder="1" applyAlignment="1">
      <alignment horizontal="center" wrapText="1"/>
    </xf>
    <xf numFmtId="2" fontId="37" fillId="0" borderId="0" xfId="0" quotePrefix="1" applyNumberFormat="1" applyFont="1" applyAlignment="1">
      <alignment horizontal="center" wrapText="1"/>
    </xf>
    <xf numFmtId="43" fontId="5" fillId="7" borderId="0" xfId="1" applyFill="1"/>
    <xf numFmtId="171" fontId="5" fillId="7" borderId="0" xfId="1" applyNumberFormat="1" applyFill="1"/>
    <xf numFmtId="43" fontId="6" fillId="0" borderId="0" xfId="16" applyNumberFormat="1" applyFont="1"/>
    <xf numFmtId="43" fontId="5" fillId="4" borderId="0" xfId="16" applyNumberFormat="1" applyFill="1"/>
    <xf numFmtId="41" fontId="6" fillId="4" borderId="0" xfId="16" applyNumberFormat="1" applyFont="1" applyFill="1"/>
    <xf numFmtId="164" fontId="5" fillId="8" borderId="18" xfId="1" applyNumberFormat="1" applyFill="1" applyBorder="1"/>
    <xf numFmtId="164" fontId="5" fillId="8" borderId="0" xfId="1" applyNumberFormat="1" applyFill="1" applyBorder="1"/>
    <xf numFmtId="164" fontId="6" fillId="8" borderId="124" xfId="16" applyNumberFormat="1" applyFont="1" applyFill="1" applyBorder="1"/>
    <xf numFmtId="164" fontId="6" fillId="8" borderId="125" xfId="16" applyNumberFormat="1" applyFont="1" applyFill="1" applyBorder="1"/>
    <xf numFmtId="0" fontId="5" fillId="0" borderId="18" xfId="0" quotePrefix="1" applyFont="1" applyBorder="1" applyAlignment="1">
      <alignment horizontal="center" wrapText="1"/>
    </xf>
    <xf numFmtId="41" fontId="5" fillId="0" borderId="0" xfId="1" applyNumberFormat="1" applyFill="1" applyBorder="1"/>
    <xf numFmtId="41" fontId="5" fillId="0" borderId="125" xfId="1" applyNumberFormat="1" applyFont="1" applyFill="1" applyBorder="1"/>
    <xf numFmtId="15" fontId="6" fillId="4" borderId="0" xfId="16" applyNumberFormat="1" applyFont="1" applyFill="1" applyAlignment="1">
      <alignment horizontal="center"/>
    </xf>
    <xf numFmtId="172" fontId="5" fillId="4" borderId="0" xfId="16" applyNumberFormat="1" applyFill="1" applyAlignment="1">
      <alignment horizontal="center"/>
    </xf>
    <xf numFmtId="172" fontId="5" fillId="0" borderId="5" xfId="16" applyNumberFormat="1" applyBorder="1" applyAlignment="1">
      <alignment horizontal="center"/>
    </xf>
    <xf numFmtId="0" fontId="8" fillId="0" borderId="0" xfId="16" applyFont="1" applyAlignment="1">
      <alignment horizontal="center"/>
    </xf>
    <xf numFmtId="164" fontId="5" fillId="4" borderId="0" xfId="16" applyNumberFormat="1" applyFill="1"/>
    <xf numFmtId="43" fontId="6" fillId="0" borderId="5" xfId="16" applyNumberFormat="1" applyFont="1" applyBorder="1"/>
    <xf numFmtId="0" fontId="6" fillId="4" borderId="0" xfId="61" applyFont="1" applyFill="1" applyAlignment="1">
      <alignment wrapText="1"/>
    </xf>
    <xf numFmtId="0" fontId="5" fillId="40" borderId="0" xfId="61" applyFill="1" applyAlignment="1">
      <alignment wrapText="1"/>
    </xf>
    <xf numFmtId="0" fontId="6" fillId="4" borderId="13" xfId="61" applyFont="1" applyFill="1" applyBorder="1" applyAlignment="1">
      <alignment horizontal="center" wrapText="1"/>
    </xf>
    <xf numFmtId="0" fontId="5" fillId="40" borderId="13" xfId="61" applyFill="1" applyBorder="1" applyAlignment="1">
      <alignment horizontal="center" wrapText="1"/>
    </xf>
    <xf numFmtId="171" fontId="5" fillId="4" borderId="0" xfId="16" applyNumberFormat="1" applyFill="1"/>
    <xf numFmtId="171" fontId="5" fillId="4" borderId="0" xfId="16" applyNumberFormat="1" applyFill="1" applyAlignment="1">
      <alignment horizontal="center"/>
    </xf>
    <xf numFmtId="0" fontId="8" fillId="0" borderId="65" xfId="16" applyFont="1" applyBorder="1" applyAlignment="1">
      <alignment vertical="top" wrapText="1"/>
    </xf>
    <xf numFmtId="0" fontId="8" fillId="0" borderId="63" xfId="16" applyFont="1" applyBorder="1" applyAlignment="1">
      <alignment vertical="top" wrapText="1"/>
    </xf>
    <xf numFmtId="0" fontId="9" fillId="0" borderId="0" xfId="16" applyFont="1" applyAlignment="1">
      <alignment wrapText="1"/>
    </xf>
    <xf numFmtId="3" fontId="5" fillId="0" borderId="0" xfId="1" applyNumberFormat="1" applyFill="1" applyBorder="1" applyAlignment="1">
      <alignment horizontal="right"/>
    </xf>
    <xf numFmtId="41" fontId="5" fillId="0" borderId="19" xfId="1" applyNumberFormat="1" applyFill="1" applyBorder="1"/>
    <xf numFmtId="171" fontId="5" fillId="0" borderId="124" xfId="1" applyNumberFormat="1" applyFont="1" applyFill="1" applyBorder="1"/>
    <xf numFmtId="41" fontId="5" fillId="0" borderId="126" xfId="1" applyNumberFormat="1" applyFont="1" applyFill="1" applyBorder="1"/>
    <xf numFmtId="171" fontId="5" fillId="7" borderId="0" xfId="1" applyNumberFormat="1" applyFill="1" applyBorder="1"/>
    <xf numFmtId="43" fontId="5" fillId="7" borderId="0" xfId="1" applyFill="1" applyBorder="1"/>
    <xf numFmtId="0" fontId="37" fillId="0" borderId="0" xfId="88" quotePrefix="1" applyFont="1" applyAlignment="1">
      <alignment horizontal="center" wrapText="1"/>
    </xf>
    <xf numFmtId="164" fontId="5" fillId="8" borderId="0" xfId="1" applyNumberFormat="1" applyFill="1" applyBorder="1" applyAlignment="1">
      <alignment horizontal="center"/>
    </xf>
    <xf numFmtId="0" fontId="8" fillId="0" borderId="17" xfId="16" applyFont="1" applyBorder="1" applyAlignment="1">
      <alignment horizontal="center" wrapText="1"/>
    </xf>
    <xf numFmtId="14" fontId="5" fillId="0" borderId="0" xfId="16" applyNumberFormat="1"/>
    <xf numFmtId="171" fontId="5" fillId="0" borderId="18" xfId="1" applyNumberFormat="1" applyFill="1" applyBorder="1"/>
    <xf numFmtId="3" fontId="5" fillId="0" borderId="19" xfId="1" applyNumberFormat="1" applyFill="1" applyBorder="1" applyAlignment="1">
      <alignment horizontal="right"/>
    </xf>
    <xf numFmtId="0" fontId="35" fillId="0" borderId="23" xfId="16" quotePrefix="1" applyFont="1" applyBorder="1" applyAlignment="1">
      <alignment horizontal="center" wrapText="1"/>
    </xf>
    <xf numFmtId="0" fontId="15" fillId="0" borderId="3" xfId="16" quotePrefix="1" applyFont="1" applyBorder="1" applyAlignment="1">
      <alignment horizontal="center" wrapText="1"/>
    </xf>
    <xf numFmtId="0" fontId="37" fillId="0" borderId="0" xfId="16" quotePrefix="1" applyFont="1" applyAlignment="1">
      <alignment horizontal="center" wrapText="1"/>
    </xf>
    <xf numFmtId="2" fontId="37" fillId="0" borderId="0" xfId="88" quotePrefix="1" applyNumberFormat="1" applyFont="1" applyAlignment="1">
      <alignment horizontal="center" wrapText="1"/>
    </xf>
    <xf numFmtId="49" fontId="0" fillId="0" borderId="0" xfId="16" applyNumberFormat="1" applyFont="1" applyAlignment="1">
      <alignment horizontal="center"/>
    </xf>
    <xf numFmtId="0" fontId="5" fillId="4" borderId="0" xfId="61" applyFill="1" applyAlignment="1">
      <alignment horizontal="center"/>
    </xf>
    <xf numFmtId="0" fontId="6" fillId="0" borderId="23" xfId="16" applyFont="1" applyBorder="1" applyAlignment="1">
      <alignment horizontal="center" wrapText="1"/>
    </xf>
    <xf numFmtId="0" fontId="15" fillId="0" borderId="23" xfId="61" quotePrefix="1" applyFont="1" applyBorder="1" applyAlignment="1">
      <alignment horizontal="center" wrapText="1"/>
    </xf>
    <xf numFmtId="0" fontId="37" fillId="0" borderId="15" xfId="88" quotePrefix="1" applyFont="1" applyBorder="1" applyAlignment="1">
      <alignment horizontal="center" wrapText="1"/>
    </xf>
    <xf numFmtId="0" fontId="37" fillId="0" borderId="16" xfId="88" quotePrefix="1" applyFont="1" applyBorder="1" applyAlignment="1">
      <alignment horizontal="center" wrapText="1"/>
    </xf>
    <xf numFmtId="0" fontId="37" fillId="0" borderId="17" xfId="88" quotePrefix="1" applyFont="1" applyBorder="1" applyAlignment="1">
      <alignment horizontal="center" wrapText="1"/>
    </xf>
    <xf numFmtId="0" fontId="37" fillId="0" borderId="19" xfId="88" quotePrefix="1" applyFont="1" applyBorder="1" applyAlignment="1">
      <alignment horizontal="center" wrapText="1"/>
    </xf>
    <xf numFmtId="0" fontId="6" fillId="0" borderId="3" xfId="16" applyFont="1" applyBorder="1" applyAlignment="1">
      <alignment wrapText="1"/>
    </xf>
    <xf numFmtId="164" fontId="5" fillId="0" borderId="0" xfId="1" applyNumberFormat="1" applyFill="1" applyBorder="1"/>
    <xf numFmtId="2" fontId="5" fillId="0" borderId="0" xfId="1" applyNumberFormat="1" applyFill="1" applyBorder="1"/>
    <xf numFmtId="2" fontId="5" fillId="0" borderId="0" xfId="1" applyNumberFormat="1" applyFill="1" applyBorder="1" applyAlignment="1">
      <alignment horizontal="center"/>
    </xf>
    <xf numFmtId="2" fontId="5" fillId="0" borderId="19" xfId="1" applyNumberFormat="1" applyFill="1" applyBorder="1"/>
    <xf numFmtId="164" fontId="5" fillId="8" borderId="18" xfId="1" applyNumberFormat="1" applyFill="1" applyBorder="1" applyAlignment="1">
      <alignment horizontal="center"/>
    </xf>
    <xf numFmtId="164" fontId="5" fillId="0" borderId="0" xfId="1" applyNumberFormat="1" applyFill="1" applyBorder="1" applyAlignment="1">
      <alignment horizontal="center"/>
    </xf>
    <xf numFmtId="164" fontId="6" fillId="0" borderId="125" xfId="16" applyNumberFormat="1" applyFont="1" applyBorder="1"/>
    <xf numFmtId="172" fontId="5" fillId="4" borderId="0" xfId="16" applyNumberFormat="1" applyFill="1" applyAlignment="1">
      <alignment horizontal="right"/>
    </xf>
    <xf numFmtId="172" fontId="5" fillId="8" borderId="0" xfId="16" applyNumberFormat="1" applyFill="1" applyAlignment="1">
      <alignment horizontal="right"/>
    </xf>
    <xf numFmtId="172" fontId="5" fillId="0" borderId="64" xfId="16" applyNumberFormat="1" applyBorder="1" applyAlignment="1">
      <alignment horizontal="right"/>
    </xf>
    <xf numFmtId="172" fontId="5" fillId="0" borderId="3" xfId="16" applyNumberFormat="1" applyBorder="1" applyAlignment="1">
      <alignment horizontal="right"/>
    </xf>
    <xf numFmtId="2" fontId="5" fillId="0" borderId="19" xfId="1" applyNumberFormat="1" applyFill="1" applyBorder="1" applyAlignment="1">
      <alignment horizontal="center"/>
    </xf>
    <xf numFmtId="1" fontId="6" fillId="0" borderId="125" xfId="16" applyNumberFormat="1" applyFont="1" applyBorder="1"/>
    <xf numFmtId="1" fontId="6" fillId="0" borderId="125" xfId="1" applyNumberFormat="1" applyFont="1" applyFill="1" applyBorder="1"/>
    <xf numFmtId="1" fontId="6" fillId="0" borderId="125" xfId="1" applyNumberFormat="1" applyFont="1" applyFill="1" applyBorder="1" applyAlignment="1">
      <alignment horizontal="center"/>
    </xf>
    <xf numFmtId="1" fontId="6" fillId="0" borderId="126" xfId="16" applyNumberFormat="1" applyFont="1" applyBorder="1"/>
    <xf numFmtId="0" fontId="3" fillId="0" borderId="0" xfId="90" applyAlignment="1">
      <alignment horizontal="center"/>
    </xf>
    <xf numFmtId="0" fontId="46" fillId="0" borderId="0" xfId="90" applyFont="1"/>
    <xf numFmtId="0" fontId="3" fillId="0" borderId="0" xfId="90"/>
    <xf numFmtId="167" fontId="0" fillId="0" borderId="0" xfId="91" applyNumberFormat="1" applyFont="1"/>
    <xf numFmtId="0" fontId="3" fillId="32" borderId="0" xfId="90" applyFill="1"/>
    <xf numFmtId="0" fontId="6" fillId="32" borderId="3" xfId="16" applyFont="1" applyFill="1" applyBorder="1" applyAlignment="1">
      <alignment wrapText="1"/>
    </xf>
    <xf numFmtId="0" fontId="47" fillId="0" borderId="3" xfId="90" applyFont="1" applyBorder="1" applyAlignment="1">
      <alignment horizontal="center"/>
    </xf>
    <xf numFmtId="167" fontId="47" fillId="0" borderId="3" xfId="91" applyNumberFormat="1" applyFont="1" applyBorder="1" applyAlignment="1">
      <alignment horizontal="center"/>
    </xf>
    <xf numFmtId="167" fontId="0" fillId="8" borderId="0" xfId="91" applyNumberFormat="1" applyFont="1" applyFill="1"/>
    <xf numFmtId="41" fontId="5" fillId="0" borderId="0" xfId="92" applyNumberFormat="1" applyFont="1" applyFill="1"/>
    <xf numFmtId="0" fontId="6" fillId="0" borderId="2" xfId="16" applyFont="1" applyBorder="1"/>
    <xf numFmtId="42" fontId="5" fillId="38" borderId="2" xfId="16" applyNumberFormat="1" applyFill="1" applyBorder="1"/>
    <xf numFmtId="167" fontId="0" fillId="0" borderId="2" xfId="91" applyNumberFormat="1" applyFont="1" applyBorder="1"/>
    <xf numFmtId="167" fontId="0" fillId="0" borderId="0" xfId="91" applyNumberFormat="1" applyFont="1" applyBorder="1"/>
    <xf numFmtId="0" fontId="6" fillId="32" borderId="2" xfId="16" applyFont="1" applyFill="1" applyBorder="1" applyAlignment="1">
      <alignment wrapText="1"/>
    </xf>
    <xf numFmtId="0" fontId="3" fillId="32" borderId="2" xfId="90" applyFill="1" applyBorder="1"/>
    <xf numFmtId="0" fontId="47" fillId="0" borderId="2" xfId="90" applyFont="1" applyBorder="1" applyAlignment="1">
      <alignment horizontal="center"/>
    </xf>
    <xf numFmtId="167" fontId="47" fillId="0" borderId="2" xfId="91" applyNumberFormat="1" applyFont="1" applyBorder="1" applyAlignment="1">
      <alignment horizontal="center"/>
    </xf>
    <xf numFmtId="42" fontId="3" fillId="0" borderId="0" xfId="90" applyNumberFormat="1"/>
    <xf numFmtId="15" fontId="5" fillId="0" borderId="0" xfId="16" applyNumberFormat="1"/>
    <xf numFmtId="172" fontId="48" fillId="41" borderId="0" xfId="76" applyNumberFormat="1" applyFont="1" applyFill="1"/>
    <xf numFmtId="0" fontId="48" fillId="41" borderId="0" xfId="0" applyFont="1" applyFill="1"/>
    <xf numFmtId="38" fontId="48" fillId="41" borderId="0" xfId="0" applyNumberFormat="1" applyFont="1" applyFill="1"/>
    <xf numFmtId="38" fontId="48" fillId="41" borderId="0" xfId="76" applyNumberFormat="1" applyFont="1" applyFill="1"/>
    <xf numFmtId="0" fontId="49" fillId="0" borderId="0" xfId="94" applyFont="1"/>
    <xf numFmtId="0" fontId="48" fillId="0" borderId="0" xfId="89" applyFont="1"/>
    <xf numFmtId="37" fontId="5" fillId="0" borderId="3" xfId="0" applyNumberFormat="1" applyFont="1" applyBorder="1" applyAlignment="1">
      <alignment horizontal="center" wrapText="1"/>
    </xf>
    <xf numFmtId="37" fontId="5" fillId="4" borderId="3" xfId="0" applyNumberFormat="1" applyFont="1" applyFill="1" applyBorder="1" applyAlignment="1">
      <alignment horizontal="center" wrapText="1"/>
    </xf>
    <xf numFmtId="37" fontId="5" fillId="4" borderId="0" xfId="0" applyNumberFormat="1" applyFont="1" applyFill="1"/>
    <xf numFmtId="0" fontId="1" fillId="0" borderId="0" xfId="90" applyFont="1"/>
    <xf numFmtId="0" fontId="48" fillId="4" borderId="0" xfId="16" applyFont="1" applyFill="1"/>
    <xf numFmtId="0" fontId="50" fillId="0" borderId="0" xfId="16" applyFont="1"/>
    <xf numFmtId="0" fontId="48" fillId="0" borderId="0" xfId="16" applyFont="1"/>
    <xf numFmtId="0" fontId="51" fillId="0" borderId="0" xfId="16" applyFont="1" applyAlignment="1">
      <alignment horizontal="center"/>
    </xf>
    <xf numFmtId="0" fontId="51" fillId="0" borderId="0" xfId="16" applyFont="1"/>
    <xf numFmtId="0" fontId="51" fillId="0" borderId="81" xfId="16" applyFont="1" applyBorder="1" applyAlignment="1">
      <alignment horizontal="center"/>
    </xf>
    <xf numFmtId="0" fontId="48" fillId="0" borderId="0" xfId="16" applyFont="1" applyAlignment="1">
      <alignment horizontal="center" vertical="top"/>
    </xf>
    <xf numFmtId="0" fontId="48" fillId="0" borderId="0" xfId="16" applyFont="1" applyAlignment="1">
      <alignment horizontal="center"/>
    </xf>
    <xf numFmtId="0" fontId="51" fillId="0" borderId="85" xfId="16" applyFont="1" applyBorder="1" applyAlignment="1">
      <alignment horizontal="center"/>
    </xf>
    <xf numFmtId="14" fontId="51" fillId="0" borderId="0" xfId="16" applyNumberFormat="1" applyFont="1" applyAlignment="1">
      <alignment horizontal="left"/>
    </xf>
    <xf numFmtId="0" fontId="48" fillId="0" borderId="85" xfId="16" applyFont="1" applyBorder="1" applyAlignment="1">
      <alignment horizontal="center"/>
    </xf>
    <xf numFmtId="0" fontId="50" fillId="5" borderId="0" xfId="16" applyFont="1" applyFill="1" applyAlignment="1">
      <alignment vertical="top" wrapText="1"/>
    </xf>
    <xf numFmtId="0" fontId="52" fillId="0" borderId="0" xfId="82" applyFont="1" applyBorder="1" applyAlignment="1" applyProtection="1">
      <alignment horizontal="center" vertical="top" wrapText="1"/>
    </xf>
    <xf numFmtId="0" fontId="52" fillId="0" borderId="85" xfId="82" applyFont="1" applyBorder="1" applyAlignment="1" applyProtection="1">
      <alignment horizontal="center" vertical="top" wrapText="1"/>
    </xf>
    <xf numFmtId="0" fontId="52" fillId="0" borderId="0" xfId="82" applyFont="1" applyAlignment="1" applyProtection="1">
      <alignment horizontal="center" vertical="top"/>
    </xf>
    <xf numFmtId="0" fontId="52" fillId="0" borderId="0" xfId="82" applyFont="1" applyBorder="1" applyAlignment="1" applyProtection="1">
      <alignment vertical="top" wrapText="1"/>
    </xf>
    <xf numFmtId="0" fontId="53" fillId="0" borderId="0" xfId="16" applyFont="1" applyAlignment="1">
      <alignment horizontal="center" vertical="top" wrapText="1"/>
    </xf>
    <xf numFmtId="0" fontId="53" fillId="0" borderId="85" xfId="16" applyFont="1" applyBorder="1" applyAlignment="1">
      <alignment horizontal="center" vertical="top" wrapText="1"/>
    </xf>
    <xf numFmtId="0" fontId="51" fillId="4" borderId="0" xfId="16" applyFont="1" applyFill="1" applyAlignment="1">
      <alignment horizontal="center"/>
    </xf>
    <xf numFmtId="0" fontId="51" fillId="4" borderId="0" xfId="16" applyFont="1" applyFill="1"/>
    <xf numFmtId="0" fontId="53" fillId="0" borderId="0" xfId="16" applyFont="1" applyAlignment="1">
      <alignment vertical="top" wrapText="1"/>
    </xf>
    <xf numFmtId="0" fontId="50" fillId="0" borderId="0" xfId="16" applyFont="1" applyAlignment="1">
      <alignment vertical="top" wrapText="1"/>
    </xf>
    <xf numFmtId="0" fontId="50" fillId="0" borderId="0" xfId="16" applyFont="1" applyAlignment="1">
      <alignment horizontal="center" vertical="top" wrapText="1"/>
    </xf>
    <xf numFmtId="0" fontId="50" fillId="0" borderId="85" xfId="16" applyFont="1" applyBorder="1" applyAlignment="1">
      <alignment horizontal="center" vertical="top" wrapText="1"/>
    </xf>
    <xf numFmtId="0" fontId="48" fillId="5" borderId="0" xfId="0" applyFont="1" applyFill="1"/>
    <xf numFmtId="37" fontId="48" fillId="4" borderId="0" xfId="16" applyNumberFormat="1" applyFont="1" applyFill="1"/>
    <xf numFmtId="37" fontId="52" fillId="4" borderId="0" xfId="82" applyNumberFormat="1" applyFont="1" applyFill="1"/>
    <xf numFmtId="0" fontId="52" fillId="0" borderId="0" xfId="82" applyFont="1" applyAlignment="1" applyProtection="1">
      <alignment horizontal="center"/>
    </xf>
    <xf numFmtId="0" fontId="52" fillId="0" borderId="85" xfId="82" applyFont="1" applyBorder="1" applyAlignment="1" applyProtection="1">
      <alignment horizontal="center" wrapText="1"/>
    </xf>
    <xf numFmtId="0" fontId="52" fillId="0" borderId="0" xfId="82" applyFont="1" applyBorder="1" applyAlignment="1" applyProtection="1">
      <alignment horizontal="center" wrapText="1"/>
    </xf>
    <xf numFmtId="0" fontId="48" fillId="5" borderId="0" xfId="0" applyFont="1" applyFill="1" applyAlignment="1">
      <alignment vertical="center" wrapText="1"/>
    </xf>
    <xf numFmtId="0" fontId="52" fillId="0" borderId="0" xfId="82" applyFont="1" applyAlignment="1" applyProtection="1">
      <alignment horizontal="center" vertical="center"/>
    </xf>
    <xf numFmtId="0" fontId="52" fillId="0" borderId="85" xfId="82" applyFont="1" applyBorder="1" applyAlignment="1" applyProtection="1">
      <alignment horizontal="center" vertical="center" wrapText="1"/>
    </xf>
    <xf numFmtId="0" fontId="52" fillId="0" borderId="0" xfId="82" applyFont="1" applyBorder="1" applyAlignment="1" applyProtection="1">
      <alignment horizontal="center" vertical="center" wrapText="1"/>
    </xf>
    <xf numFmtId="0" fontId="48" fillId="0" borderId="0" xfId="16" applyFont="1" applyAlignment="1">
      <alignment horizontal="center" vertical="center"/>
    </xf>
    <xf numFmtId="37" fontId="48" fillId="4" borderId="0" xfId="16" applyNumberFormat="1" applyFont="1" applyFill="1" applyAlignment="1">
      <alignment vertical="center"/>
    </xf>
    <xf numFmtId="37" fontId="52" fillId="4" borderId="0" xfId="82" applyNumberFormat="1" applyFont="1" applyFill="1" applyAlignment="1">
      <alignment vertical="center"/>
    </xf>
    <xf numFmtId="0" fontId="48" fillId="0" borderId="0" xfId="16" applyFont="1" applyAlignment="1">
      <alignment vertical="center"/>
    </xf>
    <xf numFmtId="0" fontId="52" fillId="0" borderId="82" xfId="82" applyFont="1" applyBorder="1" applyAlignment="1" applyProtection="1">
      <alignment horizontal="center" wrapText="1"/>
    </xf>
    <xf numFmtId="0" fontId="51" fillId="0" borderId="0" xfId="0" applyFont="1"/>
    <xf numFmtId="0" fontId="54" fillId="0" borderId="0" xfId="83" applyFont="1" applyBorder="1" applyAlignment="1" applyProtection="1">
      <alignment vertical="top" wrapText="1"/>
    </xf>
    <xf numFmtId="0" fontId="53" fillId="0" borderId="0" xfId="16" applyFont="1" applyAlignment="1">
      <alignment horizontal="center" wrapText="1"/>
    </xf>
    <xf numFmtId="0" fontId="52" fillId="0" borderId="0" xfId="82" applyFont="1" applyBorder="1"/>
    <xf numFmtId="167" fontId="48" fillId="4" borderId="0" xfId="24" applyNumberFormat="1" applyFont="1" applyFill="1"/>
    <xf numFmtId="0" fontId="55" fillId="0" borderId="0" xfId="0" applyFont="1" applyAlignment="1">
      <alignment horizontal="left"/>
    </xf>
    <xf numFmtId="0" fontId="48" fillId="0" borderId="0" xfId="0" applyFont="1"/>
    <xf numFmtId="164" fontId="54" fillId="0" borderId="0" xfId="83" applyNumberFormat="1" applyFont="1" applyFill="1" applyBorder="1" applyAlignment="1" applyProtection="1">
      <alignment horizontal="center"/>
    </xf>
    <xf numFmtId="0" fontId="48" fillId="0" borderId="0" xfId="0" applyFont="1" applyAlignment="1">
      <alignment horizontal="center"/>
    </xf>
    <xf numFmtId="0" fontId="48" fillId="0" borderId="13" xfId="0" applyFont="1" applyBorder="1" applyAlignment="1">
      <alignment horizontal="center"/>
    </xf>
    <xf numFmtId="0" fontId="48" fillId="0" borderId="13" xfId="0" applyFont="1" applyBorder="1" applyAlignment="1">
      <alignment horizontal="center" wrapText="1"/>
    </xf>
    <xf numFmtId="0" fontId="53" fillId="0" borderId="24" xfId="16" applyFont="1" applyBorder="1" applyAlignment="1">
      <alignment vertical="center" wrapText="1"/>
    </xf>
    <xf numFmtId="0" fontId="53" fillId="0" borderId="82" xfId="16" applyFont="1" applyBorder="1" applyAlignment="1">
      <alignment vertical="center" wrapText="1"/>
    </xf>
    <xf numFmtId="0" fontId="53" fillId="0" borderId="24" xfId="16" applyFont="1" applyBorder="1" applyAlignment="1">
      <alignment horizontal="center" vertical="center" wrapText="1"/>
    </xf>
    <xf numFmtId="41" fontId="48" fillId="0" borderId="0" xfId="0" applyNumberFormat="1" applyFont="1" applyAlignment="1">
      <alignment horizontal="center" vertical="center"/>
    </xf>
    <xf numFmtId="0" fontId="48" fillId="0" borderId="0" xfId="0" applyFont="1" applyAlignment="1">
      <alignment horizontal="center" vertical="center"/>
    </xf>
    <xf numFmtId="42" fontId="48" fillId="0" borderId="0" xfId="0" applyNumberFormat="1" applyFont="1" applyAlignment="1">
      <alignment horizontal="center" vertical="center"/>
    </xf>
    <xf numFmtId="0" fontId="48" fillId="0" borderId="0" xfId="0" applyFont="1" applyAlignment="1">
      <alignment vertical="center"/>
    </xf>
    <xf numFmtId="0" fontId="53" fillId="0" borderId="24" xfId="0" applyFont="1" applyBorder="1" applyAlignment="1">
      <alignment horizontal="center" vertical="center" wrapText="1"/>
    </xf>
    <xf numFmtId="0" fontId="48" fillId="0" borderId="0" xfId="16" applyFont="1" applyAlignment="1">
      <alignment wrapText="1"/>
    </xf>
    <xf numFmtId="0" fontId="53" fillId="0" borderId="0" xfId="0" applyFont="1"/>
    <xf numFmtId="0" fontId="48" fillId="0" borderId="0" xfId="66" applyFont="1"/>
    <xf numFmtId="0" fontId="48" fillId="37" borderId="0" xfId="0" applyFont="1" applyFill="1"/>
    <xf numFmtId="0" fontId="53" fillId="0" borderId="0" xfId="66" applyFont="1"/>
    <xf numFmtId="0" fontId="53" fillId="0" borderId="13" xfId="66" applyFont="1" applyBorder="1" applyAlignment="1">
      <alignment horizontal="center"/>
    </xf>
    <xf numFmtId="0" fontId="48" fillId="0" borderId="6" xfId="0" applyFont="1" applyBorder="1"/>
    <xf numFmtId="0" fontId="48" fillId="0" borderId="2" xfId="0" applyFont="1" applyBorder="1"/>
    <xf numFmtId="0" fontId="48" fillId="0" borderId="7" xfId="0" applyFont="1" applyBorder="1"/>
    <xf numFmtId="3" fontId="48" fillId="0" borderId="0" xfId="77" applyNumberFormat="1" applyFont="1"/>
    <xf numFmtId="0" fontId="48" fillId="0" borderId="0" xfId="76" applyFont="1"/>
    <xf numFmtId="0" fontId="51" fillId="0" borderId="0" xfId="0" applyFont="1" applyAlignment="1">
      <alignment horizontal="center"/>
    </xf>
    <xf numFmtId="0" fontId="51" fillId="0" borderId="0" xfId="0" applyFont="1" applyAlignment="1">
      <alignment horizontal="center" wrapText="1"/>
    </xf>
    <xf numFmtId="49" fontId="56" fillId="0" borderId="0" xfId="26" applyNumberFormat="1" applyFont="1" applyAlignment="1">
      <alignment wrapText="1"/>
    </xf>
    <xf numFmtId="0" fontId="48" fillId="0" borderId="0" xfId="66" applyFont="1" applyAlignment="1">
      <alignment horizontal="center" wrapText="1"/>
    </xf>
    <xf numFmtId="0" fontId="57" fillId="0" borderId="0" xfId="66" applyFont="1" applyAlignment="1">
      <alignment horizontal="center"/>
    </xf>
    <xf numFmtId="0" fontId="51" fillId="0" borderId="0" xfId="66" applyFont="1" applyAlignment="1">
      <alignment horizontal="center" wrapText="1"/>
    </xf>
    <xf numFmtId="39" fontId="51" fillId="0" borderId="3" xfId="0" applyNumberFormat="1" applyFont="1" applyBorder="1" applyAlignment="1">
      <alignment horizontal="center" wrapText="1"/>
    </xf>
    <xf numFmtId="0" fontId="51" fillId="0" borderId="6" xfId="0" applyFont="1" applyBorder="1" applyAlignment="1">
      <alignment horizontal="center" wrapText="1"/>
    </xf>
    <xf numFmtId="0" fontId="48" fillId="0" borderId="2" xfId="0" applyFont="1" applyBorder="1" applyAlignment="1">
      <alignment horizontal="center"/>
    </xf>
    <xf numFmtId="0" fontId="51" fillId="37" borderId="2" xfId="0" applyFont="1" applyFill="1" applyBorder="1" applyAlignment="1">
      <alignment horizontal="center" wrapText="1"/>
    </xf>
    <xf numFmtId="0" fontId="49" fillId="0" borderId="7" xfId="85" applyFont="1" applyBorder="1"/>
    <xf numFmtId="0" fontId="48" fillId="0" borderId="0" xfId="77" applyFont="1"/>
    <xf numFmtId="0" fontId="48" fillId="35" borderId="0" xfId="66" applyFont="1" applyFill="1" applyAlignment="1">
      <alignment horizontal="center"/>
    </xf>
    <xf numFmtId="172" fontId="48" fillId="41" borderId="0" xfId="0" quotePrefix="1" applyNumberFormat="1" applyFont="1" applyFill="1" applyAlignment="1">
      <alignment horizontal="center"/>
    </xf>
    <xf numFmtId="0" fontId="48" fillId="35" borderId="0" xfId="66" applyFont="1" applyFill="1"/>
    <xf numFmtId="38" fontId="48" fillId="0" borderId="0" xfId="66" applyNumberFormat="1" applyFont="1"/>
    <xf numFmtId="38" fontId="48" fillId="0" borderId="0" xfId="76" applyNumberFormat="1" applyFont="1"/>
    <xf numFmtId="4" fontId="48" fillId="0" borderId="0" xfId="76" applyNumberFormat="1" applyFont="1"/>
    <xf numFmtId="4" fontId="48" fillId="35" borderId="0" xfId="76" applyNumberFormat="1" applyFont="1" applyFill="1"/>
    <xf numFmtId="4" fontId="48" fillId="41" borderId="0" xfId="0" applyNumberFormat="1" applyFont="1" applyFill="1"/>
    <xf numFmtId="0" fontId="49" fillId="0" borderId="0" xfId="85" applyFont="1"/>
    <xf numFmtId="0" fontId="48" fillId="0" borderId="0" xfId="67" applyFont="1"/>
    <xf numFmtId="0" fontId="48" fillId="0" borderId="0" xfId="66" applyFont="1" applyAlignment="1">
      <alignment horizontal="center"/>
    </xf>
    <xf numFmtId="172" fontId="48" fillId="0" borderId="0" xfId="76" applyNumberFormat="1" applyFont="1"/>
    <xf numFmtId="3" fontId="48" fillId="0" borderId="0" xfId="76" applyNumberFormat="1" applyFont="1"/>
    <xf numFmtId="43" fontId="48" fillId="0" borderId="0" xfId="76" applyNumberFormat="1" applyFont="1"/>
    <xf numFmtId="4" fontId="51" fillId="0" borderId="0" xfId="0" applyNumberFormat="1" applyFont="1" applyAlignment="1">
      <alignment wrapText="1"/>
    </xf>
    <xf numFmtId="172" fontId="48" fillId="0" borderId="0" xfId="67" quotePrefix="1" applyNumberFormat="1" applyFont="1"/>
    <xf numFmtId="4" fontId="48" fillId="32" borderId="0" xfId="0" applyNumberFormat="1" applyFont="1" applyFill="1"/>
    <xf numFmtId="38" fontId="48" fillId="4" borderId="0" xfId="76" applyNumberFormat="1" applyFont="1" applyFill="1"/>
    <xf numFmtId="2" fontId="49" fillId="0" borderId="0" xfId="85" applyNumberFormat="1" applyFont="1"/>
    <xf numFmtId="0" fontId="59" fillId="0" borderId="0" xfId="67" applyFont="1" applyAlignment="1">
      <alignment horizontal="left" vertical="top"/>
    </xf>
    <xf numFmtId="0" fontId="48" fillId="0" borderId="0" xfId="26" applyFont="1"/>
    <xf numFmtId="0" fontId="60" fillId="46" borderId="0" xfId="68" applyFont="1" applyFill="1" applyAlignment="1">
      <alignment horizontal="left"/>
    </xf>
    <xf numFmtId="4" fontId="49" fillId="0" borderId="0" xfId="85" applyNumberFormat="1" applyFont="1"/>
    <xf numFmtId="2" fontId="59" fillId="0" borderId="0" xfId="85" applyNumberFormat="1" applyFont="1"/>
    <xf numFmtId="0" fontId="59" fillId="0" borderId="0" xfId="85" applyFont="1"/>
    <xf numFmtId="2" fontId="61" fillId="0" borderId="0" xfId="85" applyNumberFormat="1" applyFont="1"/>
    <xf numFmtId="0" fontId="61" fillId="0" borderId="0" xfId="85" applyFont="1"/>
    <xf numFmtId="4" fontId="48" fillId="0" borderId="0" xfId="26" applyNumberFormat="1" applyFont="1"/>
    <xf numFmtId="38" fontId="48" fillId="4" borderId="0" xfId="16" applyNumberFormat="1" applyFont="1" applyFill="1"/>
    <xf numFmtId="0" fontId="60" fillId="46" borderId="0" xfId="66" applyFont="1" applyFill="1" applyAlignment="1">
      <alignment horizontal="left"/>
    </xf>
    <xf numFmtId="172" fontId="48" fillId="35" borderId="0" xfId="76" applyNumberFormat="1" applyFont="1" applyFill="1"/>
    <xf numFmtId="0" fontId="48" fillId="35" borderId="0" xfId="66" quotePrefix="1" applyFont="1" applyFill="1"/>
    <xf numFmtId="172" fontId="48" fillId="0" borderId="0" xfId="67" applyNumberFormat="1" applyFont="1"/>
    <xf numFmtId="0" fontId="53" fillId="35" borderId="0" xfId="16" applyFont="1" applyFill="1" applyAlignment="1">
      <alignment vertical="center"/>
    </xf>
    <xf numFmtId="0" fontId="48" fillId="35" borderId="0" xfId="77" applyFont="1" applyFill="1" applyAlignment="1">
      <alignment horizontal="center"/>
    </xf>
    <xf numFmtId="0" fontId="48" fillId="0" borderId="0" xfId="77" applyFont="1" applyAlignment="1">
      <alignment horizontal="center"/>
    </xf>
    <xf numFmtId="4" fontId="48" fillId="0" borderId="0" xfId="0" applyNumberFormat="1" applyFont="1"/>
    <xf numFmtId="172" fontId="48" fillId="0" borderId="0" xfId="77" applyNumberFormat="1" applyFont="1"/>
    <xf numFmtId="4" fontId="51" fillId="0" borderId="2" xfId="76" applyNumberFormat="1" applyFont="1" applyBorder="1"/>
    <xf numFmtId="4" fontId="51" fillId="0" borderId="0" xfId="76" applyNumberFormat="1" applyFont="1"/>
    <xf numFmtId="172" fontId="48" fillId="0" borderId="0" xfId="16" applyNumberFormat="1" applyFont="1" applyAlignment="1">
      <alignment horizontal="right" vertical="center"/>
    </xf>
    <xf numFmtId="0" fontId="50" fillId="0" borderId="62" xfId="16" applyFont="1" applyBorder="1" applyAlignment="1">
      <alignment vertical="center"/>
    </xf>
    <xf numFmtId="0" fontId="50" fillId="0" borderId="0" xfId="16" applyFont="1" applyAlignment="1">
      <alignment vertical="center"/>
    </xf>
    <xf numFmtId="0" fontId="50" fillId="7" borderId="0" xfId="16" applyFont="1" applyFill="1" applyAlignment="1">
      <alignment vertical="center"/>
    </xf>
    <xf numFmtId="0" fontId="48" fillId="0" borderId="0" xfId="0" applyFont="1" applyAlignment="1">
      <alignment wrapText="1"/>
    </xf>
    <xf numFmtId="0" fontId="48" fillId="42" borderId="0" xfId="66" applyFont="1" applyFill="1"/>
    <xf numFmtId="0" fontId="49" fillId="42" borderId="0" xfId="85" applyFont="1" applyFill="1"/>
    <xf numFmtId="49" fontId="48" fillId="0" borderId="0" xfId="26" applyNumberFormat="1" applyFont="1"/>
    <xf numFmtId="14" fontId="48" fillId="42" borderId="0" xfId="66" applyNumberFormat="1" applyFont="1" applyFill="1"/>
    <xf numFmtId="14" fontId="49" fillId="42" borderId="0" xfId="85" applyNumberFormat="1" applyFont="1" applyFill="1"/>
    <xf numFmtId="38" fontId="48" fillId="0" borderId="0" xfId="0" applyNumberFormat="1" applyFont="1"/>
    <xf numFmtId="40" fontId="48" fillId="0" borderId="0" xfId="76" applyNumberFormat="1" applyFont="1"/>
    <xf numFmtId="0" fontId="62" fillId="0" borderId="62" xfId="85" applyFont="1" applyBorder="1"/>
    <xf numFmtId="3" fontId="48" fillId="0" borderId="0" xfId="0" applyNumberFormat="1" applyFont="1"/>
    <xf numFmtId="0" fontId="48" fillId="42" borderId="62" xfId="66" applyFont="1" applyFill="1" applyBorder="1"/>
    <xf numFmtId="4" fontId="48" fillId="32" borderId="121" xfId="76" applyNumberFormat="1" applyFont="1" applyFill="1" applyBorder="1"/>
    <xf numFmtId="0" fontId="49" fillId="0" borderId="65" xfId="85" applyFont="1" applyBorder="1"/>
    <xf numFmtId="172" fontId="48" fillId="0" borderId="0" xfId="66" applyNumberFormat="1" applyFont="1"/>
    <xf numFmtId="0" fontId="48" fillId="0" borderId="121" xfId="0" applyFont="1" applyBorder="1"/>
    <xf numFmtId="0" fontId="48" fillId="0" borderId="113" xfId="0" applyFont="1" applyBorder="1"/>
    <xf numFmtId="0" fontId="48" fillId="0" borderId="84" xfId="0" applyFont="1" applyBorder="1"/>
    <xf numFmtId="0" fontId="48" fillId="0" borderId="0" xfId="0" quotePrefix="1" applyFont="1" applyAlignment="1">
      <alignment horizontal="center" wrapText="1"/>
    </xf>
    <xf numFmtId="0" fontId="48" fillId="0" borderId="19" xfId="0" quotePrefix="1" applyFont="1" applyBorder="1" applyAlignment="1">
      <alignment horizontal="center" wrapText="1"/>
    </xf>
    <xf numFmtId="0" fontId="63" fillId="0" borderId="0" xfId="0" applyFont="1" applyAlignment="1">
      <alignment horizontal="center" wrapText="1"/>
    </xf>
    <xf numFmtId="0" fontId="63" fillId="0" borderId="0" xfId="0" applyFont="1" applyAlignment="1">
      <alignment horizontal="center"/>
    </xf>
    <xf numFmtId="4" fontId="48" fillId="5" borderId="16" xfId="0" applyNumberFormat="1" applyFont="1" applyFill="1" applyBorder="1"/>
    <xf numFmtId="4" fontId="48" fillId="0" borderId="16" xfId="0" applyNumberFormat="1" applyFont="1" applyBorder="1" applyAlignment="1">
      <alignment horizontal="center"/>
    </xf>
    <xf numFmtId="4" fontId="48" fillId="0" borderId="17" xfId="0" applyNumberFormat="1" applyFont="1" applyBorder="1" applyAlignment="1">
      <alignment horizontal="center"/>
    </xf>
    <xf numFmtId="4" fontId="48" fillId="0" borderId="15" xfId="66" applyNumberFormat="1" applyFont="1" applyBorder="1"/>
    <xf numFmtId="0" fontId="48" fillId="0" borderId="0" xfId="76" applyFont="1" applyAlignment="1">
      <alignment horizontal="center"/>
    </xf>
    <xf numFmtId="4" fontId="48" fillId="5" borderId="0" xfId="0" applyNumberFormat="1" applyFont="1" applyFill="1"/>
    <xf numFmtId="4" fontId="48" fillId="0" borderId="0" xfId="0" applyNumberFormat="1" applyFont="1" applyAlignment="1">
      <alignment horizontal="center"/>
    </xf>
    <xf numFmtId="4" fontId="48" fillId="0" borderId="19" xfId="0" applyNumberFormat="1" applyFont="1" applyBorder="1" applyAlignment="1">
      <alignment horizontal="center"/>
    </xf>
    <xf numFmtId="4" fontId="48" fillId="0" borderId="18" xfId="66" applyNumberFormat="1" applyFont="1" applyBorder="1"/>
    <xf numFmtId="4" fontId="48" fillId="5" borderId="19" xfId="0" applyNumberFormat="1" applyFont="1" applyFill="1" applyBorder="1"/>
    <xf numFmtId="4" fontId="48" fillId="36" borderId="0" xfId="0" applyNumberFormat="1" applyFont="1" applyFill="1"/>
    <xf numFmtId="4" fontId="48" fillId="5" borderId="0" xfId="81" applyNumberFormat="1" applyFont="1" applyFill="1" applyBorder="1" applyAlignment="1">
      <alignment horizontal="right"/>
    </xf>
    <xf numFmtId="4" fontId="48" fillId="0" borderId="18" xfId="76" applyNumberFormat="1" applyFont="1" applyBorder="1"/>
    <xf numFmtId="4" fontId="48" fillId="0" borderId="3" xfId="0" applyNumberFormat="1" applyFont="1" applyBorder="1" applyAlignment="1">
      <alignment horizontal="center"/>
    </xf>
    <xf numFmtId="4" fontId="48" fillId="0" borderId="21" xfId="0" applyNumberFormat="1" applyFont="1" applyBorder="1" applyAlignment="1">
      <alignment horizontal="center"/>
    </xf>
    <xf numFmtId="4" fontId="48" fillId="0" borderId="20" xfId="66" applyNumberFormat="1" applyFont="1" applyBorder="1"/>
    <xf numFmtId="4" fontId="48" fillId="0" borderId="3" xfId="76" applyNumberFormat="1" applyFont="1" applyBorder="1"/>
    <xf numFmtId="4" fontId="48" fillId="0" borderId="23" xfId="76" applyNumberFormat="1" applyFont="1" applyBorder="1"/>
    <xf numFmtId="4" fontId="48" fillId="0" borderId="24" xfId="76" applyNumberFormat="1" applyFont="1" applyBorder="1"/>
    <xf numFmtId="4" fontId="48" fillId="0" borderId="22" xfId="76" applyNumberFormat="1" applyFont="1" applyBorder="1"/>
    <xf numFmtId="2" fontId="48" fillId="0" borderId="0" xfId="76" applyNumberFormat="1" applyFont="1"/>
    <xf numFmtId="0" fontId="48" fillId="0" borderId="0" xfId="0" applyFont="1" applyAlignment="1">
      <alignment horizontal="right"/>
    </xf>
    <xf numFmtId="37" fontId="48" fillId="0" borderId="0" xfId="0" applyNumberFormat="1" applyFont="1"/>
    <xf numFmtId="0" fontId="48" fillId="7" borderId="6" xfId="0" applyFont="1" applyFill="1" applyBorder="1" applyAlignment="1">
      <alignment horizontal="center"/>
    </xf>
    <xf numFmtId="0" fontId="48" fillId="7" borderId="7" xfId="0" applyFont="1" applyFill="1" applyBorder="1" applyAlignment="1">
      <alignment horizontal="center"/>
    </xf>
    <xf numFmtId="0" fontId="48" fillId="0" borderId="63" xfId="0" applyFont="1" applyBorder="1" applyAlignment="1">
      <alignment horizontal="center"/>
    </xf>
    <xf numFmtId="0" fontId="48" fillId="38" borderId="6" xfId="0" applyFont="1" applyFill="1" applyBorder="1" applyAlignment="1">
      <alignment horizontal="center" wrapText="1"/>
    </xf>
    <xf numFmtId="0" fontId="48" fillId="0" borderId="2" xfId="0" applyFont="1" applyBorder="1" applyAlignment="1">
      <alignment horizontal="center" wrapText="1"/>
    </xf>
    <xf numFmtId="0" fontId="48" fillId="0" borderId="7" xfId="0" applyFont="1" applyBorder="1" applyAlignment="1">
      <alignment horizontal="center" wrapText="1"/>
    </xf>
    <xf numFmtId="0" fontId="48" fillId="7" borderId="2" xfId="0" applyFont="1" applyFill="1" applyBorder="1" applyAlignment="1">
      <alignment horizontal="center" wrapText="1"/>
    </xf>
    <xf numFmtId="41" fontId="48" fillId="6" borderId="13" xfId="0" applyNumberFormat="1" applyFont="1" applyFill="1" applyBorder="1" applyAlignment="1">
      <alignment horizontal="center" wrapText="1"/>
    </xf>
    <xf numFmtId="41" fontId="48" fillId="6" borderId="0" xfId="0" applyNumberFormat="1" applyFont="1" applyFill="1" applyAlignment="1">
      <alignment horizontal="center" wrapText="1"/>
    </xf>
    <xf numFmtId="0" fontId="48" fillId="0" borderId="13" xfId="0" applyFont="1" applyBorder="1" applyAlignment="1">
      <alignment horizontal="center" vertical="top" wrapText="1"/>
    </xf>
    <xf numFmtId="0" fontId="48" fillId="38" borderId="2" xfId="0" applyFont="1" applyFill="1" applyBorder="1" applyAlignment="1">
      <alignment horizontal="center" wrapText="1"/>
    </xf>
    <xf numFmtId="0" fontId="48" fillId="7" borderId="7" xfId="0" applyFont="1" applyFill="1" applyBorder="1" applyAlignment="1">
      <alignment horizontal="center" wrapText="1"/>
    </xf>
    <xf numFmtId="49" fontId="48" fillId="0" borderId="0" xfId="0" applyNumberFormat="1" applyFont="1" applyAlignment="1">
      <alignment horizontal="center"/>
    </xf>
    <xf numFmtId="37" fontId="48" fillId="0" borderId="0" xfId="0" applyNumberFormat="1" applyFont="1" applyAlignment="1">
      <alignment horizontal="center" wrapText="1"/>
    </xf>
    <xf numFmtId="37" fontId="48" fillId="0" borderId="0" xfId="0" applyNumberFormat="1" applyFont="1" applyAlignment="1">
      <alignment horizontal="center"/>
    </xf>
    <xf numFmtId="0" fontId="48" fillId="38" borderId="0" xfId="0" applyFont="1" applyFill="1" applyAlignment="1">
      <alignment horizontal="center"/>
    </xf>
    <xf numFmtId="0" fontId="48" fillId="7" borderId="0" xfId="0" applyFont="1" applyFill="1" applyAlignment="1">
      <alignment horizontal="center"/>
    </xf>
    <xf numFmtId="0" fontId="48" fillId="33" borderId="0" xfId="0" applyFont="1" applyFill="1" applyAlignment="1">
      <alignment horizontal="center"/>
    </xf>
    <xf numFmtId="0" fontId="48" fillId="37" borderId="0" xfId="0" applyFont="1" applyFill="1" applyAlignment="1">
      <alignment horizontal="center"/>
    </xf>
    <xf numFmtId="172" fontId="48" fillId="0" borderId="0" xfId="67" applyNumberFormat="1" applyFont="1" applyAlignment="1">
      <alignment horizontal="center" vertical="center"/>
    </xf>
    <xf numFmtId="37" fontId="48" fillId="0" borderId="0" xfId="0" applyNumberFormat="1" applyFont="1" applyAlignment="1">
      <alignment vertical="center"/>
    </xf>
    <xf numFmtId="41" fontId="48" fillId="0" borderId="0" xfId="0" applyNumberFormat="1" applyFont="1" applyAlignment="1">
      <alignment vertical="center"/>
    </xf>
    <xf numFmtId="172" fontId="48" fillId="0" borderId="0" xfId="0" applyNumberFormat="1" applyFont="1" applyAlignment="1">
      <alignment vertical="center"/>
    </xf>
    <xf numFmtId="0" fontId="50" fillId="0" borderId="82" xfId="16" applyFont="1" applyBorder="1" applyAlignment="1">
      <alignment vertical="center" wrapText="1"/>
    </xf>
    <xf numFmtId="0" fontId="50" fillId="0" borderId="24" xfId="16" applyFont="1" applyBorder="1" applyAlignment="1">
      <alignment horizontal="center" vertical="center" wrapText="1"/>
    </xf>
    <xf numFmtId="0" fontId="53" fillId="0" borderId="24" xfId="0" applyFont="1" applyBorder="1" applyAlignment="1">
      <alignment vertical="center" wrapText="1"/>
    </xf>
    <xf numFmtId="3" fontId="48" fillId="0" borderId="0" xfId="0" applyNumberFormat="1" applyFont="1" applyAlignment="1">
      <alignment horizontal="center" vertical="center"/>
    </xf>
    <xf numFmtId="0" fontId="52" fillId="0" borderId="0" xfId="82" applyFont="1" applyAlignment="1">
      <alignment vertical="center"/>
    </xf>
    <xf numFmtId="0" fontId="48" fillId="0" borderId="0" xfId="16" applyFont="1" applyAlignment="1">
      <alignment vertical="center" wrapText="1"/>
    </xf>
    <xf numFmtId="0" fontId="53" fillId="0" borderId="24" xfId="16" applyFont="1" applyBorder="1" applyAlignment="1">
      <alignment vertical="top" wrapText="1"/>
    </xf>
    <xf numFmtId="0" fontId="53" fillId="0" borderId="82" xfId="16" applyFont="1" applyBorder="1" applyAlignment="1">
      <alignment vertical="top" wrapText="1"/>
    </xf>
    <xf numFmtId="0" fontId="53" fillId="0" borderId="24" xfId="16" applyFont="1" applyBorder="1" applyAlignment="1">
      <alignment horizontal="center" vertical="top" wrapText="1"/>
    </xf>
    <xf numFmtId="0" fontId="48" fillId="0" borderId="0" xfId="16" applyFont="1" applyAlignment="1">
      <alignment horizontal="right"/>
    </xf>
    <xf numFmtId="0" fontId="50" fillId="0" borderId="0" xfId="16" applyFont="1" applyAlignment="1">
      <alignment horizontal="center"/>
    </xf>
    <xf numFmtId="0" fontId="50" fillId="0" borderId="12" xfId="16" applyFont="1" applyBorder="1" applyAlignment="1">
      <alignment horizontal="center" vertical="top" wrapText="1"/>
    </xf>
    <xf numFmtId="0" fontId="48" fillId="0" borderId="12" xfId="16" applyFont="1" applyBorder="1" applyAlignment="1">
      <alignment horizontal="right"/>
    </xf>
    <xf numFmtId="0" fontId="51" fillId="0" borderId="12" xfId="16" applyFont="1" applyBorder="1" applyAlignment="1">
      <alignment horizontal="center" vertical="top" wrapText="1"/>
    </xf>
    <xf numFmtId="0" fontId="50" fillId="0" borderId="14" xfId="16" applyFont="1" applyBorder="1" applyAlignment="1">
      <alignment horizontal="center" vertical="top" wrapText="1"/>
    </xf>
    <xf numFmtId="0" fontId="48" fillId="0" borderId="14" xfId="16" applyFont="1" applyBorder="1" applyAlignment="1">
      <alignment horizontal="center" wrapText="1"/>
    </xf>
    <xf numFmtId="0" fontId="51" fillId="7" borderId="0" xfId="16" applyFont="1" applyFill="1" applyAlignment="1">
      <alignment horizontal="center" vertical="top" wrapText="1"/>
    </xf>
    <xf numFmtId="0" fontId="53" fillId="5" borderId="0" xfId="16" applyFont="1" applyFill="1" applyAlignment="1">
      <alignment horizontal="center" vertical="top" wrapText="1"/>
    </xf>
    <xf numFmtId="0" fontId="53" fillId="5" borderId="0" xfId="16" applyFont="1" applyFill="1" applyAlignment="1">
      <alignment vertical="top" wrapText="1"/>
    </xf>
    <xf numFmtId="0" fontId="51" fillId="5" borderId="0" xfId="16" applyFont="1" applyFill="1" applyAlignment="1">
      <alignment horizontal="center" vertical="top" wrapText="1"/>
    </xf>
    <xf numFmtId="172" fontId="48" fillId="0" borderId="0" xfId="16" applyNumberFormat="1" applyFont="1" applyAlignment="1">
      <alignment horizontal="right"/>
    </xf>
    <xf numFmtId="44" fontId="48" fillId="7" borderId="0" xfId="16" applyNumberFormat="1" applyFont="1" applyFill="1"/>
    <xf numFmtId="42" fontId="48" fillId="7" borderId="0" xfId="16" applyNumberFormat="1" applyFont="1" applyFill="1"/>
    <xf numFmtId="37" fontId="48" fillId="0" borderId="0" xfId="16" applyNumberFormat="1" applyFont="1"/>
    <xf numFmtId="42" fontId="53" fillId="0" borderId="0" xfId="16" applyNumberFormat="1" applyFont="1" applyAlignment="1">
      <alignment horizontal="center" vertical="top" wrapText="1"/>
    </xf>
    <xf numFmtId="42" fontId="48" fillId="0" borderId="0" xfId="0" applyNumberFormat="1" applyFont="1"/>
    <xf numFmtId="0" fontId="53" fillId="7" borderId="0" xfId="16" applyFont="1" applyFill="1" applyAlignment="1">
      <alignment vertical="top" wrapText="1"/>
    </xf>
    <xf numFmtId="0" fontId="53" fillId="32" borderId="0" xfId="16" applyFont="1" applyFill="1" applyAlignment="1">
      <alignment vertical="top" wrapText="1"/>
    </xf>
    <xf numFmtId="42" fontId="48" fillId="0" borderId="0" xfId="16" applyNumberFormat="1" applyFont="1" applyAlignment="1">
      <alignment horizontal="center"/>
    </xf>
    <xf numFmtId="0" fontId="50" fillId="7" borderId="0" xfId="16" applyFont="1" applyFill="1" applyAlignment="1">
      <alignment vertical="top" wrapText="1"/>
    </xf>
    <xf numFmtId="172" fontId="51" fillId="0" borderId="0" xfId="16" applyNumberFormat="1" applyFont="1" applyAlignment="1">
      <alignment horizontal="right"/>
    </xf>
    <xf numFmtId="172" fontId="48" fillId="4" borderId="0" xfId="16" applyNumberFormat="1" applyFont="1" applyFill="1" applyAlignment="1">
      <alignment horizontal="right"/>
    </xf>
    <xf numFmtId="42" fontId="48" fillId="0" borderId="12" xfId="16" applyNumberFormat="1" applyFont="1" applyBorder="1" applyAlignment="1">
      <alignment vertical="center"/>
    </xf>
    <xf numFmtId="42" fontId="48" fillId="0" borderId="44" xfId="16" applyNumberFormat="1" applyFont="1" applyBorder="1" applyAlignment="1">
      <alignment vertical="center"/>
    </xf>
    <xf numFmtId="42" fontId="48" fillId="0" borderId="0" xfId="16" applyNumberFormat="1" applyFont="1"/>
    <xf numFmtId="42" fontId="48" fillId="0" borderId="14" xfId="16" applyNumberFormat="1" applyFont="1" applyBorder="1" applyAlignment="1">
      <alignment vertical="center"/>
    </xf>
    <xf numFmtId="42" fontId="48" fillId="0" borderId="0" xfId="16" applyNumberFormat="1" applyFont="1" applyAlignment="1">
      <alignment vertical="center"/>
    </xf>
    <xf numFmtId="42" fontId="48" fillId="0" borderId="0" xfId="16" applyNumberFormat="1" applyFont="1" applyAlignment="1">
      <alignment horizontal="center" vertical="top" wrapText="1"/>
    </xf>
    <xf numFmtId="42" fontId="53" fillId="5" borderId="0" xfId="16" applyNumberFormat="1" applyFont="1" applyFill="1" applyAlignment="1">
      <alignment horizontal="center" vertical="top" wrapText="1"/>
    </xf>
    <xf numFmtId="0" fontId="50" fillId="0" borderId="0" xfId="16" applyFont="1" applyAlignment="1">
      <alignment vertical="center" wrapText="1"/>
    </xf>
    <xf numFmtId="172" fontId="51" fillId="4" borderId="0" xfId="16" applyNumberFormat="1" applyFont="1" applyFill="1" applyAlignment="1">
      <alignment horizontal="right" vertical="center"/>
    </xf>
    <xf numFmtId="0" fontId="50" fillId="0" borderId="0" xfId="16" applyFont="1" applyAlignment="1">
      <alignment horizontal="center" vertical="center" wrapText="1"/>
    </xf>
    <xf numFmtId="42" fontId="48" fillId="0" borderId="0" xfId="16" applyNumberFormat="1" applyFont="1" applyAlignment="1">
      <alignment horizontal="center" vertical="center"/>
    </xf>
    <xf numFmtId="38" fontId="48" fillId="4" borderId="0" xfId="16" applyNumberFormat="1" applyFont="1" applyFill="1" applyAlignment="1">
      <alignment vertical="center"/>
    </xf>
    <xf numFmtId="0" fontId="53" fillId="0" borderId="0" xfId="16" applyFont="1" applyAlignment="1">
      <alignment vertical="top"/>
    </xf>
    <xf numFmtId="0" fontId="48" fillId="0" borderId="63" xfId="16" applyFont="1" applyBorder="1"/>
    <xf numFmtId="0" fontId="50" fillId="0" borderId="63" xfId="16" applyFont="1" applyBorder="1" applyAlignment="1">
      <alignment vertical="top" wrapText="1"/>
    </xf>
    <xf numFmtId="172" fontId="48" fillId="0" borderId="64" xfId="16" applyNumberFormat="1" applyFont="1" applyBorder="1" applyAlignment="1">
      <alignment horizontal="right"/>
    </xf>
    <xf numFmtId="0" fontId="50" fillId="0" borderId="64" xfId="16" applyFont="1" applyBorder="1" applyAlignment="1">
      <alignment horizontal="center" vertical="top" wrapText="1"/>
    </xf>
    <xf numFmtId="0" fontId="50" fillId="0" borderId="64" xfId="16" applyFont="1" applyBorder="1" applyAlignment="1">
      <alignment vertical="top" wrapText="1"/>
    </xf>
    <xf numFmtId="37" fontId="51" fillId="0" borderId="64" xfId="16" applyNumberFormat="1" applyFont="1" applyBorder="1" applyAlignment="1">
      <alignment horizontal="center"/>
    </xf>
    <xf numFmtId="0" fontId="51" fillId="0" borderId="52" xfId="16" applyFont="1" applyBorder="1" applyAlignment="1">
      <alignment horizontal="center"/>
    </xf>
    <xf numFmtId="42" fontId="51" fillId="7" borderId="64" xfId="16" applyNumberFormat="1" applyFont="1" applyFill="1" applyBorder="1" applyAlignment="1">
      <alignment horizontal="center"/>
    </xf>
    <xf numFmtId="0" fontId="48" fillId="0" borderId="65" xfId="16" applyFont="1" applyBorder="1"/>
    <xf numFmtId="0" fontId="50" fillId="0" borderId="62" xfId="16" applyFont="1" applyBorder="1" applyAlignment="1">
      <alignment vertical="top" wrapText="1"/>
    </xf>
    <xf numFmtId="0" fontId="51" fillId="0" borderId="41" xfId="16" applyFont="1" applyBorder="1" applyAlignment="1">
      <alignment horizontal="center"/>
    </xf>
    <xf numFmtId="42" fontId="48" fillId="7" borderId="3" xfId="16" applyNumberFormat="1" applyFont="1" applyFill="1" applyBorder="1"/>
    <xf numFmtId="0" fontId="50" fillId="7" borderId="62" xfId="16" applyFont="1" applyFill="1" applyBorder="1" applyAlignment="1">
      <alignment vertical="top" wrapText="1"/>
    </xf>
    <xf numFmtId="0" fontId="50" fillId="7" borderId="62" xfId="16" applyFont="1" applyFill="1" applyBorder="1" applyAlignment="1">
      <alignment vertical="center" wrapText="1"/>
    </xf>
    <xf numFmtId="42" fontId="53" fillId="0" borderId="0" xfId="16" applyNumberFormat="1" applyFont="1" applyAlignment="1">
      <alignment horizontal="center" vertical="center" wrapText="1"/>
    </xf>
    <xf numFmtId="0" fontId="51" fillId="0" borderId="41" xfId="16" applyFont="1" applyBorder="1" applyAlignment="1">
      <alignment horizontal="center" vertical="center"/>
    </xf>
    <xf numFmtId="42" fontId="48" fillId="7" borderId="0" xfId="16" applyNumberFormat="1" applyFont="1" applyFill="1" applyAlignment="1">
      <alignment vertical="center"/>
    </xf>
    <xf numFmtId="0" fontId="50" fillId="0" borderId="62" xfId="16" applyFont="1" applyBorder="1" applyAlignment="1">
      <alignment vertical="center" wrapText="1"/>
    </xf>
    <xf numFmtId="0" fontId="50" fillId="0" borderId="65" xfId="16" applyFont="1" applyBorder="1" applyAlignment="1">
      <alignment vertical="top" wrapText="1"/>
    </xf>
    <xf numFmtId="172" fontId="48" fillId="0" borderId="3" xfId="16" applyNumberFormat="1" applyFont="1" applyBorder="1" applyAlignment="1">
      <alignment horizontal="right"/>
    </xf>
    <xf numFmtId="0" fontId="50" fillId="0" borderId="3" xfId="16" applyFont="1" applyBorder="1" applyAlignment="1">
      <alignment horizontal="center" vertical="top" wrapText="1"/>
    </xf>
    <xf numFmtId="0" fontId="50" fillId="0" borderId="3" xfId="16" applyFont="1" applyBorder="1" applyAlignment="1">
      <alignment vertical="top" wrapText="1"/>
    </xf>
    <xf numFmtId="42" fontId="53" fillId="0" borderId="3" xfId="16" applyNumberFormat="1" applyFont="1" applyBorder="1" applyAlignment="1">
      <alignment horizontal="center" vertical="top" wrapText="1"/>
    </xf>
    <xf numFmtId="0" fontId="51" fillId="0" borderId="48" xfId="16" applyFont="1" applyBorder="1" applyAlignment="1">
      <alignment horizontal="center"/>
    </xf>
    <xf numFmtId="0" fontId="48" fillId="0" borderId="3" xfId="16" applyFont="1" applyBorder="1" applyAlignment="1">
      <alignment wrapText="1"/>
    </xf>
    <xf numFmtId="0" fontId="48" fillId="0" borderId="3" xfId="16" applyFont="1" applyBorder="1" applyAlignment="1">
      <alignment horizontal="right"/>
    </xf>
    <xf numFmtId="0" fontId="48" fillId="0" borderId="3" xfId="16" applyFont="1" applyBorder="1"/>
    <xf numFmtId="42" fontId="48" fillId="0" borderId="3" xfId="16" applyNumberFormat="1" applyFont="1" applyBorder="1"/>
    <xf numFmtId="42" fontId="48" fillId="0" borderId="5" xfId="16" applyNumberFormat="1" applyFont="1" applyBorder="1"/>
    <xf numFmtId="14" fontId="48" fillId="0" borderId="0" xfId="16" applyNumberFormat="1" applyFont="1"/>
    <xf numFmtId="0" fontId="50" fillId="0" borderId="62" xfId="16" applyFont="1" applyBorder="1" applyAlignment="1">
      <alignment vertical="top"/>
    </xf>
    <xf numFmtId="37" fontId="51" fillId="0" borderId="3" xfId="16" applyNumberFormat="1" applyFont="1" applyBorder="1" applyAlignment="1">
      <alignment horizontal="center"/>
    </xf>
    <xf numFmtId="42" fontId="51" fillId="7" borderId="3" xfId="16" applyNumberFormat="1" applyFont="1" applyFill="1" applyBorder="1" applyAlignment="1">
      <alignment horizontal="center"/>
    </xf>
    <xf numFmtId="164" fontId="54" fillId="0" borderId="83" xfId="83" applyNumberFormat="1" applyFont="1" applyFill="1" applyBorder="1" applyAlignment="1" applyProtection="1">
      <alignment horizontal="center"/>
    </xf>
    <xf numFmtId="38" fontId="64" fillId="4" borderId="0" xfId="1" applyNumberFormat="1" applyFont="1" applyFill="1" applyAlignment="1" applyProtection="1"/>
    <xf numFmtId="15" fontId="48" fillId="0" borderId="0" xfId="16" applyNumberFormat="1" applyFont="1"/>
    <xf numFmtId="0" fontId="48" fillId="4" borderId="0" xfId="16" applyFont="1" applyFill="1" applyAlignment="1">
      <alignment horizontal="center"/>
    </xf>
    <xf numFmtId="0" fontId="48" fillId="0" borderId="3" xfId="16" applyFont="1" applyBorder="1" applyAlignment="1">
      <alignment horizontal="center" wrapText="1"/>
    </xf>
    <xf numFmtId="0" fontId="51" fillId="0" borderId="3" xfId="16" applyFont="1" applyBorder="1" applyAlignment="1">
      <alignment horizontal="center" wrapText="1"/>
    </xf>
    <xf numFmtId="0" fontId="51" fillId="0" borderId="23" xfId="16" quotePrefix="1" applyFont="1" applyBorder="1" applyAlignment="1">
      <alignment horizontal="center" wrapText="1"/>
    </xf>
    <xf numFmtId="0" fontId="65" fillId="0" borderId="3" xfId="16" quotePrefix="1" applyFont="1" applyBorder="1" applyAlignment="1">
      <alignment horizontal="center" wrapText="1"/>
    </xf>
    <xf numFmtId="0" fontId="51" fillId="0" borderId="0" xfId="16" applyFont="1" applyAlignment="1">
      <alignment horizontal="center" wrapText="1"/>
    </xf>
    <xf numFmtId="0" fontId="51" fillId="7" borderId="0" xfId="67" applyFont="1" applyFill="1" applyAlignment="1">
      <alignment horizontal="center"/>
    </xf>
    <xf numFmtId="0" fontId="48" fillId="0" borderId="0" xfId="16" applyFont="1" applyAlignment="1">
      <alignment horizontal="center" wrapText="1"/>
    </xf>
    <xf numFmtId="0" fontId="48" fillId="0" borderId="0" xfId="88" quotePrefix="1" applyFont="1" applyAlignment="1">
      <alignment horizontal="center" wrapText="1"/>
    </xf>
    <xf numFmtId="0" fontId="48" fillId="0" borderId="0" xfId="16" quotePrefix="1" applyFont="1" applyAlignment="1">
      <alignment horizontal="center" wrapText="1"/>
    </xf>
    <xf numFmtId="0" fontId="48" fillId="0" borderId="143" xfId="88" quotePrefix="1" applyFont="1" applyBorder="1" applyAlignment="1">
      <alignment horizontal="center" wrapText="1"/>
    </xf>
    <xf numFmtId="0" fontId="48" fillId="0" borderId="64" xfId="88" quotePrefix="1" applyFont="1" applyBorder="1" applyAlignment="1">
      <alignment horizontal="center" wrapText="1"/>
    </xf>
    <xf numFmtId="0" fontId="48" fillId="0" borderId="144" xfId="88" quotePrefix="1" applyFont="1" applyBorder="1" applyAlignment="1">
      <alignment horizontal="center" wrapText="1"/>
    </xf>
    <xf numFmtId="2" fontId="48" fillId="0" borderId="0" xfId="88" quotePrefix="1" applyNumberFormat="1" applyFont="1" applyAlignment="1">
      <alignment horizontal="center" wrapText="1"/>
    </xf>
    <xf numFmtId="172" fontId="48" fillId="4" borderId="0" xfId="16" applyNumberFormat="1" applyFont="1" applyFill="1" applyAlignment="1">
      <alignment horizontal="center"/>
    </xf>
    <xf numFmtId="49" fontId="48" fillId="0" borderId="0" xfId="16" applyNumberFormat="1" applyFont="1" applyAlignment="1">
      <alignment horizontal="center"/>
    </xf>
    <xf numFmtId="41" fontId="48" fillId="2" borderId="18" xfId="1" applyNumberFormat="1" applyFont="1" applyFill="1" applyBorder="1"/>
    <xf numFmtId="41" fontId="48" fillId="2" borderId="0" xfId="1" applyNumberFormat="1" applyFont="1" applyFill="1" applyBorder="1"/>
    <xf numFmtId="171" fontId="48" fillId="0" borderId="18" xfId="1" applyNumberFormat="1" applyFont="1" applyFill="1" applyBorder="1"/>
    <xf numFmtId="171" fontId="48" fillId="0" borderId="19" xfId="1" applyNumberFormat="1" applyFont="1" applyFill="1" applyBorder="1"/>
    <xf numFmtId="2" fontId="48" fillId="0" borderId="0" xfId="0" quotePrefix="1" applyNumberFormat="1" applyFont="1" applyAlignment="1">
      <alignment horizontal="center" wrapText="1"/>
    </xf>
    <xf numFmtId="43" fontId="48" fillId="7" borderId="0" xfId="1" applyFont="1" applyFill="1"/>
    <xf numFmtId="171" fontId="48" fillId="7" borderId="0" xfId="1" applyNumberFormat="1" applyFont="1" applyFill="1"/>
    <xf numFmtId="171" fontId="48" fillId="7" borderId="0" xfId="1" applyNumberFormat="1" applyFont="1" applyFill="1" applyBorder="1"/>
    <xf numFmtId="0" fontId="48" fillId="0" borderId="5" xfId="16" applyFont="1" applyBorder="1" applyAlignment="1">
      <alignment horizontal="center"/>
    </xf>
    <xf numFmtId="0" fontId="51" fillId="0" borderId="5" xfId="16" applyFont="1" applyBorder="1"/>
    <xf numFmtId="172" fontId="48" fillId="0" borderId="5" xfId="16" applyNumberFormat="1" applyFont="1" applyBorder="1" applyAlignment="1">
      <alignment horizontal="center"/>
    </xf>
    <xf numFmtId="41" fontId="48" fillId="2" borderId="124" xfId="1" applyNumberFormat="1" applyFont="1" applyFill="1" applyBorder="1"/>
    <xf numFmtId="41" fontId="48" fillId="2" borderId="125" xfId="1" applyNumberFormat="1" applyFont="1" applyFill="1" applyBorder="1"/>
    <xf numFmtId="171" fontId="48" fillId="0" borderId="124" xfId="1" applyNumberFormat="1" applyFont="1" applyFill="1" applyBorder="1"/>
    <xf numFmtId="171" fontId="48" fillId="0" borderId="126" xfId="1" applyNumberFormat="1" applyFont="1" applyFill="1" applyBorder="1"/>
    <xf numFmtId="43" fontId="51" fillId="0" borderId="0" xfId="16" applyNumberFormat="1" applyFont="1"/>
    <xf numFmtId="43" fontId="48" fillId="4" borderId="0" xfId="1" applyFont="1" applyFill="1"/>
    <xf numFmtId="0" fontId="48" fillId="0" borderId="13" xfId="16" applyFont="1" applyBorder="1" applyAlignment="1">
      <alignment wrapText="1"/>
    </xf>
    <xf numFmtId="0" fontId="48" fillId="4" borderId="13" xfId="16" applyFont="1" applyFill="1" applyBorder="1" applyAlignment="1">
      <alignment wrapText="1"/>
    </xf>
    <xf numFmtId="0" fontId="48" fillId="0" borderId="13" xfId="16" applyFont="1" applyBorder="1" applyAlignment="1">
      <alignment horizontal="center"/>
    </xf>
    <xf numFmtId="0" fontId="51" fillId="0" borderId="0" xfId="61" applyFont="1" applyAlignment="1">
      <alignment wrapText="1"/>
    </xf>
    <xf numFmtId="0" fontId="48" fillId="40" borderId="13" xfId="61" applyFont="1" applyFill="1" applyBorder="1" applyAlignment="1">
      <alignment wrapText="1"/>
    </xf>
    <xf numFmtId="0" fontId="48" fillId="0" borderId="0" xfId="61" applyFont="1" applyAlignment="1">
      <alignment wrapText="1"/>
    </xf>
    <xf numFmtId="0" fontId="48" fillId="40" borderId="13" xfId="16" applyFont="1" applyFill="1" applyBorder="1" applyAlignment="1">
      <alignment wrapText="1"/>
    </xf>
    <xf numFmtId="0" fontId="48" fillId="4" borderId="0" xfId="16" applyFont="1" applyFill="1" applyAlignment="1">
      <alignment horizontal="left"/>
    </xf>
    <xf numFmtId="0" fontId="48" fillId="32" borderId="0" xfId="16" applyFont="1" applyFill="1" applyAlignment="1">
      <alignment horizontal="center"/>
    </xf>
    <xf numFmtId="42" fontId="51" fillId="2" borderId="5" xfId="1" applyNumberFormat="1" applyFont="1" applyFill="1" applyBorder="1"/>
    <xf numFmtId="173" fontId="51" fillId="2" borderId="5" xfId="1" applyNumberFormat="1" applyFont="1" applyFill="1" applyBorder="1"/>
    <xf numFmtId="173" fontId="48" fillId="4" borderId="0" xfId="16" applyNumberFormat="1" applyFont="1" applyFill="1"/>
    <xf numFmtId="43" fontId="48" fillId="4" borderId="0" xfId="16" applyNumberFormat="1" applyFont="1" applyFill="1"/>
    <xf numFmtId="41" fontId="51" fillId="4" borderId="0" xfId="16" applyNumberFormat="1" applyFont="1" applyFill="1"/>
    <xf numFmtId="171" fontId="51" fillId="4" borderId="0" xfId="16" applyNumberFormat="1" applyFont="1" applyFill="1"/>
    <xf numFmtId="2" fontId="48" fillId="4" borderId="0" xfId="16" applyNumberFormat="1" applyFont="1" applyFill="1"/>
    <xf numFmtId="41" fontId="48" fillId="4" borderId="0" xfId="16" applyNumberFormat="1" applyFont="1" applyFill="1"/>
    <xf numFmtId="14" fontId="48" fillId="4" borderId="0" xfId="16" applyNumberFormat="1" applyFont="1" applyFill="1"/>
    <xf numFmtId="0" fontId="48" fillId="2" borderId="0" xfId="16" applyFont="1" applyFill="1"/>
    <xf numFmtId="0" fontId="48" fillId="2" borderId="0" xfId="16" applyFont="1" applyFill="1" applyAlignment="1">
      <alignment horizontal="center"/>
    </xf>
    <xf numFmtId="0" fontId="65" fillId="0" borderId="0" xfId="16" quotePrefix="1" applyFont="1" applyAlignment="1">
      <alignment horizontal="center" wrapText="1"/>
    </xf>
    <xf numFmtId="0" fontId="53" fillId="0" borderId="0" xfId="16" applyFont="1" applyAlignment="1">
      <alignment horizontal="left"/>
    </xf>
    <xf numFmtId="0" fontId="53" fillId="0" borderId="0" xfId="16" applyFont="1" applyAlignment="1">
      <alignment horizontal="center"/>
    </xf>
    <xf numFmtId="0" fontId="53" fillId="0" borderId="0" xfId="16" applyFont="1" applyAlignment="1">
      <alignment vertical="center"/>
    </xf>
    <xf numFmtId="0" fontId="50" fillId="0" borderId="15" xfId="16" applyFont="1" applyBorder="1" applyAlignment="1">
      <alignment horizontal="center" wrapText="1"/>
    </xf>
    <xf numFmtId="0" fontId="50" fillId="0" borderId="16" xfId="16" applyFont="1" applyBorder="1" applyAlignment="1">
      <alignment horizontal="center" wrapText="1"/>
    </xf>
    <xf numFmtId="0" fontId="50" fillId="0" borderId="17" xfId="16" applyFont="1" applyBorder="1" applyAlignment="1">
      <alignment horizontal="center" wrapText="1"/>
    </xf>
    <xf numFmtId="0" fontId="53" fillId="0" borderId="0" xfId="16" quotePrefix="1" applyFont="1" applyAlignment="1">
      <alignment horizontal="center" wrapText="1"/>
    </xf>
    <xf numFmtId="0" fontId="53" fillId="0" borderId="0" xfId="16" applyFont="1"/>
    <xf numFmtId="0" fontId="48" fillId="0" borderId="18" xfId="0" quotePrefix="1" applyFont="1" applyBorder="1" applyAlignment="1">
      <alignment horizontal="center" wrapText="1"/>
    </xf>
    <xf numFmtId="164" fontId="48" fillId="8" borderId="18" xfId="1" applyNumberFormat="1" applyFont="1" applyFill="1" applyBorder="1"/>
    <xf numFmtId="164" fontId="48" fillId="8" borderId="0" xfId="1" applyNumberFormat="1" applyFont="1" applyFill="1" applyBorder="1"/>
    <xf numFmtId="1" fontId="48" fillId="43" borderId="0" xfId="1" applyNumberFormat="1" applyFont="1" applyFill="1" applyBorder="1"/>
    <xf numFmtId="1" fontId="48" fillId="43" borderId="0" xfId="1" applyNumberFormat="1" applyFont="1" applyFill="1" applyBorder="1" applyAlignment="1">
      <alignment horizontal="center"/>
    </xf>
    <xf numFmtId="1" fontId="48" fillId="43" borderId="19" xfId="1" applyNumberFormat="1" applyFont="1" applyFill="1" applyBorder="1"/>
    <xf numFmtId="164" fontId="48" fillId="8" borderId="0" xfId="1" applyNumberFormat="1" applyFont="1" applyFill="1" applyBorder="1" applyAlignment="1">
      <alignment horizontal="center"/>
    </xf>
    <xf numFmtId="43" fontId="48" fillId="7" borderId="0" xfId="1" applyFont="1" applyFill="1" applyBorder="1"/>
    <xf numFmtId="164" fontId="51" fillId="8" borderId="124" xfId="16" applyNumberFormat="1" applyFont="1" applyFill="1" applyBorder="1"/>
    <xf numFmtId="164" fontId="51" fillId="8" borderId="125" xfId="16" applyNumberFormat="1" applyFont="1" applyFill="1" applyBorder="1"/>
    <xf numFmtId="1" fontId="51" fillId="43" borderId="125" xfId="16" applyNumberFormat="1" applyFont="1" applyFill="1" applyBorder="1"/>
    <xf numFmtId="1" fontId="51" fillId="43" borderId="125" xfId="1" applyNumberFormat="1" applyFont="1" applyFill="1" applyBorder="1"/>
    <xf numFmtId="1" fontId="51" fillId="43" borderId="125" xfId="1" applyNumberFormat="1" applyFont="1" applyFill="1" applyBorder="1" applyAlignment="1">
      <alignment horizontal="center"/>
    </xf>
    <xf numFmtId="1" fontId="51" fillId="43" borderId="126" xfId="16" applyNumberFormat="1" applyFont="1" applyFill="1" applyBorder="1"/>
    <xf numFmtId="43" fontId="51" fillId="0" borderId="5" xfId="16" applyNumberFormat="1" applyFont="1" applyBorder="1"/>
    <xf numFmtId="0" fontId="51" fillId="4" borderId="13" xfId="61" applyFont="1" applyFill="1" applyBorder="1" applyAlignment="1">
      <alignment wrapText="1"/>
    </xf>
    <xf numFmtId="0" fontId="51" fillId="4" borderId="13" xfId="61" applyFont="1" applyFill="1" applyBorder="1" applyAlignment="1">
      <alignment horizontal="center" wrapText="1"/>
    </xf>
    <xf numFmtId="0" fontId="51" fillId="4" borderId="0" xfId="61" applyFont="1" applyFill="1" applyAlignment="1">
      <alignment wrapText="1"/>
    </xf>
    <xf numFmtId="0" fontId="48" fillId="40" borderId="13" xfId="61" applyFont="1" applyFill="1" applyBorder="1" applyAlignment="1">
      <alignment horizontal="center" wrapText="1"/>
    </xf>
    <xf numFmtId="0" fontId="48" fillId="40" borderId="0" xfId="61" applyFont="1" applyFill="1" applyAlignment="1">
      <alignment wrapText="1"/>
    </xf>
    <xf numFmtId="171" fontId="48" fillId="2" borderId="18" xfId="1" applyNumberFormat="1" applyFont="1" applyFill="1" applyBorder="1"/>
    <xf numFmtId="171" fontId="48" fillId="2" borderId="0" xfId="1" applyNumberFormat="1" applyFont="1" applyFill="1" applyBorder="1"/>
    <xf numFmtId="41" fontId="48" fillId="0" borderId="0" xfId="1" applyNumberFormat="1" applyFont="1" applyFill="1" applyBorder="1"/>
    <xf numFmtId="41" fontId="48" fillId="2" borderId="19" xfId="1" applyNumberFormat="1" applyFont="1" applyFill="1" applyBorder="1"/>
    <xf numFmtId="171" fontId="48" fillId="2" borderId="124" xfId="1" applyNumberFormat="1" applyFont="1" applyFill="1" applyBorder="1"/>
    <xf numFmtId="171" fontId="48" fillId="2" borderId="125" xfId="1" applyNumberFormat="1" applyFont="1" applyFill="1" applyBorder="1"/>
    <xf numFmtId="41" fontId="48" fillId="0" borderId="125" xfId="1" applyNumberFormat="1" applyFont="1" applyFill="1" applyBorder="1"/>
    <xf numFmtId="41" fontId="48" fillId="2" borderId="126" xfId="1" applyNumberFormat="1" applyFont="1" applyFill="1" applyBorder="1"/>
    <xf numFmtId="0" fontId="53" fillId="0" borderId="63" xfId="16" applyFont="1" applyBorder="1" applyAlignment="1">
      <alignment horizontal="center"/>
    </xf>
    <xf numFmtId="0" fontId="53" fillId="0" borderId="64" xfId="16" applyFont="1" applyBorder="1" applyAlignment="1">
      <alignment horizontal="center"/>
    </xf>
    <xf numFmtId="0" fontId="53" fillId="0" borderId="52" xfId="16" applyFont="1" applyBorder="1" applyAlignment="1">
      <alignment horizontal="center"/>
    </xf>
    <xf numFmtId="0" fontId="48" fillId="0" borderId="62" xfId="16" applyFont="1" applyBorder="1" applyAlignment="1">
      <alignment horizontal="center"/>
    </xf>
    <xf numFmtId="0" fontId="48" fillId="0" borderId="41" xfId="16" applyFont="1" applyBorder="1" applyAlignment="1">
      <alignment horizontal="center"/>
    </xf>
    <xf numFmtId="0" fontId="48" fillId="0" borderId="0" xfId="88" quotePrefix="1" applyFont="1" applyAlignment="1">
      <alignment horizontal="right" wrapText="1"/>
    </xf>
    <xf numFmtId="41" fontId="48" fillId="0" borderId="62" xfId="1" applyNumberFormat="1" applyFont="1" applyFill="1" applyBorder="1" applyAlignment="1">
      <alignment horizontal="right"/>
    </xf>
    <xf numFmtId="41" fontId="48" fillId="0" borderId="0" xfId="1" applyNumberFormat="1" applyFont="1" applyFill="1" applyBorder="1" applyAlignment="1">
      <alignment horizontal="right"/>
    </xf>
    <xf numFmtId="41" fontId="48" fillId="0" borderId="41" xfId="1" applyNumberFormat="1" applyFont="1" applyFill="1" applyBorder="1" applyAlignment="1">
      <alignment horizontal="right"/>
    </xf>
    <xf numFmtId="172" fontId="48" fillId="0" borderId="0" xfId="16" applyNumberFormat="1" applyFont="1" applyAlignment="1">
      <alignment horizontal="center"/>
    </xf>
    <xf numFmtId="41" fontId="48" fillId="2" borderId="0" xfId="1" applyNumberFormat="1" applyFont="1" applyFill="1" applyBorder="1" applyAlignment="1">
      <alignment horizontal="right"/>
    </xf>
    <xf numFmtId="172" fontId="48" fillId="0" borderId="3" xfId="16" applyNumberFormat="1" applyFont="1" applyBorder="1" applyAlignment="1">
      <alignment horizontal="center"/>
    </xf>
    <xf numFmtId="41" fontId="48" fillId="7" borderId="0" xfId="16" applyNumberFormat="1" applyFont="1" applyFill="1" applyAlignment="1">
      <alignment horizontal="center"/>
    </xf>
    <xf numFmtId="41" fontId="51" fillId="0" borderId="135" xfId="1" applyNumberFormat="1" applyFont="1" applyFill="1" applyBorder="1" applyAlignment="1">
      <alignment horizontal="right"/>
    </xf>
    <xf numFmtId="41" fontId="51" fillId="0" borderId="125" xfId="1" applyNumberFormat="1" applyFont="1" applyFill="1" applyBorder="1" applyAlignment="1">
      <alignment horizontal="right"/>
    </xf>
    <xf numFmtId="41" fontId="51" fillId="0" borderId="136" xfId="1" applyNumberFormat="1" applyFont="1" applyFill="1" applyBorder="1" applyAlignment="1">
      <alignment horizontal="right"/>
    </xf>
    <xf numFmtId="172" fontId="48" fillId="0" borderId="64" xfId="16" applyNumberFormat="1" applyFont="1" applyBorder="1" applyAlignment="1">
      <alignment horizontal="center"/>
    </xf>
    <xf numFmtId="41" fontId="51" fillId="2" borderId="125" xfId="1" applyNumberFormat="1" applyFont="1" applyFill="1" applyBorder="1" applyAlignment="1">
      <alignment horizontal="right"/>
    </xf>
    <xf numFmtId="0" fontId="48" fillId="7" borderId="0" xfId="16" applyFont="1" applyFill="1" applyAlignment="1">
      <alignment horizontal="center"/>
    </xf>
    <xf numFmtId="15" fontId="51" fillId="4" borderId="0" xfId="16" applyNumberFormat="1" applyFont="1" applyFill="1" applyAlignment="1">
      <alignment horizontal="center"/>
    </xf>
    <xf numFmtId="0" fontId="48" fillId="36" borderId="12" xfId="16" applyFont="1" applyFill="1" applyBorder="1" applyAlignment="1">
      <alignment horizontal="center"/>
    </xf>
    <xf numFmtId="14" fontId="48" fillId="36" borderId="14" xfId="16" applyNumberFormat="1" applyFont="1" applyFill="1" applyBorder="1" applyAlignment="1">
      <alignment horizontal="center"/>
    </xf>
    <xf numFmtId="0" fontId="51" fillId="0" borderId="13" xfId="16" applyFont="1" applyBorder="1" applyAlignment="1">
      <alignment horizontal="center" wrapText="1"/>
    </xf>
    <xf numFmtId="42" fontId="51" fillId="0" borderId="14" xfId="1" applyNumberFormat="1" applyFont="1" applyBorder="1" applyAlignment="1">
      <alignment horizontal="center" wrapText="1"/>
    </xf>
    <xf numFmtId="0" fontId="51" fillId="0" borderId="14" xfId="16" applyFont="1" applyBorder="1" applyAlignment="1">
      <alignment horizontal="center" wrapText="1"/>
    </xf>
    <xf numFmtId="42" fontId="51" fillId="0" borderId="14" xfId="16" applyNumberFormat="1" applyFont="1" applyBorder="1" applyAlignment="1">
      <alignment horizontal="center" wrapText="1"/>
    </xf>
    <xf numFmtId="0" fontId="48" fillId="0" borderId="13" xfId="16" applyFont="1" applyBorder="1" applyAlignment="1">
      <alignment horizontal="center" wrapText="1"/>
    </xf>
    <xf numFmtId="0" fontId="51" fillId="4" borderId="13" xfId="16" applyFont="1" applyFill="1" applyBorder="1" applyAlignment="1">
      <alignment horizontal="center"/>
    </xf>
    <xf numFmtId="0" fontId="51" fillId="4" borderId="13" xfId="16" applyFont="1" applyFill="1" applyBorder="1"/>
    <xf numFmtId="164" fontId="48" fillId="7" borderId="0" xfId="1" applyNumberFormat="1" applyFont="1" applyFill="1" applyBorder="1"/>
    <xf numFmtId="41" fontId="48" fillId="0" borderId="0" xfId="1" applyNumberFormat="1" applyFont="1" applyBorder="1"/>
    <xf numFmtId="41" fontId="48" fillId="0" borderId="0" xfId="16" applyNumberFormat="1" applyFont="1"/>
    <xf numFmtId="41" fontId="48" fillId="7" borderId="0" xfId="67" applyNumberFormat="1" applyFont="1" applyFill="1"/>
    <xf numFmtId="41" fontId="48" fillId="2" borderId="12" xfId="1" applyNumberFormat="1" applyFont="1" applyFill="1" applyBorder="1"/>
    <xf numFmtId="164" fontId="48" fillId="7" borderId="0" xfId="1" applyNumberFormat="1" applyFont="1" applyFill="1"/>
    <xf numFmtId="41" fontId="48" fillId="2" borderId="0" xfId="1" applyNumberFormat="1" applyFont="1" applyFill="1"/>
    <xf numFmtId="41" fontId="48" fillId="0" borderId="0" xfId="1" applyNumberFormat="1" applyFont="1"/>
    <xf numFmtId="41" fontId="48" fillId="2" borderId="44" xfId="1" applyNumberFormat="1" applyFont="1" applyFill="1" applyBorder="1"/>
    <xf numFmtId="41" fontId="48" fillId="0" borderId="0" xfId="1" applyNumberFormat="1" applyFont="1" applyAlignment="1">
      <alignment horizontal="center"/>
    </xf>
    <xf numFmtId="41" fontId="48" fillId="2" borderId="0" xfId="1" applyNumberFormat="1" applyFont="1" applyFill="1" applyAlignment="1">
      <alignment horizontal="center"/>
    </xf>
    <xf numFmtId="41" fontId="48" fillId="0" borderId="0" xfId="16" applyNumberFormat="1" applyFont="1" applyAlignment="1">
      <alignment horizontal="center"/>
    </xf>
    <xf numFmtId="42" fontId="48" fillId="2" borderId="0" xfId="1" applyNumberFormat="1" applyFont="1" applyFill="1"/>
    <xf numFmtId="42" fontId="48" fillId="0" borderId="0" xfId="1" applyNumberFormat="1" applyFont="1"/>
    <xf numFmtId="0" fontId="48" fillId="0" borderId="5" xfId="16" applyFont="1" applyBorder="1"/>
    <xf numFmtId="164" fontId="51" fillId="0" borderId="5" xfId="16" applyNumberFormat="1" applyFont="1" applyBorder="1"/>
    <xf numFmtId="42" fontId="51" fillId="0" borderId="5" xfId="1" applyNumberFormat="1" applyFont="1" applyBorder="1"/>
    <xf numFmtId="44" fontId="51" fillId="2" borderId="5" xfId="1" applyNumberFormat="1" applyFont="1" applyFill="1" applyBorder="1"/>
    <xf numFmtId="0" fontId="48" fillId="4" borderId="63" xfId="16" applyFont="1" applyFill="1" applyBorder="1"/>
    <xf numFmtId="0" fontId="48" fillId="4" borderId="64" xfId="16" applyFont="1" applyFill="1" applyBorder="1"/>
    <xf numFmtId="0" fontId="48" fillId="4" borderId="52" xfId="16" applyFont="1" applyFill="1" applyBorder="1"/>
    <xf numFmtId="0" fontId="48" fillId="4" borderId="65" xfId="16" applyFont="1" applyFill="1" applyBorder="1" applyAlignment="1">
      <alignment horizontal="center"/>
    </xf>
    <xf numFmtId="0" fontId="48" fillId="4" borderId="3" xfId="16" applyFont="1" applyFill="1" applyBorder="1" applyAlignment="1">
      <alignment horizontal="center"/>
    </xf>
    <xf numFmtId="0" fontId="48" fillId="4" borderId="48" xfId="16" applyFont="1" applyFill="1" applyBorder="1" applyAlignment="1">
      <alignment horizontal="center"/>
    </xf>
    <xf numFmtId="3" fontId="48" fillId="4" borderId="0" xfId="16" applyNumberFormat="1" applyFont="1" applyFill="1"/>
    <xf numFmtId="49" fontId="48" fillId="4" borderId="0" xfId="16" applyNumberFormat="1" applyFont="1" applyFill="1" applyAlignment="1">
      <alignment horizontal="center"/>
    </xf>
    <xf numFmtId="38" fontId="64" fillId="4" borderId="0" xfId="1" applyNumberFormat="1" applyFont="1" applyFill="1" applyAlignment="1" applyProtection="1">
      <alignment horizontal="left"/>
    </xf>
    <xf numFmtId="0" fontId="48" fillId="0" borderId="81" xfId="16" applyFont="1" applyBorder="1"/>
    <xf numFmtId="0" fontId="48" fillId="8" borderId="3" xfId="16" applyFont="1" applyFill="1" applyBorder="1" applyAlignment="1">
      <alignment horizontal="center" wrapText="1"/>
    </xf>
    <xf numFmtId="0" fontId="51" fillId="0" borderId="138" xfId="0" applyFont="1" applyBorder="1" applyAlignment="1">
      <alignment horizontal="center" wrapText="1"/>
    </xf>
    <xf numFmtId="0" fontId="51" fillId="0" borderId="13" xfId="0" applyFont="1" applyBorder="1" applyAlignment="1">
      <alignment horizontal="center" wrapText="1"/>
    </xf>
    <xf numFmtId="0" fontId="51" fillId="0" borderId="139" xfId="0" applyFont="1" applyBorder="1" applyAlignment="1">
      <alignment horizontal="center" wrapText="1"/>
    </xf>
    <xf numFmtId="0" fontId="51" fillId="0" borderId="140" xfId="0" applyFont="1" applyBorder="1" applyAlignment="1">
      <alignment horizontal="center" wrapText="1"/>
    </xf>
    <xf numFmtId="0" fontId="51" fillId="4" borderId="138" xfId="16" applyFont="1" applyFill="1" applyBorder="1" applyAlignment="1">
      <alignment horizontal="center"/>
    </xf>
    <xf numFmtId="0" fontId="51" fillId="4" borderId="139" xfId="16" applyFont="1" applyFill="1" applyBorder="1" applyAlignment="1">
      <alignment horizontal="center"/>
    </xf>
    <xf numFmtId="42" fontId="48" fillId="0" borderId="18" xfId="16" applyNumberFormat="1" applyFont="1" applyBorder="1"/>
    <xf numFmtId="42" fontId="48" fillId="0" borderId="19" xfId="16" applyNumberFormat="1" applyFont="1" applyBorder="1"/>
    <xf numFmtId="42" fontId="48" fillId="0" borderId="85" xfId="16" applyNumberFormat="1" applyFont="1" applyBorder="1"/>
    <xf numFmtId="0" fontId="48" fillId="4" borderId="18" xfId="16" applyFont="1" applyFill="1" applyBorder="1"/>
    <xf numFmtId="0" fontId="48" fillId="4" borderId="19" xfId="16" applyFont="1" applyFill="1" applyBorder="1"/>
    <xf numFmtId="41" fontId="48" fillId="0" borderId="18" xfId="16" applyNumberFormat="1" applyFont="1" applyBorder="1"/>
    <xf numFmtId="41" fontId="48" fillId="0" borderId="19" xfId="16" applyNumberFormat="1" applyFont="1" applyBorder="1"/>
    <xf numFmtId="41" fontId="48" fillId="0" borderId="85" xfId="16" applyNumberFormat="1" applyFont="1" applyBorder="1"/>
    <xf numFmtId="37" fontId="48" fillId="4" borderId="18" xfId="16" applyNumberFormat="1" applyFont="1" applyFill="1" applyBorder="1"/>
    <xf numFmtId="41" fontId="48" fillId="0" borderId="141" xfId="16" applyNumberFormat="1" applyFont="1" applyBorder="1"/>
    <xf numFmtId="37" fontId="48" fillId="4" borderId="22" xfId="16" applyNumberFormat="1" applyFont="1" applyFill="1" applyBorder="1"/>
    <xf numFmtId="37" fontId="48" fillId="4" borderId="23" xfId="16" applyNumberFormat="1" applyFont="1" applyFill="1" applyBorder="1"/>
    <xf numFmtId="37" fontId="48" fillId="4" borderId="24" xfId="16" applyNumberFormat="1" applyFont="1" applyFill="1" applyBorder="1"/>
    <xf numFmtId="42" fontId="51" fillId="0" borderId="5" xfId="16" applyNumberFormat="1" applyFont="1" applyBorder="1"/>
    <xf numFmtId="42" fontId="51" fillId="0" borderId="142" xfId="16" applyNumberFormat="1" applyFont="1" applyBorder="1"/>
    <xf numFmtId="172" fontId="48" fillId="4" borderId="0" xfId="16" applyNumberFormat="1" applyFont="1" applyFill="1"/>
    <xf numFmtId="15" fontId="51" fillId="0" borderId="0" xfId="0" applyNumberFormat="1" applyFont="1" applyAlignment="1">
      <alignment horizontal="center"/>
    </xf>
    <xf numFmtId="0" fontId="59" fillId="0" borderId="0" xfId="0" applyFont="1"/>
    <xf numFmtId="0" fontId="48" fillId="0" borderId="0" xfId="0" applyFont="1" applyAlignment="1">
      <alignment horizontal="center" wrapText="1"/>
    </xf>
    <xf numFmtId="0" fontId="48" fillId="0" borderId="41" xfId="0" applyFont="1" applyBorder="1"/>
    <xf numFmtId="0" fontId="51" fillId="0" borderId="48" xfId="0" applyFont="1" applyBorder="1" applyAlignment="1">
      <alignment horizontal="center"/>
    </xf>
    <xf numFmtId="41" fontId="48" fillId="0" borderId="0" xfId="0" applyNumberFormat="1" applyFont="1"/>
    <xf numFmtId="41" fontId="48" fillId="7" borderId="0" xfId="16" applyNumberFormat="1" applyFont="1" applyFill="1"/>
    <xf numFmtId="172" fontId="48" fillId="4" borderId="3" xfId="16" applyNumberFormat="1" applyFont="1" applyFill="1" applyBorder="1" applyAlignment="1">
      <alignment horizontal="center"/>
    </xf>
    <xf numFmtId="37" fontId="48" fillId="0" borderId="3" xfId="0" applyNumberFormat="1" applyFont="1" applyBorder="1"/>
    <xf numFmtId="37" fontId="51" fillId="7" borderId="0" xfId="0" applyNumberFormat="1" applyFont="1" applyFill="1"/>
    <xf numFmtId="42" fontId="51" fillId="7" borderId="5" xfId="16" applyNumberFormat="1" applyFont="1" applyFill="1" applyBorder="1"/>
    <xf numFmtId="172" fontId="51" fillId="4" borderId="0" xfId="16" applyNumberFormat="1" applyFont="1" applyFill="1"/>
    <xf numFmtId="0" fontId="66" fillId="0" borderId="0" xfId="0" applyFont="1" applyAlignment="1">
      <alignment vertical="center"/>
    </xf>
    <xf numFmtId="0" fontId="67" fillId="0" borderId="0" xfId="0" applyFont="1"/>
    <xf numFmtId="0" fontId="68" fillId="0" borderId="0" xfId="0" applyFont="1" applyAlignment="1">
      <alignment vertical="center"/>
    </xf>
    <xf numFmtId="0" fontId="52" fillId="0" borderId="0" xfId="82" applyFont="1"/>
    <xf numFmtId="0" fontId="48" fillId="0" borderId="12" xfId="16" applyFont="1" applyBorder="1" applyAlignment="1">
      <alignment horizontal="center"/>
    </xf>
    <xf numFmtId="0" fontId="48" fillId="0" borderId="14" xfId="16" applyFont="1" applyBorder="1"/>
    <xf numFmtId="41" fontId="48" fillId="0" borderId="125" xfId="16" applyNumberFormat="1" applyFont="1" applyBorder="1"/>
    <xf numFmtId="0" fontId="48" fillId="0" borderId="0" xfId="88" applyFont="1"/>
    <xf numFmtId="0" fontId="48" fillId="0" borderId="0" xfId="88" applyFont="1" applyAlignment="1">
      <alignment horizontal="center" wrapText="1"/>
    </xf>
    <xf numFmtId="41" fontId="48" fillId="0" borderId="3" xfId="0" applyNumberFormat="1" applyFont="1" applyBorder="1"/>
    <xf numFmtId="41" fontId="51" fillId="0" borderId="125" xfId="0" applyNumberFormat="1" applyFont="1" applyBorder="1"/>
    <xf numFmtId="41" fontId="48" fillId="0" borderId="0" xfId="88" applyNumberFormat="1" applyFont="1"/>
    <xf numFmtId="0" fontId="69" fillId="0" borderId="0" xfId="0" applyFont="1" applyAlignment="1">
      <alignment horizontal="left" readingOrder="1"/>
    </xf>
    <xf numFmtId="0" fontId="63" fillId="0" borderId="0" xfId="0" applyFont="1"/>
    <xf numFmtId="0" fontId="57" fillId="0" borderId="0" xfId="0" applyFont="1"/>
    <xf numFmtId="0" fontId="70" fillId="0" borderId="0" xfId="0" applyFont="1" applyAlignment="1">
      <alignment vertical="top" wrapText="1"/>
    </xf>
    <xf numFmtId="0" fontId="48" fillId="0" borderId="0" xfId="0" applyFont="1" applyAlignment="1">
      <alignment vertical="top" wrapText="1"/>
    </xf>
    <xf numFmtId="0" fontId="70" fillId="0" borderId="0" xfId="16" applyFont="1" applyAlignment="1">
      <alignment horizontal="left" vertical="top" wrapText="1"/>
    </xf>
    <xf numFmtId="169" fontId="48" fillId="0" borderId="0" xfId="16" applyNumberFormat="1" applyFont="1"/>
    <xf numFmtId="37" fontId="71" fillId="7" borderId="0" xfId="0" applyNumberFormat="1" applyFont="1" applyFill="1"/>
    <xf numFmtId="0" fontId="48" fillId="7" borderId="0" xfId="16" applyFont="1" applyFill="1" applyAlignment="1">
      <alignment horizontal="left"/>
    </xf>
    <xf numFmtId="0" fontId="48" fillId="7" borderId="0" xfId="16" applyFont="1" applyFill="1"/>
    <xf numFmtId="0" fontId="48" fillId="7" borderId="0" xfId="0" applyFont="1" applyFill="1"/>
    <xf numFmtId="37" fontId="51" fillId="7" borderId="0" xfId="0" applyNumberFormat="1" applyFont="1" applyFill="1" applyAlignment="1">
      <alignment horizontal="left"/>
    </xf>
    <xf numFmtId="164" fontId="48" fillId="0" borderId="0" xfId="1" applyNumberFormat="1" applyFont="1" applyFill="1"/>
    <xf numFmtId="0" fontId="51" fillId="7" borderId="0" xfId="16" applyFont="1" applyFill="1"/>
    <xf numFmtId="164" fontId="51" fillId="7" borderId="3" xfId="1" applyNumberFormat="1" applyFont="1" applyFill="1" applyBorder="1" applyAlignment="1">
      <alignment horizontal="center"/>
    </xf>
    <xf numFmtId="0" fontId="51" fillId="7" borderId="0" xfId="0" applyFont="1" applyFill="1" applyAlignment="1">
      <alignment horizontal="center"/>
    </xf>
    <xf numFmtId="0" fontId="51" fillId="7" borderId="3" xfId="16" applyFont="1" applyFill="1" applyBorder="1"/>
    <xf numFmtId="0" fontId="51" fillId="7" borderId="3" xfId="16" applyFont="1" applyFill="1" applyBorder="1" applyAlignment="1">
      <alignment horizontal="center" wrapText="1"/>
    </xf>
    <xf numFmtId="0" fontId="51" fillId="7" borderId="0" xfId="0" applyFont="1" applyFill="1" applyAlignment="1">
      <alignment horizontal="center" wrapText="1"/>
    </xf>
    <xf numFmtId="41" fontId="51" fillId="7" borderId="0" xfId="16" applyNumberFormat="1" applyFont="1" applyFill="1" applyAlignment="1">
      <alignment horizontal="center" wrapText="1"/>
    </xf>
    <xf numFmtId="41" fontId="48" fillId="6" borderId="0" xfId="0" applyNumberFormat="1" applyFont="1" applyFill="1"/>
    <xf numFmtId="38" fontId="48" fillId="7" borderId="0" xfId="0" applyNumberFormat="1" applyFont="1" applyFill="1"/>
    <xf numFmtId="38" fontId="51" fillId="7" borderId="0" xfId="0" applyNumberFormat="1" applyFont="1" applyFill="1" applyAlignment="1">
      <alignment horizontal="center"/>
    </xf>
    <xf numFmtId="42" fontId="48" fillId="35" borderId="12" xfId="0" applyNumberFormat="1" applyFont="1" applyFill="1" applyBorder="1"/>
    <xf numFmtId="0" fontId="48" fillId="7" borderId="0" xfId="0" quotePrefix="1" applyFont="1" applyFill="1" applyAlignment="1">
      <alignment horizontal="left"/>
    </xf>
    <xf numFmtId="42" fontId="48" fillId="35" borderId="13" xfId="0" applyNumberFormat="1" applyFont="1" applyFill="1" applyBorder="1"/>
    <xf numFmtId="0" fontId="48" fillId="7" borderId="2" xfId="0" applyFont="1" applyFill="1" applyBorder="1"/>
    <xf numFmtId="41" fontId="48" fillId="0" borderId="2" xfId="0" applyNumberFormat="1" applyFont="1" applyBorder="1"/>
    <xf numFmtId="0" fontId="50" fillId="7" borderId="0" xfId="0" applyFont="1" applyFill="1" applyAlignment="1">
      <alignment horizontal="center"/>
    </xf>
    <xf numFmtId="0" fontId="51" fillId="7" borderId="0" xfId="0" applyFont="1" applyFill="1"/>
    <xf numFmtId="0" fontId="51" fillId="0" borderId="2" xfId="0" applyFont="1" applyBorder="1"/>
    <xf numFmtId="0" fontId="51" fillId="0" borderId="72" xfId="0" applyFont="1" applyBorder="1"/>
    <xf numFmtId="0" fontId="48" fillId="0" borderId="73" xfId="0" applyFont="1" applyBorder="1"/>
    <xf numFmtId="0" fontId="48" fillId="0" borderId="102" xfId="0" applyFont="1" applyBorder="1"/>
    <xf numFmtId="0" fontId="48" fillId="0" borderId="62" xfId="0" applyFont="1" applyBorder="1"/>
    <xf numFmtId="42" fontId="48" fillId="0" borderId="41" xfId="0" applyNumberFormat="1" applyFont="1" applyBorder="1"/>
    <xf numFmtId="0" fontId="51" fillId="0" borderId="74" xfId="0" applyFont="1" applyBorder="1"/>
    <xf numFmtId="42" fontId="48" fillId="0" borderId="103" xfId="0" applyNumberFormat="1" applyFont="1" applyBorder="1"/>
    <xf numFmtId="0" fontId="51" fillId="0" borderId="62" xfId="0" applyFont="1" applyBorder="1"/>
    <xf numFmtId="42" fontId="51" fillId="39" borderId="0" xfId="0" applyNumberFormat="1" applyFont="1" applyFill="1"/>
    <xf numFmtId="0" fontId="48" fillId="0" borderId="103" xfId="0" applyFont="1" applyBorder="1"/>
    <xf numFmtId="41" fontId="51" fillId="39" borderId="3" xfId="0" applyNumberFormat="1" applyFont="1" applyFill="1" applyBorder="1"/>
    <xf numFmtId="0" fontId="48" fillId="7" borderId="2" xfId="16" applyFont="1" applyFill="1" applyBorder="1"/>
    <xf numFmtId="41" fontId="48" fillId="33" borderId="2" xfId="16" applyNumberFormat="1" applyFont="1" applyFill="1" applyBorder="1" applyAlignment="1">
      <alignment horizontal="center"/>
    </xf>
    <xf numFmtId="41" fontId="48" fillId="7" borderId="2" xfId="16" applyNumberFormat="1" applyFont="1" applyFill="1" applyBorder="1" applyAlignment="1">
      <alignment horizontal="center"/>
    </xf>
    <xf numFmtId="0" fontId="48" fillId="0" borderId="74" xfId="0" applyFont="1" applyBorder="1"/>
    <xf numFmtId="0" fontId="48" fillId="0" borderId="63" xfId="0" applyFont="1" applyBorder="1"/>
    <xf numFmtId="0" fontId="48" fillId="0" borderId="64" xfId="0" applyFont="1" applyBorder="1"/>
    <xf numFmtId="42" fontId="48" fillId="0" borderId="52" xfId="0" applyNumberFormat="1" applyFont="1" applyBorder="1"/>
    <xf numFmtId="41" fontId="48" fillId="7" borderId="0" xfId="0" applyNumberFormat="1" applyFont="1" applyFill="1" applyAlignment="1">
      <alignment horizontal="left"/>
    </xf>
    <xf numFmtId="41" fontId="48" fillId="7" borderId="103" xfId="0" applyNumberFormat="1" applyFont="1" applyFill="1" applyBorder="1" applyAlignment="1">
      <alignment horizontal="left"/>
    </xf>
    <xf numFmtId="41" fontId="48" fillId="0" borderId="48" xfId="0" applyNumberFormat="1" applyFont="1" applyBorder="1"/>
    <xf numFmtId="42" fontId="51" fillId="39" borderId="41" xfId="0" applyNumberFormat="1" applyFont="1" applyFill="1" applyBorder="1"/>
    <xf numFmtId="0" fontId="51" fillId="0" borderId="4" xfId="0" applyFont="1" applyBorder="1"/>
    <xf numFmtId="41" fontId="48" fillId="0" borderId="104" xfId="0" applyNumberFormat="1" applyFont="1" applyBorder="1"/>
    <xf numFmtId="0" fontId="48" fillId="0" borderId="75" xfId="0" applyFont="1" applyBorder="1"/>
    <xf numFmtId="42" fontId="48" fillId="0" borderId="2" xfId="0" applyNumberFormat="1" applyFont="1" applyBorder="1"/>
    <xf numFmtId="0" fontId="48" fillId="0" borderId="105" xfId="0" applyFont="1" applyBorder="1"/>
    <xf numFmtId="0" fontId="48" fillId="0" borderId="65" xfId="0" applyFont="1" applyBorder="1"/>
    <xf numFmtId="0" fontId="48" fillId="0" borderId="3" xfId="0" applyFont="1" applyBorder="1"/>
    <xf numFmtId="42" fontId="48" fillId="0" borderId="48" xfId="0" applyNumberFormat="1" applyFont="1" applyBorder="1"/>
    <xf numFmtId="0" fontId="48" fillId="0" borderId="74" xfId="0" applyFont="1" applyBorder="1" applyAlignment="1">
      <alignment horizontal="left"/>
    </xf>
    <xf numFmtId="0" fontId="48" fillId="0" borderId="0" xfId="0" applyFont="1" applyAlignment="1">
      <alignment horizontal="left"/>
    </xf>
    <xf numFmtId="42" fontId="48" fillId="33" borderId="13" xfId="16" applyNumberFormat="1" applyFont="1" applyFill="1" applyBorder="1"/>
    <xf numFmtId="0" fontId="48" fillId="0" borderId="103" xfId="0" applyFont="1" applyBorder="1" applyAlignment="1">
      <alignment horizontal="left"/>
    </xf>
    <xf numFmtId="0" fontId="48" fillId="0" borderId="76" xfId="0" applyFont="1" applyBorder="1" applyAlignment="1">
      <alignment horizontal="left"/>
    </xf>
    <xf numFmtId="0" fontId="48" fillId="0" borderId="3" xfId="0" applyFont="1" applyBorder="1" applyAlignment="1">
      <alignment horizontal="left"/>
    </xf>
    <xf numFmtId="0" fontId="48" fillId="0" borderId="104" xfId="0" applyFont="1" applyBorder="1"/>
    <xf numFmtId="0" fontId="48" fillId="0" borderId="77" xfId="0" applyFont="1" applyBorder="1" applyAlignment="1">
      <alignment horizontal="left"/>
    </xf>
    <xf numFmtId="0" fontId="48" fillId="0" borderId="78" xfId="0" applyFont="1" applyBorder="1" applyAlignment="1">
      <alignment horizontal="left"/>
    </xf>
    <xf numFmtId="42" fontId="48" fillId="0" borderId="79" xfId="0" applyNumberFormat="1" applyFont="1" applyBorder="1"/>
    <xf numFmtId="42" fontId="48" fillId="0" borderId="80" xfId="0" applyNumberFormat="1" applyFont="1" applyBorder="1"/>
    <xf numFmtId="0" fontId="48" fillId="0" borderId="106" xfId="0" applyFont="1" applyBorder="1"/>
    <xf numFmtId="41" fontId="48" fillId="6" borderId="2" xfId="0" applyNumberFormat="1" applyFont="1" applyFill="1" applyBorder="1"/>
    <xf numFmtId="0" fontId="51" fillId="0" borderId="65" xfId="0" applyFont="1" applyBorder="1"/>
    <xf numFmtId="0" fontId="48" fillId="0" borderId="3" xfId="0" applyFont="1" applyBorder="1" applyAlignment="1">
      <alignment wrapText="1"/>
    </xf>
    <xf numFmtId="39" fontId="51" fillId="0" borderId="0" xfId="74" applyNumberFormat="1" applyFont="1"/>
    <xf numFmtId="0" fontId="51" fillId="0" borderId="0" xfId="74" applyFont="1"/>
    <xf numFmtId="0" fontId="51" fillId="0" borderId="98" xfId="0" applyFont="1" applyBorder="1" applyAlignment="1">
      <alignment horizontal="center" wrapText="1"/>
    </xf>
    <xf numFmtId="0" fontId="51" fillId="7" borderId="2" xfId="0" applyFont="1" applyFill="1" applyBorder="1"/>
    <xf numFmtId="0" fontId="51" fillId="7" borderId="3" xfId="0" applyFont="1" applyFill="1" applyBorder="1"/>
    <xf numFmtId="37" fontId="48" fillId="7" borderId="0" xfId="0" applyNumberFormat="1" applyFont="1" applyFill="1"/>
    <xf numFmtId="42" fontId="48" fillId="7" borderId="50" xfId="16" applyNumberFormat="1" applyFont="1" applyFill="1" applyBorder="1"/>
    <xf numFmtId="42" fontId="48" fillId="33" borderId="12" xfId="0" applyNumberFormat="1" applyFont="1" applyFill="1" applyBorder="1"/>
    <xf numFmtId="42" fontId="48" fillId="0" borderId="51" xfId="0" applyNumberFormat="1" applyFont="1" applyBorder="1"/>
    <xf numFmtId="42" fontId="48" fillId="0" borderId="99" xfId="16" applyNumberFormat="1" applyFont="1" applyBorder="1" applyAlignment="1">
      <alignment wrapText="1"/>
    </xf>
    <xf numFmtId="39" fontId="73" fillId="0" borderId="40" xfId="74" applyNumberFormat="1" applyFont="1" applyBorder="1"/>
    <xf numFmtId="41" fontId="48" fillId="33" borderId="52" xfId="0" applyNumberFormat="1" applyFont="1" applyFill="1" applyBorder="1"/>
    <xf numFmtId="42" fontId="48" fillId="0" borderId="53" xfId="0" applyNumberFormat="1" applyFont="1" applyBorder="1"/>
    <xf numFmtId="41" fontId="48" fillId="7" borderId="43" xfId="16" applyNumberFormat="1" applyFont="1" applyFill="1" applyBorder="1"/>
    <xf numFmtId="41" fontId="48" fillId="33" borderId="44" xfId="0" applyNumberFormat="1" applyFont="1" applyFill="1" applyBorder="1"/>
    <xf numFmtId="41" fontId="51" fillId="0" borderId="54" xfId="16" applyNumberFormat="1" applyFont="1" applyBorder="1"/>
    <xf numFmtId="41" fontId="48" fillId="0" borderId="100" xfId="16" applyNumberFormat="1" applyFont="1" applyBorder="1" applyAlignment="1">
      <alignment wrapText="1"/>
    </xf>
    <xf numFmtId="41" fontId="48" fillId="33" borderId="41" xfId="0" applyNumberFormat="1" applyFont="1" applyFill="1" applyBorder="1"/>
    <xf numFmtId="41" fontId="48" fillId="0" borderId="42" xfId="0" applyNumberFormat="1" applyFont="1" applyBorder="1"/>
    <xf numFmtId="41" fontId="48" fillId="0" borderId="45" xfId="0" applyNumberFormat="1" applyFont="1" applyBorder="1"/>
    <xf numFmtId="41" fontId="48" fillId="7" borderId="55" xfId="16" applyNumberFormat="1" applyFont="1" applyFill="1" applyBorder="1"/>
    <xf numFmtId="41" fontId="48" fillId="33" borderId="56" xfId="0" applyNumberFormat="1" applyFont="1" applyFill="1" applyBorder="1"/>
    <xf numFmtId="41" fontId="48" fillId="0" borderId="57" xfId="0" applyNumberFormat="1" applyFont="1" applyBorder="1"/>
    <xf numFmtId="41" fontId="48" fillId="34" borderId="0" xfId="0" applyNumberFormat="1" applyFont="1" applyFill="1"/>
    <xf numFmtId="41" fontId="48" fillId="33" borderId="134" xfId="89" applyNumberFormat="1" applyFont="1" applyFill="1" applyBorder="1"/>
    <xf numFmtId="0" fontId="48" fillId="34" borderId="43" xfId="0" applyFont="1" applyFill="1" applyBorder="1"/>
    <xf numFmtId="0" fontId="48" fillId="34" borderId="0" xfId="0" applyFont="1" applyFill="1"/>
    <xf numFmtId="42" fontId="48" fillId="34" borderId="58" xfId="0" applyNumberFormat="1" applyFont="1" applyFill="1" applyBorder="1"/>
    <xf numFmtId="37" fontId="48" fillId="7" borderId="0" xfId="0" applyNumberFormat="1" applyFont="1" applyFill="1" applyAlignment="1">
      <alignment horizontal="left"/>
    </xf>
    <xf numFmtId="0" fontId="48" fillId="34" borderId="58" xfId="0" applyFont="1" applyFill="1" applyBorder="1"/>
    <xf numFmtId="41" fontId="48" fillId="7" borderId="41" xfId="75" applyNumberFormat="1" applyFont="1" applyFill="1" applyBorder="1"/>
    <xf numFmtId="41" fontId="48" fillId="7" borderId="0" xfId="0" applyNumberFormat="1" applyFont="1" applyFill="1"/>
    <xf numFmtId="0" fontId="48" fillId="7" borderId="3" xfId="0" applyFont="1" applyFill="1" applyBorder="1"/>
    <xf numFmtId="41" fontId="48" fillId="6" borderId="3" xfId="0" applyNumberFormat="1" applyFont="1" applyFill="1" applyBorder="1"/>
    <xf numFmtId="42" fontId="51" fillId="0" borderId="0" xfId="0" applyNumberFormat="1" applyFont="1" applyAlignment="1">
      <alignment horizontal="center"/>
    </xf>
    <xf numFmtId="41" fontId="48" fillId="33" borderId="58" xfId="0" applyNumberFormat="1" applyFont="1" applyFill="1" applyBorder="1"/>
    <xf numFmtId="41" fontId="48" fillId="0" borderId="101" xfId="16" applyNumberFormat="1" applyFont="1" applyBorder="1" applyAlignment="1">
      <alignment wrapText="1"/>
    </xf>
    <xf numFmtId="39" fontId="73" fillId="0" borderId="66" xfId="74" applyNumberFormat="1" applyFont="1" applyBorder="1" applyAlignment="1">
      <alignment horizontal="left"/>
    </xf>
    <xf numFmtId="41" fontId="48" fillId="7" borderId="68" xfId="75" applyNumberFormat="1" applyFont="1" applyFill="1" applyBorder="1" applyAlignment="1">
      <alignment horizontal="center"/>
    </xf>
    <xf numFmtId="41" fontId="48" fillId="7" borderId="67" xfId="0" applyNumberFormat="1" applyFont="1" applyFill="1" applyBorder="1"/>
    <xf numFmtId="37" fontId="51" fillId="7" borderId="2" xfId="0" applyNumberFormat="1" applyFont="1" applyFill="1" applyBorder="1"/>
    <xf numFmtId="0" fontId="48" fillId="0" borderId="55" xfId="0" applyFont="1" applyBorder="1"/>
    <xf numFmtId="0" fontId="48" fillId="0" borderId="59" xfId="0" applyFont="1" applyBorder="1"/>
    <xf numFmtId="41" fontId="48" fillId="33" borderId="60" xfId="0" applyNumberFormat="1" applyFont="1" applyFill="1" applyBorder="1"/>
    <xf numFmtId="42" fontId="48" fillId="0" borderId="101" xfId="16" applyNumberFormat="1" applyFont="1" applyBorder="1" applyAlignment="1">
      <alignment wrapText="1"/>
    </xf>
    <xf numFmtId="42" fontId="51" fillId="0" borderId="61" xfId="0" applyNumberFormat="1" applyFont="1" applyBorder="1"/>
    <xf numFmtId="44" fontId="48" fillId="0" borderId="61" xfId="0" applyNumberFormat="1" applyFont="1" applyBorder="1"/>
    <xf numFmtId="0" fontId="48" fillId="0" borderId="33" xfId="16" applyFont="1" applyBorder="1"/>
    <xf numFmtId="0" fontId="48" fillId="0" borderId="34" xfId="16" applyFont="1" applyBorder="1"/>
    <xf numFmtId="42" fontId="51" fillId="0" borderId="35" xfId="16" applyNumberFormat="1" applyFont="1" applyBorder="1"/>
    <xf numFmtId="37" fontId="51" fillId="0" borderId="0" xfId="0" applyNumberFormat="1" applyFont="1"/>
    <xf numFmtId="0" fontId="48" fillId="0" borderId="89" xfId="16" applyFont="1" applyBorder="1"/>
    <xf numFmtId="0" fontId="48" fillId="0" borderId="90" xfId="16" applyFont="1" applyBorder="1"/>
    <xf numFmtId="0" fontId="48" fillId="0" borderId="90" xfId="0" applyFont="1" applyBorder="1"/>
    <xf numFmtId="42" fontId="48" fillId="0" borderId="91" xfId="16" applyNumberFormat="1" applyFont="1" applyBorder="1" applyAlignment="1">
      <alignment horizontal="center"/>
    </xf>
    <xf numFmtId="0" fontId="48" fillId="0" borderId="92" xfId="16" applyFont="1" applyBorder="1"/>
    <xf numFmtId="41" fontId="48" fillId="7" borderId="93" xfId="16" applyNumberFormat="1" applyFont="1" applyFill="1" applyBorder="1" applyAlignment="1">
      <alignment horizontal="left"/>
    </xf>
    <xf numFmtId="42" fontId="48" fillId="0" borderId="94" xfId="16" applyNumberFormat="1" applyFont="1" applyBorder="1"/>
    <xf numFmtId="0" fontId="48" fillId="0" borderId="92" xfId="0" applyFont="1" applyBorder="1"/>
    <xf numFmtId="42" fontId="48" fillId="0" borderId="94" xfId="0" applyNumberFormat="1" applyFont="1" applyBorder="1"/>
    <xf numFmtId="42" fontId="48" fillId="7" borderId="93" xfId="16" applyNumberFormat="1" applyFont="1" applyFill="1" applyBorder="1" applyAlignment="1">
      <alignment horizontal="left"/>
    </xf>
    <xf numFmtId="0" fontId="48" fillId="0" borderId="92" xfId="16" applyFont="1" applyBorder="1" applyAlignment="1">
      <alignment horizontal="left"/>
    </xf>
    <xf numFmtId="0" fontId="48" fillId="0" borderId="94" xfId="0" applyFont="1" applyBorder="1"/>
    <xf numFmtId="0" fontId="48" fillId="0" borderId="95" xfId="0" applyFont="1" applyBorder="1"/>
    <xf numFmtId="0" fontId="48" fillId="0" borderId="96" xfId="0" applyFont="1" applyBorder="1"/>
    <xf numFmtId="42" fontId="48" fillId="0" borderId="97" xfId="16" applyNumberFormat="1" applyFont="1" applyBorder="1"/>
    <xf numFmtId="164" fontId="48" fillId="0" borderId="0" xfId="1" applyNumberFormat="1" applyFont="1" applyFill="1" applyBorder="1" applyProtection="1">
      <protection locked="0"/>
    </xf>
    <xf numFmtId="0" fontId="48" fillId="7" borderId="5" xfId="0" applyFont="1" applyFill="1" applyBorder="1"/>
    <xf numFmtId="41" fontId="48" fillId="0" borderId="5" xfId="0" applyNumberFormat="1" applyFont="1" applyBorder="1"/>
    <xf numFmtId="44" fontId="74" fillId="0" borderId="0" xfId="0" applyNumberFormat="1" applyFont="1"/>
    <xf numFmtId="164" fontId="51" fillId="7" borderId="0" xfId="1" applyNumberFormat="1" applyFont="1" applyFill="1" applyBorder="1" applyProtection="1">
      <protection locked="0"/>
    </xf>
    <xf numFmtId="43" fontId="48" fillId="0" borderId="0" xfId="0" applyNumberFormat="1" applyFont="1"/>
    <xf numFmtId="0" fontId="48" fillId="7" borderId="0" xfId="0" applyFont="1" applyFill="1" applyAlignment="1">
      <alignment horizontal="left"/>
    </xf>
    <xf numFmtId="0" fontId="51" fillId="0" borderId="63" xfId="0" applyFont="1" applyBorder="1"/>
    <xf numFmtId="0" fontId="48" fillId="0" borderId="52" xfId="0" applyFont="1" applyBorder="1"/>
    <xf numFmtId="0" fontId="48" fillId="7" borderId="13" xfId="0" applyFont="1" applyFill="1" applyBorder="1" applyAlignment="1">
      <alignment horizontal="center"/>
    </xf>
    <xf numFmtId="43" fontId="48" fillId="0" borderId="13" xfId="0" applyNumberFormat="1" applyFont="1" applyBorder="1"/>
    <xf numFmtId="38" fontId="48" fillId="0" borderId="0" xfId="16" applyNumberFormat="1" applyFont="1"/>
    <xf numFmtId="0" fontId="51" fillId="7" borderId="13" xfId="16" applyFont="1" applyFill="1" applyBorder="1" applyAlignment="1">
      <alignment horizontal="center"/>
    </xf>
    <xf numFmtId="0" fontId="48" fillId="0" borderId="48" xfId="0" applyFont="1" applyBorder="1"/>
    <xf numFmtId="41" fontId="48" fillId="0" borderId="13" xfId="0" applyNumberFormat="1" applyFont="1" applyBorder="1"/>
    <xf numFmtId="0" fontId="50" fillId="7" borderId="0" xfId="16" applyFont="1" applyFill="1" applyAlignment="1">
      <alignment horizontal="left"/>
    </xf>
    <xf numFmtId="0" fontId="50" fillId="0" borderId="0" xfId="16" applyFont="1" applyAlignment="1">
      <alignment horizontal="left"/>
    </xf>
    <xf numFmtId="0" fontId="75" fillId="0" borderId="0" xfId="0" applyFont="1"/>
    <xf numFmtId="0" fontId="51" fillId="0" borderId="48" xfId="16" applyFont="1" applyBorder="1" applyAlignment="1">
      <alignment wrapText="1"/>
    </xf>
    <xf numFmtId="164" fontId="76" fillId="0" borderId="3" xfId="1" applyNumberFormat="1" applyFont="1" applyFill="1" applyBorder="1" applyAlignment="1">
      <alignment horizontal="center"/>
    </xf>
    <xf numFmtId="0" fontId="51" fillId="0" borderId="3" xfId="16" applyFont="1" applyBorder="1" applyAlignment="1">
      <alignment horizontal="center"/>
    </xf>
    <xf numFmtId="0" fontId="51" fillId="0" borderId="13" xfId="16" applyFont="1" applyBorder="1" applyAlignment="1">
      <alignment wrapText="1"/>
    </xf>
    <xf numFmtId="0" fontId="48" fillId="40" borderId="13" xfId="0" applyFont="1" applyFill="1" applyBorder="1"/>
    <xf numFmtId="0" fontId="48" fillId="33" borderId="13" xfId="0" applyFont="1" applyFill="1" applyBorder="1" applyAlignment="1">
      <alignment horizontal="center"/>
    </xf>
    <xf numFmtId="0" fontId="51" fillId="0" borderId="13" xfId="0" applyFont="1" applyBorder="1" applyAlignment="1">
      <alignment horizontal="center"/>
    </xf>
    <xf numFmtId="164" fontId="48" fillId="0" borderId="0" xfId="1" applyNumberFormat="1" applyFont="1" applyFill="1" applyAlignment="1">
      <alignment horizontal="center"/>
    </xf>
    <xf numFmtId="0" fontId="48" fillId="0" borderId="44" xfId="0" applyFont="1" applyBorder="1"/>
    <xf numFmtId="0" fontId="48" fillId="0" borderId="12" xfId="0" applyFont="1" applyBorder="1"/>
    <xf numFmtId="0" fontId="51" fillId="2" borderId="0" xfId="16" applyFont="1" applyFill="1"/>
    <xf numFmtId="0" fontId="51" fillId="2" borderId="0" xfId="0" applyFont="1" applyFill="1"/>
    <xf numFmtId="4" fontId="48" fillId="0" borderId="65" xfId="1" applyNumberFormat="1" applyFont="1" applyFill="1" applyBorder="1" applyAlignment="1">
      <alignment horizontal="center"/>
    </xf>
    <xf numFmtId="164" fontId="48" fillId="0" borderId="0" xfId="1" applyNumberFormat="1" applyFont="1" applyFill="1" applyProtection="1">
      <protection locked="0"/>
    </xf>
    <xf numFmtId="164" fontId="48" fillId="0" borderId="8" xfId="1" applyNumberFormat="1" applyFont="1" applyFill="1" applyBorder="1"/>
    <xf numFmtId="0" fontId="51" fillId="0" borderId="108" xfId="0" applyFont="1" applyBorder="1"/>
    <xf numFmtId="0" fontId="51" fillId="0" borderId="109" xfId="0" applyFont="1" applyBorder="1"/>
    <xf numFmtId="0" fontId="48" fillId="0" borderId="63" xfId="0" quotePrefix="1" applyFont="1" applyBorder="1" applyAlignment="1">
      <alignment horizontal="center" wrapText="1"/>
    </xf>
    <xf numFmtId="42" fontId="48" fillId="0" borderId="44" xfId="16" applyNumberFormat="1" applyFont="1" applyBorder="1"/>
    <xf numFmtId="41" fontId="48" fillId="0" borderId="0" xfId="1" applyNumberFormat="1" applyFont="1" applyFill="1"/>
    <xf numFmtId="164" fontId="48" fillId="0" borderId="107" xfId="1" applyNumberFormat="1" applyFont="1" applyFill="1" applyBorder="1"/>
    <xf numFmtId="164" fontId="51" fillId="40" borderId="110" xfId="0" applyNumberFormat="1" applyFont="1" applyFill="1" applyBorder="1"/>
    <xf numFmtId="0" fontId="51" fillId="0" borderId="112" xfId="0" quotePrefix="1" applyFont="1" applyBorder="1" applyAlignment="1">
      <alignment horizontal="left"/>
    </xf>
    <xf numFmtId="164" fontId="51" fillId="0" borderId="0" xfId="0" quotePrefix="1" applyNumberFormat="1" applyFont="1"/>
    <xf numFmtId="41" fontId="48" fillId="0" borderId="44" xfId="16" applyNumberFormat="1" applyFont="1" applyBorder="1"/>
    <xf numFmtId="164" fontId="48" fillId="0" borderId="110" xfId="1" applyNumberFormat="1" applyFont="1" applyFill="1" applyBorder="1"/>
    <xf numFmtId="170" fontId="48" fillId="0" borderId="0" xfId="0" applyNumberFormat="1" applyFont="1"/>
    <xf numFmtId="164" fontId="48" fillId="0" borderId="130" xfId="1" applyNumberFormat="1" applyFont="1" applyFill="1" applyBorder="1"/>
    <xf numFmtId="0" fontId="48" fillId="0" borderId="108" xfId="0" applyFont="1" applyBorder="1"/>
    <xf numFmtId="0" fontId="48" fillId="0" borderId="109" xfId="0" applyFont="1" applyBorder="1"/>
    <xf numFmtId="164" fontId="51" fillId="40" borderId="111" xfId="0" applyNumberFormat="1" applyFont="1" applyFill="1" applyBorder="1"/>
    <xf numFmtId="0" fontId="51" fillId="0" borderId="112" xfId="0" applyFont="1" applyBorder="1"/>
    <xf numFmtId="164" fontId="51" fillId="0" borderId="3" xfId="0" applyNumberFormat="1" applyFont="1" applyBorder="1"/>
    <xf numFmtId="41" fontId="48" fillId="0" borderId="14" xfId="16" applyNumberFormat="1" applyFont="1" applyBorder="1"/>
    <xf numFmtId="0" fontId="48" fillId="0" borderId="2" xfId="16" applyFont="1" applyBorder="1"/>
    <xf numFmtId="42" fontId="48" fillId="0" borderId="2" xfId="1" applyNumberFormat="1" applyFont="1" applyFill="1" applyBorder="1"/>
    <xf numFmtId="42" fontId="48" fillId="0" borderId="3" xfId="1" applyNumberFormat="1" applyFont="1" applyFill="1" applyBorder="1"/>
    <xf numFmtId="42" fontId="51" fillId="0" borderId="7" xfId="0" applyNumberFormat="1" applyFont="1" applyBorder="1"/>
    <xf numFmtId="42" fontId="48" fillId="0" borderId="116" xfId="0" applyNumberFormat="1" applyFont="1" applyBorder="1"/>
    <xf numFmtId="42" fontId="51" fillId="40" borderId="9" xfId="1" applyNumberFormat="1" applyFont="1" applyFill="1" applyBorder="1"/>
    <xf numFmtId="0" fontId="51" fillId="0" borderId="10" xfId="0" applyFont="1" applyBorder="1" applyAlignment="1">
      <alignment horizontal="left"/>
    </xf>
    <xf numFmtId="0" fontId="48" fillId="0" borderId="11" xfId="0" applyFont="1" applyBorder="1"/>
    <xf numFmtId="42" fontId="51" fillId="0" borderId="7" xfId="1" applyNumberFormat="1" applyFont="1" applyFill="1" applyBorder="1"/>
    <xf numFmtId="44" fontId="48" fillId="0" borderId="0" xfId="0" applyNumberFormat="1" applyFont="1"/>
    <xf numFmtId="0" fontId="51" fillId="0" borderId="10" xfId="0" quotePrefix="1" applyFont="1" applyBorder="1" applyAlignment="1">
      <alignment horizontal="left"/>
    </xf>
    <xf numFmtId="42" fontId="51" fillId="0" borderId="7" xfId="16" applyNumberFormat="1" applyFont="1" applyBorder="1"/>
    <xf numFmtId="164" fontId="48" fillId="0" borderId="0" xfId="1" applyNumberFormat="1" applyFont="1" applyFill="1" applyBorder="1"/>
    <xf numFmtId="42" fontId="48" fillId="0" borderId="2" xfId="1" applyNumberFormat="1" applyFont="1" applyFill="1" applyBorder="1" applyAlignment="1">
      <alignment horizontal="right"/>
    </xf>
    <xf numFmtId="42" fontId="51" fillId="40" borderId="9" xfId="1" applyNumberFormat="1" applyFont="1" applyFill="1" applyBorder="1" applyAlignment="1">
      <alignment horizontal="right"/>
    </xf>
    <xf numFmtId="0" fontId="48" fillId="0" borderId="12" xfId="0" applyFont="1" applyBorder="1" applyAlignment="1">
      <alignment horizontal="center"/>
    </xf>
    <xf numFmtId="42" fontId="51" fillId="0" borderId="7" xfId="1" applyNumberFormat="1" applyFont="1" applyFill="1" applyBorder="1" applyAlignment="1">
      <alignment horizontal="right"/>
    </xf>
    <xf numFmtId="0" fontId="51" fillId="0" borderId="3" xfId="16" applyFont="1" applyBorder="1"/>
    <xf numFmtId="42" fontId="51" fillId="0" borderId="3" xfId="1" applyNumberFormat="1" applyFont="1" applyFill="1" applyBorder="1" applyAlignment="1">
      <alignment horizontal="right"/>
    </xf>
    <xf numFmtId="42" fontId="51" fillId="0" borderId="3" xfId="1" applyNumberFormat="1" applyFont="1" applyFill="1" applyBorder="1" applyAlignment="1"/>
    <xf numFmtId="42" fontId="51" fillId="0" borderId="129" xfId="1" applyNumberFormat="1" applyFont="1" applyFill="1" applyBorder="1" applyAlignment="1">
      <alignment horizontal="right"/>
    </xf>
    <xf numFmtId="170" fontId="51" fillId="0" borderId="14" xfId="0" applyNumberFormat="1" applyFont="1" applyBorder="1"/>
    <xf numFmtId="42" fontId="51" fillId="0" borderId="48" xfId="1" applyNumberFormat="1" applyFont="1" applyFill="1" applyBorder="1" applyAlignment="1">
      <alignment horizontal="right"/>
    </xf>
    <xf numFmtId="164" fontId="48" fillId="0" borderId="0" xfId="0" applyNumberFormat="1" applyFont="1"/>
    <xf numFmtId="0" fontId="48" fillId="0" borderId="14" xfId="0" applyFont="1" applyBorder="1"/>
    <xf numFmtId="0" fontId="51" fillId="0" borderId="122" xfId="0" applyFont="1" applyBorder="1"/>
    <xf numFmtId="42" fontId="51" fillId="40" borderId="123" xfId="0" applyNumberFormat="1" applyFont="1" applyFill="1" applyBorder="1"/>
    <xf numFmtId="170" fontId="51" fillId="0" borderId="44" xfId="0" applyNumberFormat="1" applyFont="1" applyBorder="1"/>
    <xf numFmtId="170" fontId="48" fillId="7" borderId="0" xfId="25" applyNumberFormat="1" applyFont="1" applyFill="1" applyBorder="1" applyAlignment="1">
      <alignment horizontal="right" vertical="top"/>
    </xf>
    <xf numFmtId="0" fontId="51" fillId="0" borderId="13" xfId="0" applyFont="1" applyBorder="1"/>
    <xf numFmtId="170" fontId="51" fillId="33" borderId="13" xfId="0" applyNumberFormat="1" applyFont="1" applyFill="1" applyBorder="1"/>
    <xf numFmtId="41" fontId="48" fillId="0" borderId="6" xfId="0" applyNumberFormat="1" applyFont="1" applyBorder="1"/>
    <xf numFmtId="41" fontId="48" fillId="0" borderId="7" xfId="0" applyNumberFormat="1" applyFont="1" applyBorder="1"/>
    <xf numFmtId="41" fontId="48" fillId="32" borderId="0" xfId="1" applyNumberFormat="1" applyFont="1" applyFill="1"/>
    <xf numFmtId="41" fontId="48" fillId="0" borderId="0" xfId="0" applyNumberFormat="1" applyFont="1" applyAlignment="1">
      <alignment wrapText="1"/>
    </xf>
    <xf numFmtId="37" fontId="51" fillId="0" borderId="2" xfId="16" applyNumberFormat="1" applyFont="1" applyBorder="1"/>
    <xf numFmtId="42" fontId="51" fillId="0" borderId="2" xfId="1" applyNumberFormat="1" applyFont="1" applyFill="1" applyBorder="1"/>
    <xf numFmtId="42" fontId="51" fillId="0" borderId="116" xfId="1" applyNumberFormat="1" applyFont="1" applyFill="1" applyBorder="1" applyAlignment="1">
      <alignment horizontal="right"/>
    </xf>
    <xf numFmtId="42" fontId="51" fillId="0" borderId="9" xfId="1" applyNumberFormat="1" applyFont="1" applyFill="1" applyBorder="1"/>
    <xf numFmtId="0" fontId="48" fillId="0" borderId="12" xfId="0" quotePrefix="1" applyFont="1" applyBorder="1" applyAlignment="1">
      <alignment horizontal="center" wrapText="1"/>
    </xf>
    <xf numFmtId="42" fontId="48" fillId="0" borderId="5" xfId="0" applyNumberFormat="1" applyFont="1" applyBorder="1" applyAlignment="1">
      <alignment wrapText="1"/>
    </xf>
    <xf numFmtId="170" fontId="51" fillId="33" borderId="48" xfId="0" applyNumberFormat="1" applyFont="1" applyFill="1" applyBorder="1" applyAlignment="1">
      <alignment horizontal="center" wrapText="1"/>
    </xf>
    <xf numFmtId="0" fontId="48" fillId="0" borderId="114" xfId="0" applyFont="1" applyBorder="1" applyAlignment="1">
      <alignment wrapText="1"/>
    </xf>
    <xf numFmtId="42" fontId="51" fillId="0" borderId="115" xfId="0" applyNumberFormat="1" applyFont="1" applyBorder="1"/>
    <xf numFmtId="42" fontId="48" fillId="0" borderId="0" xfId="0" applyNumberFormat="1" applyFont="1" applyAlignment="1">
      <alignment wrapText="1"/>
    </xf>
    <xf numFmtId="170" fontId="51" fillId="33" borderId="14" xfId="0" applyNumberFormat="1" applyFont="1" applyFill="1" applyBorder="1"/>
    <xf numFmtId="41" fontId="48" fillId="0" borderId="0" xfId="1" applyNumberFormat="1" applyFont="1" applyFill="1" applyProtection="1">
      <protection locked="0"/>
    </xf>
    <xf numFmtId="0" fontId="48" fillId="0" borderId="0" xfId="16" quotePrefix="1" applyFont="1" applyAlignment="1">
      <alignment horizontal="left"/>
    </xf>
    <xf numFmtId="164" fontId="48" fillId="0" borderId="2" xfId="1" applyNumberFormat="1" applyFont="1" applyFill="1" applyBorder="1" applyProtection="1">
      <protection locked="0"/>
    </xf>
    <xf numFmtId="37" fontId="51" fillId="2" borderId="5" xfId="16" applyNumberFormat="1" applyFont="1" applyFill="1" applyBorder="1"/>
    <xf numFmtId="41" fontId="48" fillId="32" borderId="0" xfId="0" applyNumberFormat="1" applyFont="1" applyFill="1"/>
    <xf numFmtId="41" fontId="48" fillId="32" borderId="3" xfId="0" applyNumberFormat="1" applyFont="1" applyFill="1" applyBorder="1"/>
    <xf numFmtId="0" fontId="48" fillId="32" borderId="0" xfId="0" applyFont="1" applyFill="1" applyAlignment="1">
      <alignment horizontal="center"/>
    </xf>
    <xf numFmtId="0" fontId="78" fillId="7" borderId="0" xfId="16" applyFont="1" applyFill="1" applyAlignment="1">
      <alignment horizontal="left"/>
    </xf>
    <xf numFmtId="0" fontId="78" fillId="0" borderId="0" xfId="16" applyFont="1" applyAlignment="1">
      <alignment horizontal="left"/>
    </xf>
    <xf numFmtId="0" fontId="79" fillId="0" borderId="0" xfId="16" applyFont="1"/>
    <xf numFmtId="165" fontId="79" fillId="0" borderId="0" xfId="16" applyNumberFormat="1" applyFont="1"/>
    <xf numFmtId="0" fontId="76" fillId="0" borderId="0" xfId="16" applyFont="1"/>
    <xf numFmtId="165" fontId="79" fillId="5" borderId="0" xfId="16" applyNumberFormat="1" applyFont="1" applyFill="1"/>
    <xf numFmtId="9" fontId="67" fillId="0" borderId="0" xfId="24" applyFont="1"/>
    <xf numFmtId="0" fontId="76" fillId="0" borderId="0" xfId="16" quotePrefix="1" applyFont="1" applyAlignment="1">
      <alignment horizontal="left"/>
    </xf>
    <xf numFmtId="0" fontId="76" fillId="0" borderId="6" xfId="16" applyFont="1" applyBorder="1"/>
    <xf numFmtId="165" fontId="79" fillId="0" borderId="7" xfId="16" applyNumberFormat="1" applyFont="1" applyBorder="1"/>
    <xf numFmtId="9" fontId="48" fillId="0" borderId="0" xfId="16" applyNumberFormat="1" applyFont="1"/>
    <xf numFmtId="0" fontId="76" fillId="0" borderId="0" xfId="16" applyFont="1" applyAlignment="1">
      <alignment horizontal="center"/>
    </xf>
    <xf numFmtId="0" fontId="76" fillId="8" borderId="0" xfId="16" applyFont="1" applyFill="1"/>
    <xf numFmtId="0" fontId="76" fillId="8" borderId="0" xfId="16" quotePrefix="1" applyFont="1" applyFill="1" applyAlignment="1">
      <alignment horizontal="left"/>
    </xf>
    <xf numFmtId="0" fontId="81" fillId="0" borderId="0" xfId="16" applyFont="1"/>
    <xf numFmtId="37" fontId="76" fillId="0" borderId="0" xfId="16" applyNumberFormat="1" applyFont="1"/>
    <xf numFmtId="37" fontId="76" fillId="0" borderId="6" xfId="16" applyNumberFormat="1" applyFont="1" applyBorder="1"/>
    <xf numFmtId="0" fontId="82" fillId="0" borderId="0" xfId="16" applyFont="1"/>
    <xf numFmtId="172" fontId="48" fillId="0" borderId="0" xfId="0" applyNumberFormat="1" applyFont="1"/>
    <xf numFmtId="41" fontId="48" fillId="0" borderId="2" xfId="1" applyNumberFormat="1" applyFont="1" applyFill="1" applyBorder="1"/>
    <xf numFmtId="43" fontId="48" fillId="0" borderId="0" xfId="1" applyFont="1" applyFill="1" applyBorder="1" applyProtection="1">
      <protection locked="0"/>
    </xf>
    <xf numFmtId="172" fontId="51" fillId="0" borderId="0" xfId="26" applyNumberFormat="1" applyFont="1"/>
    <xf numFmtId="43" fontId="48" fillId="0" borderId="0" xfId="1" applyFont="1" applyFill="1" applyAlignment="1">
      <alignment horizontal="center"/>
    </xf>
    <xf numFmtId="164" fontId="51" fillId="0" borderId="0" xfId="0" quotePrefix="1" applyNumberFormat="1" applyFont="1" applyAlignment="1">
      <alignment horizontal="center"/>
    </xf>
    <xf numFmtId="42" fontId="48" fillId="0" borderId="2" xfId="16" applyNumberFormat="1" applyFont="1" applyBorder="1"/>
    <xf numFmtId="37" fontId="76" fillId="8" borderId="0" xfId="16" applyNumberFormat="1" applyFont="1" applyFill="1"/>
    <xf numFmtId="37" fontId="76" fillId="2" borderId="0" xfId="16" applyNumberFormat="1" applyFont="1" applyFill="1"/>
    <xf numFmtId="0" fontId="83" fillId="0" borderId="0" xfId="0" applyFont="1"/>
    <xf numFmtId="0" fontId="55" fillId="0" borderId="0" xfId="0" applyFont="1"/>
    <xf numFmtId="0" fontId="81" fillId="0" borderId="0" xfId="16" applyFont="1" applyAlignment="1">
      <alignment horizontal="center"/>
    </xf>
    <xf numFmtId="42" fontId="79" fillId="5" borderId="0" xfId="16" applyNumberFormat="1" applyFont="1" applyFill="1"/>
    <xf numFmtId="0" fontId="51" fillId="7" borderId="3" xfId="0" applyFont="1" applyFill="1" applyBorder="1" applyAlignment="1">
      <alignment horizontal="center" wrapText="1"/>
    </xf>
    <xf numFmtId="41" fontId="51" fillId="7" borderId="0" xfId="0" applyNumberFormat="1" applyFont="1" applyFill="1" applyAlignment="1">
      <alignment horizontal="center" wrapText="1"/>
    </xf>
    <xf numFmtId="0" fontId="50" fillId="7" borderId="0" xfId="0" applyFont="1" applyFill="1" applyAlignment="1">
      <alignment horizontal="left"/>
    </xf>
    <xf numFmtId="0" fontId="50" fillId="0" borderId="0" xfId="0" applyFont="1" applyAlignment="1">
      <alignment horizontal="left"/>
    </xf>
    <xf numFmtId="0" fontId="51" fillId="0" borderId="3" xfId="0" applyFont="1" applyBorder="1" applyAlignment="1">
      <alignment horizontal="center"/>
    </xf>
    <xf numFmtId="0" fontId="51" fillId="0" borderId="3" xfId="0" applyFont="1" applyBorder="1"/>
    <xf numFmtId="37" fontId="48" fillId="4" borderId="0" xfId="0" applyNumberFormat="1" applyFont="1" applyFill="1"/>
    <xf numFmtId="37" fontId="51" fillId="0" borderId="2" xfId="0" applyNumberFormat="1" applyFont="1" applyBorder="1"/>
    <xf numFmtId="0" fontId="48" fillId="0" borderId="0" xfId="0" quotePrefix="1" applyFont="1" applyAlignment="1">
      <alignment horizontal="left"/>
    </xf>
    <xf numFmtId="37" fontId="51" fillId="2" borderId="5" xfId="0" applyNumberFormat="1" applyFont="1" applyFill="1" applyBorder="1"/>
    <xf numFmtId="0" fontId="78" fillId="7" borderId="0" xfId="0" applyFont="1" applyFill="1" applyAlignment="1">
      <alignment horizontal="left"/>
    </xf>
    <xf numFmtId="0" fontId="78" fillId="0" borderId="0" xfId="0" applyFont="1" applyAlignment="1">
      <alignment horizontal="left"/>
    </xf>
    <xf numFmtId="0" fontId="79" fillId="0" borderId="0" xfId="0" applyFont="1"/>
    <xf numFmtId="165" fontId="79" fillId="0" borderId="0" xfId="0" applyNumberFormat="1" applyFont="1"/>
    <xf numFmtId="0" fontId="76" fillId="0" borderId="0" xfId="0" applyFont="1"/>
    <xf numFmtId="165" fontId="79" fillId="5" borderId="0" xfId="0" applyNumberFormat="1" applyFont="1" applyFill="1"/>
    <xf numFmtId="0" fontId="76" fillId="0" borderId="0" xfId="0" quotePrefix="1" applyFont="1" applyAlignment="1">
      <alignment horizontal="left"/>
    </xf>
    <xf numFmtId="0" fontId="76" fillId="0" borderId="6" xfId="0" applyFont="1" applyBorder="1"/>
    <xf numFmtId="165" fontId="79" fillId="0" borderId="7" xfId="0" applyNumberFormat="1" applyFont="1" applyBorder="1"/>
    <xf numFmtId="0" fontId="76" fillId="0" borderId="0" xfId="0" applyFont="1" applyAlignment="1">
      <alignment horizontal="center"/>
    </xf>
    <xf numFmtId="0" fontId="76" fillId="8" borderId="0" xfId="0" applyFont="1" applyFill="1"/>
    <xf numFmtId="0" fontId="81" fillId="0" borderId="0" xfId="0" applyFont="1"/>
    <xf numFmtId="37" fontId="76" fillId="0" borderId="0" xfId="0" applyNumberFormat="1" applyFont="1"/>
    <xf numFmtId="37" fontId="76" fillId="2" borderId="0" xfId="0" applyNumberFormat="1" applyFont="1" applyFill="1"/>
    <xf numFmtId="37" fontId="76" fillId="0" borderId="6" xfId="0" applyNumberFormat="1" applyFont="1" applyBorder="1"/>
    <xf numFmtId="0" fontId="82" fillId="0" borderId="0" xfId="0" applyFont="1"/>
    <xf numFmtId="0" fontId="50" fillId="0" borderId="0" xfId="0" applyFont="1"/>
    <xf numFmtId="0" fontId="65" fillId="0" borderId="0" xfId="0" applyFont="1" applyAlignment="1">
      <alignment horizontal="left" wrapText="1" readingOrder="1"/>
    </xf>
    <xf numFmtId="41" fontId="48" fillId="33" borderId="0" xfId="16" applyNumberFormat="1" applyFont="1" applyFill="1" applyAlignment="1">
      <alignment horizontal="center"/>
    </xf>
    <xf numFmtId="41" fontId="55" fillId="0" borderId="0" xfId="0" applyNumberFormat="1" applyFont="1" applyAlignment="1">
      <alignment horizontal="center"/>
    </xf>
    <xf numFmtId="41" fontId="48" fillId="7" borderId="0" xfId="0" applyNumberFormat="1" applyFont="1" applyFill="1" applyAlignment="1">
      <alignment horizontal="center"/>
    </xf>
    <xf numFmtId="43" fontId="48" fillId="6" borderId="0" xfId="0" applyNumberFormat="1" applyFont="1" applyFill="1"/>
    <xf numFmtId="37" fontId="48" fillId="7" borderId="0" xfId="0" applyNumberFormat="1" applyFont="1" applyFill="1" applyAlignment="1">
      <alignment horizontal="center"/>
    </xf>
    <xf numFmtId="37" fontId="48" fillId="31" borderId="0" xfId="0" applyNumberFormat="1" applyFont="1" applyFill="1" applyAlignment="1">
      <alignment horizontal="center"/>
    </xf>
    <xf numFmtId="37" fontId="48" fillId="31" borderId="0" xfId="0" applyNumberFormat="1" applyFont="1" applyFill="1"/>
    <xf numFmtId="37" fontId="48" fillId="7" borderId="2" xfId="0" applyNumberFormat="1" applyFont="1" applyFill="1" applyBorder="1"/>
    <xf numFmtId="41" fontId="48" fillId="7" borderId="2" xfId="0" applyNumberFormat="1" applyFont="1" applyFill="1" applyBorder="1"/>
    <xf numFmtId="37" fontId="51" fillId="7" borderId="3" xfId="0" applyNumberFormat="1" applyFont="1" applyFill="1" applyBorder="1"/>
    <xf numFmtId="41" fontId="48" fillId="7" borderId="3" xfId="0" applyNumberFormat="1" applyFont="1" applyFill="1" applyBorder="1"/>
    <xf numFmtId="37" fontId="48" fillId="7" borderId="3" xfId="0" applyNumberFormat="1" applyFont="1" applyFill="1" applyBorder="1"/>
    <xf numFmtId="37" fontId="48" fillId="7" borderId="5" xfId="0" applyNumberFormat="1" applyFont="1" applyFill="1" applyBorder="1"/>
    <xf numFmtId="41" fontId="48" fillId="7" borderId="5" xfId="0" applyNumberFormat="1" applyFont="1" applyFill="1" applyBorder="1"/>
    <xf numFmtId="39" fontId="48" fillId="7" borderId="0" xfId="0" applyNumberFormat="1" applyFont="1" applyFill="1"/>
    <xf numFmtId="164" fontId="84" fillId="0" borderId="0" xfId="1" applyNumberFormat="1" applyFont="1" applyFill="1" applyAlignment="1">
      <alignment horizontal="center"/>
    </xf>
    <xf numFmtId="0" fontId="84" fillId="0" borderId="0" xfId="16" applyFont="1" applyAlignment="1">
      <alignment horizontal="center"/>
    </xf>
    <xf numFmtId="4" fontId="48" fillId="0" borderId="0" xfId="16" applyNumberFormat="1" applyFont="1" applyAlignment="1">
      <alignment horizontal="center"/>
    </xf>
    <xf numFmtId="2" fontId="48" fillId="0" borderId="0" xfId="16" applyNumberFormat="1" applyFont="1"/>
    <xf numFmtId="4" fontId="48" fillId="0" borderId="0" xfId="16" applyNumberFormat="1" applyFont="1"/>
    <xf numFmtId="4" fontId="48" fillId="0" borderId="14" xfId="1" applyNumberFormat="1" applyFont="1" applyFill="1" applyBorder="1" applyAlignment="1">
      <alignment horizontal="center"/>
    </xf>
    <xf numFmtId="164" fontId="51" fillId="0" borderId="62" xfId="0" quotePrefix="1" applyNumberFormat="1" applyFont="1" applyBorder="1"/>
    <xf numFmtId="0" fontId="48" fillId="0" borderId="62" xfId="0" quotePrefix="1" applyFont="1" applyBorder="1" applyAlignment="1">
      <alignment horizontal="center" wrapText="1"/>
    </xf>
    <xf numFmtId="164" fontId="51" fillId="0" borderId="65" xfId="0" applyNumberFormat="1" applyFont="1" applyBorder="1"/>
    <xf numFmtId="42" fontId="48" fillId="32" borderId="2" xfId="1" applyNumberFormat="1" applyFont="1" applyFill="1" applyBorder="1"/>
    <xf numFmtId="41" fontId="48" fillId="32" borderId="0" xfId="16" applyNumberFormat="1" applyFont="1" applyFill="1"/>
    <xf numFmtId="42" fontId="48" fillId="0" borderId="114" xfId="0" applyNumberFormat="1" applyFont="1" applyBorder="1" applyAlignment="1">
      <alignment wrapText="1"/>
    </xf>
    <xf numFmtId="42" fontId="48" fillId="0" borderId="3" xfId="0" applyNumberFormat="1" applyFont="1" applyBorder="1"/>
    <xf numFmtId="0" fontId="48" fillId="0" borderId="14" xfId="16" applyFont="1" applyBorder="1" applyAlignment="1">
      <alignment horizontal="center"/>
    </xf>
    <xf numFmtId="3" fontId="48" fillId="0" borderId="0" xfId="16" applyNumberFormat="1" applyFont="1"/>
    <xf numFmtId="3" fontId="48" fillId="0" borderId="3" xfId="16" applyNumberFormat="1" applyFont="1" applyBorder="1"/>
    <xf numFmtId="0" fontId="51" fillId="0" borderId="63" xfId="16" applyFont="1" applyBorder="1"/>
    <xf numFmtId="0" fontId="48" fillId="0" borderId="64" xfId="16" applyFont="1" applyBorder="1"/>
    <xf numFmtId="0" fontId="48" fillId="0" borderId="52" xfId="16" applyFont="1" applyBorder="1"/>
    <xf numFmtId="0" fontId="48" fillId="0" borderId="62" xfId="16" applyFont="1" applyBorder="1"/>
    <xf numFmtId="0" fontId="48" fillId="0" borderId="41" xfId="16" applyFont="1" applyBorder="1"/>
    <xf numFmtId="0" fontId="48" fillId="0" borderId="48" xfId="16" applyFont="1" applyBorder="1"/>
    <xf numFmtId="0" fontId="48" fillId="0" borderId="0" xfId="16" applyFont="1" applyAlignment="1">
      <alignment horizontal="left"/>
    </xf>
    <xf numFmtId="164" fontId="51" fillId="0" borderId="3" xfId="1" applyNumberFormat="1" applyFont="1" applyFill="1" applyBorder="1" applyAlignment="1">
      <alignment horizontal="center"/>
    </xf>
    <xf numFmtId="4" fontId="48" fillId="0" borderId="0" xfId="1" applyNumberFormat="1" applyFont="1" applyFill="1" applyAlignment="1">
      <alignment horizontal="center"/>
    </xf>
    <xf numFmtId="164" fontId="48" fillId="0" borderId="0" xfId="1" applyNumberFormat="1" applyFont="1" applyFill="1" applyAlignment="1">
      <alignment horizontal="right"/>
    </xf>
    <xf numFmtId="42" fontId="51" fillId="0" borderId="2" xfId="0" applyNumberFormat="1" applyFont="1" applyBorder="1"/>
    <xf numFmtId="41" fontId="48" fillId="0" borderId="0" xfId="1" applyNumberFormat="1" applyFont="1" applyFill="1" applyAlignment="1">
      <alignment horizontal="right"/>
    </xf>
    <xf numFmtId="37" fontId="51" fillId="7" borderId="0" xfId="16" applyNumberFormat="1" applyFont="1" applyFill="1"/>
    <xf numFmtId="37" fontId="48" fillId="7" borderId="5" xfId="16" applyNumberFormat="1" applyFont="1" applyFill="1" applyBorder="1"/>
    <xf numFmtId="37" fontId="48" fillId="0" borderId="0" xfId="16" applyNumberFormat="1" applyFont="1" applyAlignment="1">
      <alignment horizontal="center"/>
    </xf>
    <xf numFmtId="0" fontId="51" fillId="0" borderId="0" xfId="88" applyFont="1" applyAlignment="1">
      <alignment horizontal="center"/>
    </xf>
    <xf numFmtId="15" fontId="51" fillId="0" borderId="0" xfId="88" applyNumberFormat="1" applyFont="1" applyAlignment="1">
      <alignment horizontal="center"/>
    </xf>
    <xf numFmtId="0" fontId="48" fillId="0" borderId="3" xfId="61" applyFont="1" applyBorder="1" applyAlignment="1">
      <alignment horizontal="center" wrapText="1"/>
    </xf>
    <xf numFmtId="0" fontId="51" fillId="0" borderId="3" xfId="61" applyFont="1" applyBorder="1" applyAlignment="1">
      <alignment horizontal="center" wrapText="1"/>
    </xf>
    <xf numFmtId="0" fontId="48" fillId="0" borderId="0" xfId="61" applyFont="1"/>
    <xf numFmtId="0" fontId="51" fillId="0" borderId="0" xfId="61" applyFont="1" applyAlignment="1">
      <alignment horizontal="center" wrapText="1"/>
    </xf>
    <xf numFmtId="42" fontId="48" fillId="0" borderId="0" xfId="1" applyNumberFormat="1" applyFont="1" applyFill="1" applyBorder="1"/>
    <xf numFmtId="167" fontId="48" fillId="0" borderId="0" xfId="24" applyNumberFormat="1" applyFont="1" applyAlignment="1">
      <alignment horizontal="center"/>
    </xf>
    <xf numFmtId="1" fontId="48" fillId="0" borderId="5" xfId="61" applyNumberFormat="1" applyFont="1" applyBorder="1" applyAlignment="1">
      <alignment horizontal="center"/>
    </xf>
    <xf numFmtId="0" fontId="51" fillId="0" borderId="5" xfId="61" applyFont="1" applyBorder="1"/>
    <xf numFmtId="42" fontId="51" fillId="0" borderId="5" xfId="93" applyNumberFormat="1" applyFont="1" applyFill="1" applyBorder="1"/>
    <xf numFmtId="167" fontId="51" fillId="0" borderId="5" xfId="24" applyNumberFormat="1" applyFont="1" applyFill="1" applyBorder="1" applyAlignment="1">
      <alignment horizontal="center"/>
    </xf>
    <xf numFmtId="41" fontId="48" fillId="2" borderId="85" xfId="1" applyNumberFormat="1" applyFont="1" applyFill="1" applyBorder="1"/>
    <xf numFmtId="41" fontId="48" fillId="32" borderId="85" xfId="1" applyNumberFormat="1" applyFont="1" applyFill="1" applyBorder="1" applyAlignment="1">
      <alignment horizontal="center"/>
    </xf>
    <xf numFmtId="0" fontId="51" fillId="0" borderId="121" xfId="16" applyFont="1" applyBorder="1" applyAlignment="1">
      <alignment horizontal="center"/>
    </xf>
    <xf numFmtId="0" fontId="51" fillId="0" borderId="113" xfId="16" applyFont="1" applyBorder="1" applyAlignment="1">
      <alignment horizontal="center"/>
    </xf>
    <xf numFmtId="0" fontId="51" fillId="0" borderId="84" xfId="16" applyFont="1" applyBorder="1" applyAlignment="1">
      <alignment horizontal="center"/>
    </xf>
    <xf numFmtId="0" fontId="48" fillId="0" borderId="121" xfId="16" applyFont="1" applyBorder="1" applyAlignment="1">
      <alignment horizontal="center"/>
    </xf>
    <xf numFmtId="0" fontId="48" fillId="0" borderId="113" xfId="16" applyFont="1" applyBorder="1" applyAlignment="1">
      <alignment horizontal="center"/>
    </xf>
    <xf numFmtId="0" fontId="48" fillId="0" borderId="84" xfId="16" applyFont="1" applyBorder="1" applyAlignment="1">
      <alignment horizontal="center"/>
    </xf>
    <xf numFmtId="0" fontId="5" fillId="0" borderId="6" xfId="16" applyBorder="1" applyAlignment="1">
      <alignment horizontal="center"/>
    </xf>
    <xf numFmtId="0" fontId="5" fillId="0" borderId="7" xfId="16" applyBorder="1" applyAlignment="1">
      <alignment horizontal="center"/>
    </xf>
    <xf numFmtId="0" fontId="6" fillId="0" borderId="6" xfId="16" applyFont="1" applyBorder="1" applyAlignment="1">
      <alignment horizontal="center"/>
    </xf>
    <xf numFmtId="0" fontId="6" fillId="0" borderId="2" xfId="16" applyFont="1" applyBorder="1" applyAlignment="1">
      <alignment horizontal="center"/>
    </xf>
    <xf numFmtId="0" fontId="6" fillId="0" borderId="7" xfId="16" applyFont="1" applyBorder="1" applyAlignment="1">
      <alignment horizontal="center"/>
    </xf>
    <xf numFmtId="0" fontId="5" fillId="8" borderId="6" xfId="16" applyFill="1" applyBorder="1" applyAlignment="1">
      <alignment horizontal="center"/>
    </xf>
    <xf numFmtId="0" fontId="5" fillId="8" borderId="2" xfId="16" applyFill="1" applyBorder="1" applyAlignment="1">
      <alignment horizontal="center"/>
    </xf>
    <xf numFmtId="0" fontId="5" fillId="8" borderId="7" xfId="16" applyFill="1" applyBorder="1" applyAlignment="1">
      <alignment horizontal="center"/>
    </xf>
    <xf numFmtId="0" fontId="5" fillId="0" borderId="3" xfId="16" applyBorder="1" applyAlignment="1">
      <alignment horizontal="center" wrapText="1"/>
    </xf>
    <xf numFmtId="0" fontId="6" fillId="43" borderId="63" xfId="88" applyFont="1" applyFill="1" applyBorder="1" applyAlignment="1">
      <alignment horizontal="center"/>
    </xf>
    <xf numFmtId="0" fontId="6" fillId="43" borderId="64" xfId="88" applyFont="1" applyFill="1" applyBorder="1" applyAlignment="1">
      <alignment horizontal="center"/>
    </xf>
    <xf numFmtId="0" fontId="6" fillId="43" borderId="52" xfId="88" applyFont="1" applyFill="1" applyBorder="1" applyAlignment="1">
      <alignment horizontal="center"/>
    </xf>
    <xf numFmtId="0" fontId="15" fillId="0" borderId="6" xfId="61" quotePrefix="1" applyFont="1" applyBorder="1" applyAlignment="1">
      <alignment horizontal="center" wrapText="1"/>
    </xf>
    <xf numFmtId="0" fontId="15" fillId="0" borderId="2" xfId="61" quotePrefix="1" applyFont="1" applyBorder="1" applyAlignment="1">
      <alignment horizontal="center" wrapText="1"/>
    </xf>
    <xf numFmtId="0" fontId="15" fillId="0" borderId="7" xfId="61" quotePrefix="1" applyFont="1" applyBorder="1" applyAlignment="1">
      <alignment horizontal="center" wrapText="1"/>
    </xf>
    <xf numFmtId="0" fontId="6" fillId="4" borderId="0" xfId="16" applyFont="1" applyFill="1" applyAlignment="1">
      <alignment horizontal="center"/>
    </xf>
    <xf numFmtId="0" fontId="47" fillId="0" borderId="6" xfId="90" applyFont="1" applyBorder="1" applyAlignment="1">
      <alignment horizontal="center"/>
    </xf>
    <xf numFmtId="0" fontId="47" fillId="0" borderId="2" xfId="90" applyFont="1" applyBorder="1" applyAlignment="1">
      <alignment horizontal="center"/>
    </xf>
    <xf numFmtId="0" fontId="47" fillId="0" borderId="7" xfId="90" applyFont="1" applyBorder="1" applyAlignment="1">
      <alignment horizontal="center"/>
    </xf>
    <xf numFmtId="38" fontId="48" fillId="0" borderId="6" xfId="16" applyNumberFormat="1" applyFont="1" applyBorder="1" applyAlignment="1">
      <alignment horizontal="center" wrapText="1"/>
    </xf>
    <xf numFmtId="0" fontId="48" fillId="0" borderId="7" xfId="16" applyFont="1" applyBorder="1" applyAlignment="1">
      <alignment horizontal="center" wrapText="1"/>
    </xf>
    <xf numFmtId="0" fontId="48" fillId="0" borderId="6" xfId="16" applyFont="1" applyBorder="1" applyAlignment="1">
      <alignment horizontal="center" wrapText="1"/>
    </xf>
    <xf numFmtId="0" fontId="80" fillId="3" borderId="0" xfId="16" applyFont="1" applyFill="1" applyAlignment="1">
      <alignment horizontal="center"/>
    </xf>
    <xf numFmtId="0" fontId="76" fillId="0" borderId="0" xfId="16" applyFont="1" applyAlignment="1">
      <alignment horizontal="center"/>
    </xf>
    <xf numFmtId="0" fontId="50" fillId="0" borderId="0" xfId="16" applyFont="1" applyAlignment="1">
      <alignment horizontal="center"/>
    </xf>
    <xf numFmtId="0" fontId="51" fillId="0" borderId="121" xfId="0" applyFont="1" applyBorder="1" applyAlignment="1">
      <alignment horizontal="center"/>
    </xf>
    <xf numFmtId="0" fontId="51" fillId="0" borderId="113" xfId="0" applyFont="1" applyBorder="1" applyAlignment="1">
      <alignment horizontal="center"/>
    </xf>
    <xf numFmtId="0" fontId="51" fillId="0" borderId="84" xfId="0" applyFont="1" applyBorder="1" applyAlignment="1">
      <alignment horizontal="center"/>
    </xf>
    <xf numFmtId="0" fontId="51" fillId="0" borderId="12" xfId="16" applyFont="1" applyBorder="1" applyAlignment="1">
      <alignment horizontal="center" wrapText="1"/>
    </xf>
    <xf numFmtId="0" fontId="51" fillId="0" borderId="14" xfId="16" applyFont="1" applyBorder="1" applyAlignment="1">
      <alignment horizontal="center" wrapText="1"/>
    </xf>
    <xf numFmtId="0" fontId="51" fillId="0" borderId="122" xfId="0" applyFont="1" applyBorder="1" applyAlignment="1">
      <alignment horizontal="center"/>
    </xf>
    <xf numFmtId="0" fontId="51" fillId="0" borderId="127" xfId="0" applyFont="1" applyBorder="1" applyAlignment="1">
      <alignment horizontal="center"/>
    </xf>
    <xf numFmtId="0" fontId="51" fillId="0" borderId="128" xfId="0" applyFont="1" applyBorder="1" applyAlignment="1">
      <alignment horizontal="center"/>
    </xf>
    <xf numFmtId="0" fontId="51" fillId="0" borderId="108" xfId="0" applyFont="1" applyBorder="1" applyAlignment="1">
      <alignment horizontal="center" vertical="center" wrapText="1"/>
    </xf>
    <xf numFmtId="0" fontId="51" fillId="0" borderId="109" xfId="0" applyFont="1" applyBorder="1" applyAlignment="1">
      <alignment horizontal="center" vertical="center" wrapText="1"/>
    </xf>
    <xf numFmtId="0" fontId="51" fillId="0" borderId="0" xfId="0" applyFont="1" applyAlignment="1">
      <alignment horizontal="center" vertical="center" wrapText="1"/>
    </xf>
    <xf numFmtId="0" fontId="51" fillId="0" borderId="114" xfId="0" applyFont="1" applyBorder="1" applyAlignment="1">
      <alignment horizontal="center" vertical="center" wrapText="1"/>
    </xf>
    <xf numFmtId="0" fontId="51" fillId="0" borderId="111" xfId="0" applyFont="1" applyBorder="1" applyAlignment="1">
      <alignment horizontal="center" vertical="center" wrapText="1"/>
    </xf>
    <xf numFmtId="0" fontId="51" fillId="0" borderId="112" xfId="0" applyFont="1" applyBorder="1" applyAlignment="1">
      <alignment horizontal="center" vertical="center" wrapText="1"/>
    </xf>
    <xf numFmtId="0" fontId="51" fillId="0" borderId="0" xfId="0" applyFont="1" applyAlignment="1">
      <alignment horizontal="left" wrapText="1"/>
    </xf>
    <xf numFmtId="0" fontId="51" fillId="0" borderId="10" xfId="0" applyFont="1" applyBorder="1" applyAlignment="1">
      <alignment wrapText="1"/>
    </xf>
    <xf numFmtId="0" fontId="51" fillId="0" borderId="11" xfId="0" applyFont="1" applyBorder="1" applyAlignment="1">
      <alignment wrapText="1"/>
    </xf>
    <xf numFmtId="0" fontId="51" fillId="0" borderId="108" xfId="0" applyFont="1" applyBorder="1"/>
    <xf numFmtId="0" fontId="51" fillId="0" borderId="119" xfId="0" applyFont="1" applyBorder="1" applyAlignment="1">
      <alignment horizontal="center"/>
    </xf>
    <xf numFmtId="0" fontId="51" fillId="0" borderId="120" xfId="0" applyFont="1" applyBorder="1" applyAlignment="1">
      <alignment horizontal="center" wrapText="1"/>
    </xf>
    <xf numFmtId="0" fontId="51" fillId="0" borderId="117" xfId="0" applyFont="1" applyBorder="1" applyAlignment="1">
      <alignment horizontal="center" wrapText="1"/>
    </xf>
    <xf numFmtId="0" fontId="51" fillId="0" borderId="118" xfId="0" applyFont="1" applyBorder="1" applyAlignment="1">
      <alignment horizontal="center" wrapText="1"/>
    </xf>
    <xf numFmtId="41" fontId="48" fillId="0" borderId="6" xfId="0" applyNumberFormat="1" applyFont="1" applyBorder="1" applyAlignment="1">
      <alignment horizontal="center"/>
    </xf>
    <xf numFmtId="41" fontId="48" fillId="0" borderId="2" xfId="0" applyNumberFormat="1" applyFont="1" applyBorder="1" applyAlignment="1">
      <alignment horizontal="center"/>
    </xf>
    <xf numFmtId="41" fontId="48" fillId="0" borderId="7" xfId="0" applyNumberFormat="1" applyFont="1" applyBorder="1" applyAlignment="1">
      <alignment horizontal="center"/>
    </xf>
    <xf numFmtId="0" fontId="48" fillId="0" borderId="0" xfId="0" applyFont="1" applyAlignment="1">
      <alignment horizontal="left" wrapText="1"/>
    </xf>
    <xf numFmtId="0" fontId="51" fillId="0" borderId="63" xfId="16" applyFont="1" applyBorder="1" applyAlignment="1">
      <alignment horizontal="center" wrapText="1"/>
    </xf>
    <xf numFmtId="0" fontId="51" fillId="0" borderId="65" xfId="16" applyFont="1" applyBorder="1" applyAlignment="1">
      <alignment horizontal="center" wrapText="1"/>
    </xf>
    <xf numFmtId="38" fontId="55" fillId="0" borderId="3" xfId="0" applyNumberFormat="1" applyFont="1" applyBorder="1" applyAlignment="1">
      <alignment horizontal="center"/>
    </xf>
    <xf numFmtId="37" fontId="71" fillId="7" borderId="0" xfId="0" applyNumberFormat="1" applyFont="1" applyFill="1"/>
    <xf numFmtId="0" fontId="51" fillId="7" borderId="3" xfId="0" applyFont="1" applyFill="1" applyBorder="1" applyAlignment="1">
      <alignment horizontal="center"/>
    </xf>
    <xf numFmtId="0" fontId="48" fillId="7" borderId="3" xfId="0" applyFont="1" applyFill="1" applyBorder="1" applyAlignment="1">
      <alignment horizontal="center"/>
    </xf>
    <xf numFmtId="0" fontId="80" fillId="3" borderId="0" xfId="0" applyFont="1" applyFill="1" applyAlignment="1">
      <alignment horizontal="center"/>
    </xf>
    <xf numFmtId="0" fontId="76" fillId="0" borderId="0" xfId="0" applyFont="1" applyAlignment="1">
      <alignment horizontal="center"/>
    </xf>
    <xf numFmtId="0" fontId="50" fillId="0" borderId="0" xfId="0" applyFont="1" applyAlignment="1">
      <alignment horizontal="center"/>
    </xf>
    <xf numFmtId="0" fontId="51" fillId="0" borderId="108" xfId="0" applyFont="1" applyBorder="1" applyAlignment="1">
      <alignment horizontal="left" vertical="center" wrapText="1"/>
    </xf>
    <xf numFmtId="0" fontId="51" fillId="0" borderId="109" xfId="0" applyFont="1" applyBorder="1" applyAlignment="1">
      <alignment horizontal="left" vertical="center" wrapText="1"/>
    </xf>
    <xf numFmtId="0" fontId="51" fillId="0" borderId="0" xfId="0" applyFont="1" applyAlignment="1">
      <alignment horizontal="left" vertical="center" wrapText="1"/>
    </xf>
    <xf numFmtId="0" fontId="51" fillId="0" borderId="114" xfId="0" applyFont="1" applyBorder="1" applyAlignment="1">
      <alignment horizontal="left" vertical="center" wrapText="1"/>
    </xf>
    <xf numFmtId="0" fontId="51" fillId="0" borderId="111" xfId="0" applyFont="1" applyBorder="1" applyAlignment="1">
      <alignment horizontal="left" vertical="center" wrapText="1"/>
    </xf>
    <xf numFmtId="0" fontId="51" fillId="0" borderId="112" xfId="0" applyFont="1" applyBorder="1" applyAlignment="1">
      <alignment horizontal="left" vertical="center" wrapText="1"/>
    </xf>
    <xf numFmtId="38" fontId="48" fillId="0" borderId="99" xfId="16" applyNumberFormat="1" applyFont="1" applyBorder="1" applyAlignment="1">
      <alignment horizontal="center" wrapText="1"/>
    </xf>
    <xf numFmtId="38" fontId="48" fillId="0" borderId="100" xfId="16" applyNumberFormat="1" applyFont="1" applyBorder="1" applyAlignment="1">
      <alignment horizontal="center" wrapText="1"/>
    </xf>
    <xf numFmtId="38" fontId="48" fillId="0" borderId="101" xfId="16" applyNumberFormat="1" applyFont="1" applyBorder="1" applyAlignment="1">
      <alignment horizontal="center" wrapText="1"/>
    </xf>
    <xf numFmtId="41" fontId="48" fillId="0" borderId="44" xfId="74" applyNumberFormat="1" applyFont="1" applyBorder="1" applyAlignment="1">
      <alignment horizontal="center" wrapText="1"/>
    </xf>
    <xf numFmtId="41" fontId="48" fillId="0" borderId="14" xfId="74" applyNumberFormat="1" applyFont="1" applyBorder="1" applyAlignment="1">
      <alignment horizontal="center" wrapText="1"/>
    </xf>
    <xf numFmtId="0" fontId="48" fillId="0" borderId="42" xfId="0" applyFont="1" applyBorder="1" applyAlignment="1">
      <alignment horizontal="center"/>
    </xf>
    <xf numFmtId="0" fontId="48" fillId="0" borderId="49" xfId="0" applyFont="1" applyBorder="1" applyAlignment="1">
      <alignment horizontal="center"/>
    </xf>
    <xf numFmtId="0" fontId="51" fillId="0" borderId="6" xfId="0" applyFont="1" applyBorder="1" applyAlignment="1">
      <alignment horizontal="center" wrapText="1"/>
    </xf>
    <xf numFmtId="0" fontId="51" fillId="0" borderId="2" xfId="0" applyFont="1" applyBorder="1" applyAlignment="1">
      <alignment horizontal="center" wrapText="1"/>
    </xf>
    <xf numFmtId="0" fontId="51" fillId="0" borderId="7" xfId="0" applyFont="1" applyBorder="1" applyAlignment="1">
      <alignment horizontal="center" wrapText="1"/>
    </xf>
    <xf numFmtId="0" fontId="50" fillId="0" borderId="131" xfId="0" applyFont="1" applyBorder="1" applyAlignment="1">
      <alignment horizontal="center" vertical="center" wrapText="1"/>
    </xf>
    <xf numFmtId="0" fontId="50" fillId="0" borderId="132" xfId="0" applyFont="1" applyBorder="1" applyAlignment="1">
      <alignment horizontal="center" vertical="center" wrapText="1"/>
    </xf>
    <xf numFmtId="0" fontId="50" fillId="0" borderId="133" xfId="0" applyFont="1" applyBorder="1" applyAlignment="1">
      <alignment horizontal="center" vertical="center" wrapText="1"/>
    </xf>
    <xf numFmtId="0" fontId="48" fillId="0" borderId="36" xfId="16" applyFont="1" applyBorder="1" applyAlignment="1">
      <alignment horizontal="center" wrapText="1"/>
    </xf>
    <xf numFmtId="0" fontId="48" fillId="0" borderId="43" xfId="16" applyFont="1" applyBorder="1" applyAlignment="1">
      <alignment horizontal="center" wrapText="1"/>
    </xf>
    <xf numFmtId="0" fontId="48" fillId="0" borderId="46" xfId="16" applyFont="1" applyBorder="1" applyAlignment="1">
      <alignment horizontal="center" wrapText="1"/>
    </xf>
    <xf numFmtId="0" fontId="48" fillId="0" borderId="37" xfId="0" applyFont="1" applyBorder="1" applyAlignment="1">
      <alignment horizontal="center" wrapText="1"/>
    </xf>
    <xf numFmtId="0" fontId="48" fillId="0" borderId="44" xfId="0" applyFont="1" applyBorder="1" applyAlignment="1">
      <alignment horizontal="center" wrapText="1"/>
    </xf>
    <xf numFmtId="0" fontId="48" fillId="0" borderId="14" xfId="0" applyFont="1" applyBorder="1" applyAlignment="1">
      <alignment horizontal="center" wrapText="1"/>
    </xf>
    <xf numFmtId="0" fontId="48" fillId="0" borderId="38" xfId="0" applyFont="1" applyBorder="1" applyAlignment="1">
      <alignment horizontal="center" wrapText="1"/>
    </xf>
    <xf numFmtId="0" fontId="48" fillId="0" borderId="12" xfId="0" applyFont="1" applyBorder="1" applyAlignment="1">
      <alignment horizontal="center" wrapText="1"/>
    </xf>
    <xf numFmtId="0" fontId="51" fillId="0" borderId="69" xfId="0" applyFont="1" applyBorder="1" applyAlignment="1">
      <alignment horizontal="center"/>
    </xf>
    <xf numFmtId="0" fontId="51" fillId="0" borderId="70" xfId="0" applyFont="1" applyBorder="1" applyAlignment="1">
      <alignment horizontal="center"/>
    </xf>
    <xf numFmtId="0" fontId="51" fillId="0" borderId="71" xfId="0" applyFont="1" applyBorder="1" applyAlignment="1">
      <alignment horizontal="center"/>
    </xf>
    <xf numFmtId="0" fontId="51" fillId="6" borderId="6" xfId="0" applyFont="1" applyFill="1" applyBorder="1" applyAlignment="1">
      <alignment horizontal="center"/>
    </xf>
    <xf numFmtId="0" fontId="51" fillId="0" borderId="7" xfId="0" applyFont="1" applyBorder="1"/>
    <xf numFmtId="0" fontId="51" fillId="0" borderId="33" xfId="16" applyFont="1" applyBorder="1" applyAlignment="1">
      <alignment horizontal="center"/>
    </xf>
    <xf numFmtId="0" fontId="51" fillId="0" borderId="34" xfId="16" applyFont="1" applyBorder="1" applyAlignment="1">
      <alignment horizontal="center"/>
    </xf>
    <xf numFmtId="0" fontId="56" fillId="0" borderId="34" xfId="0" applyFont="1" applyBorder="1" applyAlignment="1">
      <alignment horizontal="center"/>
    </xf>
    <xf numFmtId="0" fontId="59" fillId="0" borderId="35" xfId="0" applyFont="1" applyBorder="1"/>
    <xf numFmtId="0" fontId="48" fillId="0" borderId="39" xfId="0" applyFont="1" applyBorder="1" applyAlignment="1">
      <alignment horizontal="center" wrapText="1"/>
    </xf>
    <xf numFmtId="0" fontId="48" fillId="0" borderId="45" xfId="0" applyFont="1" applyBorder="1" applyAlignment="1">
      <alignment horizontal="center" wrapText="1"/>
    </xf>
    <xf numFmtId="0" fontId="48" fillId="0" borderId="47" xfId="0" applyFont="1" applyBorder="1" applyAlignment="1">
      <alignment horizontal="center" wrapText="1"/>
    </xf>
    <xf numFmtId="0" fontId="48" fillId="0" borderId="43" xfId="0" applyFont="1" applyBorder="1" applyAlignment="1">
      <alignment vertical="top" wrapText="1"/>
    </xf>
    <xf numFmtId="0" fontId="48" fillId="0" borderId="0" xfId="0" applyFont="1" applyAlignment="1">
      <alignment vertical="top" wrapText="1"/>
    </xf>
    <xf numFmtId="0" fontId="53" fillId="0" borderId="62" xfId="0" applyFont="1" applyBorder="1" applyAlignment="1">
      <alignment wrapText="1"/>
    </xf>
    <xf numFmtId="0" fontId="53" fillId="0" borderId="0" xfId="0" applyFont="1" applyAlignment="1">
      <alignment wrapText="1"/>
    </xf>
    <xf numFmtId="0" fontId="53" fillId="0" borderId="41" xfId="0" applyFont="1" applyBorder="1" applyAlignment="1">
      <alignment wrapText="1"/>
    </xf>
    <xf numFmtId="42" fontId="51" fillId="0" borderId="86" xfId="0" applyNumberFormat="1" applyFont="1" applyBorder="1" applyAlignment="1">
      <alignment horizontal="center"/>
    </xf>
    <xf numFmtId="42" fontId="51" fillId="0" borderId="87" xfId="0" applyNumberFormat="1" applyFont="1" applyBorder="1" applyAlignment="1">
      <alignment horizontal="center"/>
    </xf>
    <xf numFmtId="42" fontId="51" fillId="0" borderId="88" xfId="0" applyNumberFormat="1" applyFont="1" applyBorder="1" applyAlignment="1">
      <alignment horizontal="center"/>
    </xf>
    <xf numFmtId="0" fontId="51" fillId="0" borderId="6" xfId="0" applyFont="1" applyBorder="1" applyAlignment="1">
      <alignment horizontal="center"/>
    </xf>
    <xf numFmtId="0" fontId="51" fillId="0" borderId="2" xfId="0" applyFont="1" applyBorder="1" applyAlignment="1">
      <alignment horizontal="center"/>
    </xf>
    <xf numFmtId="0" fontId="51" fillId="0" borderId="7" xfId="0" applyFont="1" applyBorder="1" applyAlignment="1">
      <alignment horizontal="center"/>
    </xf>
    <xf numFmtId="0" fontId="48" fillId="33" borderId="65" xfId="0" applyFont="1" applyFill="1" applyBorder="1"/>
    <xf numFmtId="0" fontId="48" fillId="33" borderId="48" xfId="0" applyFont="1" applyFill="1" applyBorder="1"/>
    <xf numFmtId="0" fontId="52" fillId="33" borderId="65" xfId="82" applyFont="1" applyFill="1" applyBorder="1" applyAlignment="1"/>
    <xf numFmtId="0" fontId="51" fillId="7" borderId="3" xfId="16" applyFont="1" applyFill="1" applyBorder="1" applyAlignment="1">
      <alignment horizontal="center"/>
    </xf>
    <xf numFmtId="0" fontId="48" fillId="7" borderId="3" xfId="16" applyFont="1" applyFill="1" applyBorder="1" applyAlignment="1">
      <alignment horizontal="center"/>
    </xf>
    <xf numFmtId="37" fontId="48" fillId="33" borderId="65" xfId="0" applyNumberFormat="1" applyFont="1" applyFill="1" applyBorder="1"/>
    <xf numFmtId="0" fontId="51" fillId="0" borderId="0" xfId="16" applyFont="1" applyAlignment="1">
      <alignment horizontal="center" wrapText="1"/>
    </xf>
    <xf numFmtId="0" fontId="51" fillId="0" borderId="3" xfId="16" applyFont="1" applyBorder="1" applyAlignment="1">
      <alignment horizontal="center" wrapText="1"/>
    </xf>
    <xf numFmtId="0" fontId="51" fillId="0" borderId="13" xfId="16" applyFont="1" applyBorder="1" applyAlignment="1">
      <alignment horizontal="center" wrapText="1"/>
    </xf>
    <xf numFmtId="0" fontId="51" fillId="0" borderId="13" xfId="0" applyFont="1" applyBorder="1" applyAlignment="1">
      <alignment horizontal="center" wrapText="1"/>
    </xf>
    <xf numFmtId="0" fontId="51" fillId="44" borderId="25" xfId="16" applyFont="1" applyFill="1" applyBorder="1" applyAlignment="1">
      <alignment horizontal="center"/>
    </xf>
    <xf numFmtId="0" fontId="51" fillId="44" borderId="26" xfId="16" applyFont="1" applyFill="1" applyBorder="1" applyAlignment="1">
      <alignment horizontal="center"/>
    </xf>
    <xf numFmtId="0" fontId="51" fillId="45" borderId="25" xfId="16" applyFont="1" applyFill="1" applyBorder="1" applyAlignment="1">
      <alignment horizontal="center"/>
    </xf>
    <xf numFmtId="0" fontId="51" fillId="45" borderId="26" xfId="16" applyFont="1" applyFill="1" applyBorder="1" applyAlignment="1">
      <alignment horizontal="center"/>
    </xf>
    <xf numFmtId="0" fontId="51" fillId="45" borderId="137" xfId="16" applyFont="1" applyFill="1" applyBorder="1" applyAlignment="1">
      <alignment horizontal="center"/>
    </xf>
    <xf numFmtId="0" fontId="51" fillId="0" borderId="25" xfId="16" applyFont="1" applyBorder="1" applyAlignment="1">
      <alignment horizontal="center"/>
    </xf>
    <xf numFmtId="0" fontId="51" fillId="0" borderId="26" xfId="16" applyFont="1" applyBorder="1" applyAlignment="1">
      <alignment horizontal="center"/>
    </xf>
    <xf numFmtId="0" fontId="51" fillId="0" borderId="137" xfId="16" applyFont="1" applyBorder="1" applyAlignment="1">
      <alignment horizontal="center"/>
    </xf>
    <xf numFmtId="0" fontId="51" fillId="0" borderId="6" xfId="16" applyFont="1" applyBorder="1" applyAlignment="1">
      <alignment horizontal="center"/>
    </xf>
    <xf numFmtId="0" fontId="51" fillId="0" borderId="2" xfId="16" applyFont="1" applyBorder="1" applyAlignment="1">
      <alignment horizontal="center"/>
    </xf>
    <xf numFmtId="0" fontId="51" fillId="0" borderId="7" xfId="16" applyFont="1" applyBorder="1" applyAlignment="1">
      <alignment horizontal="center"/>
    </xf>
    <xf numFmtId="0" fontId="48" fillId="0" borderId="6" xfId="16" applyFont="1" applyBorder="1" applyAlignment="1">
      <alignment horizontal="center"/>
    </xf>
    <xf numFmtId="0" fontId="48" fillId="0" borderId="7" xfId="16" applyFont="1" applyBorder="1" applyAlignment="1">
      <alignment horizontal="center"/>
    </xf>
    <xf numFmtId="0" fontId="48" fillId="8" borderId="6" xfId="16" applyFont="1" applyFill="1" applyBorder="1" applyAlignment="1">
      <alignment horizontal="center"/>
    </xf>
    <xf numFmtId="0" fontId="48" fillId="8" borderId="2" xfId="16" applyFont="1" applyFill="1" applyBorder="1" applyAlignment="1">
      <alignment horizontal="center"/>
    </xf>
    <xf numFmtId="0" fontId="48" fillId="8" borderId="7" xfId="16" applyFont="1" applyFill="1" applyBorder="1" applyAlignment="1">
      <alignment horizontal="center"/>
    </xf>
    <xf numFmtId="0" fontId="48" fillId="0" borderId="3" xfId="16" applyFont="1" applyBorder="1" applyAlignment="1">
      <alignment horizontal="center" wrapText="1"/>
    </xf>
    <xf numFmtId="0" fontId="51" fillId="43" borderId="6" xfId="0" applyFont="1" applyFill="1" applyBorder="1" applyAlignment="1">
      <alignment horizontal="center"/>
    </xf>
    <xf numFmtId="0" fontId="51" fillId="43" borderId="2" xfId="0" applyFont="1" applyFill="1" applyBorder="1" applyAlignment="1">
      <alignment horizontal="center"/>
    </xf>
    <xf numFmtId="0" fontId="51" fillId="43" borderId="7" xfId="0" applyFont="1" applyFill="1" applyBorder="1" applyAlignment="1">
      <alignment horizontal="center"/>
    </xf>
    <xf numFmtId="0" fontId="51" fillId="4" borderId="121" xfId="16" applyFont="1" applyFill="1" applyBorder="1" applyAlignment="1">
      <alignment horizontal="center"/>
    </xf>
    <xf numFmtId="0" fontId="51" fillId="4" borderId="113" xfId="16" applyFont="1" applyFill="1" applyBorder="1" applyAlignment="1">
      <alignment horizontal="center"/>
    </xf>
    <xf numFmtId="0" fontId="51" fillId="4" borderId="84" xfId="16" applyFont="1" applyFill="1" applyBorder="1" applyAlignment="1">
      <alignment horizontal="center"/>
    </xf>
    <xf numFmtId="0" fontId="50" fillId="0" borderId="12" xfId="16" applyFont="1" applyBorder="1" applyAlignment="1">
      <alignment horizontal="center" vertical="top" wrapText="1"/>
    </xf>
    <xf numFmtId="0" fontId="50" fillId="0" borderId="14" xfId="16" applyFont="1" applyBorder="1" applyAlignment="1">
      <alignment horizontal="center" vertical="top" wrapText="1"/>
    </xf>
    <xf numFmtId="42" fontId="48" fillId="0" borderId="12" xfId="16" applyNumberFormat="1" applyFont="1" applyBorder="1" applyAlignment="1">
      <alignment horizontal="center" vertical="center"/>
    </xf>
    <xf numFmtId="42" fontId="48" fillId="0" borderId="44" xfId="16" applyNumberFormat="1" applyFont="1" applyBorder="1" applyAlignment="1">
      <alignment horizontal="center" vertical="center"/>
    </xf>
    <xf numFmtId="42" fontId="48" fillId="0" borderId="14" xfId="16" applyNumberFormat="1" applyFont="1" applyBorder="1" applyAlignment="1">
      <alignment horizontal="center" vertical="center"/>
    </xf>
    <xf numFmtId="0" fontId="48" fillId="7" borderId="6" xfId="0" applyFont="1" applyFill="1" applyBorder="1" applyAlignment="1">
      <alignment horizontal="center"/>
    </xf>
    <xf numFmtId="0" fontId="48" fillId="7" borderId="2" xfId="0" applyFont="1" applyFill="1" applyBorder="1" applyAlignment="1">
      <alignment horizontal="center"/>
    </xf>
    <xf numFmtId="0" fontId="48" fillId="7" borderId="7" xfId="0" applyFont="1" applyFill="1" applyBorder="1" applyAlignment="1">
      <alignment horizontal="center"/>
    </xf>
    <xf numFmtId="0" fontId="53" fillId="36" borderId="6" xfId="16" applyFont="1" applyFill="1" applyBorder="1" applyAlignment="1">
      <alignment horizontal="center" vertical="top" wrapText="1"/>
    </xf>
    <xf numFmtId="0" fontId="53" fillId="36" borderId="2" xfId="16" applyFont="1" applyFill="1" applyBorder="1" applyAlignment="1">
      <alignment horizontal="center" vertical="top" wrapText="1"/>
    </xf>
    <xf numFmtId="0" fontId="53" fillId="36" borderId="7" xfId="16" applyFont="1" applyFill="1" applyBorder="1" applyAlignment="1">
      <alignment horizontal="center" vertical="top" wrapText="1"/>
    </xf>
    <xf numFmtId="0" fontId="48" fillId="0" borderId="6" xfId="0" applyFont="1" applyBorder="1" applyAlignment="1">
      <alignment horizontal="center"/>
    </xf>
    <xf numFmtId="0" fontId="48" fillId="0" borderId="2" xfId="0" applyFont="1" applyBorder="1" applyAlignment="1">
      <alignment horizontal="center"/>
    </xf>
    <xf numFmtId="0" fontId="48" fillId="0" borderId="7" xfId="0" applyFont="1" applyBorder="1" applyAlignment="1">
      <alignment horizontal="center"/>
    </xf>
    <xf numFmtId="0" fontId="48" fillId="0" borderId="63" xfId="0" applyFont="1" applyBorder="1" applyAlignment="1">
      <alignment horizontal="center"/>
    </xf>
    <xf numFmtId="0" fontId="48" fillId="0" borderId="52" xfId="0" applyFont="1" applyBorder="1" applyAlignment="1">
      <alignment horizontal="center"/>
    </xf>
    <xf numFmtId="0" fontId="58" fillId="0" borderId="0" xfId="0" applyFont="1"/>
    <xf numFmtId="0" fontId="48" fillId="0" borderId="0" xfId="0" applyFont="1"/>
    <xf numFmtId="0" fontId="58" fillId="0" borderId="0" xfId="0" applyFont="1" applyAlignment="1">
      <alignment wrapText="1"/>
    </xf>
    <xf numFmtId="0" fontId="48" fillId="0" borderId="0" xfId="0" applyFont="1" applyAlignment="1">
      <alignment wrapText="1"/>
    </xf>
  </cellXfs>
  <cellStyles count="95">
    <cellStyle name="20% - Accent1 2" xfId="27" xr:uid="{00000000-0005-0000-0000-000000000000}"/>
    <cellStyle name="20% - Accent2 2" xfId="28" xr:uid="{00000000-0005-0000-0000-000001000000}"/>
    <cellStyle name="20% - Accent3 2" xfId="29" xr:uid="{00000000-0005-0000-0000-000002000000}"/>
    <cellStyle name="20% - Accent4 2" xfId="30" xr:uid="{00000000-0005-0000-0000-000003000000}"/>
    <cellStyle name="20% - Accent5 2" xfId="31" xr:uid="{00000000-0005-0000-0000-000004000000}"/>
    <cellStyle name="20% - Accent6 2" xfId="32" xr:uid="{00000000-0005-0000-0000-000005000000}"/>
    <cellStyle name="40% - Accent1 2" xfId="33" xr:uid="{00000000-0005-0000-0000-000006000000}"/>
    <cellStyle name="40% - Accent2 2" xfId="34" xr:uid="{00000000-0005-0000-0000-000007000000}"/>
    <cellStyle name="40% - Accent3 2" xfId="35" xr:uid="{00000000-0005-0000-0000-000008000000}"/>
    <cellStyle name="40% - Accent4 2" xfId="36" xr:uid="{00000000-0005-0000-0000-000009000000}"/>
    <cellStyle name="40% - Accent5 2" xfId="37" xr:uid="{00000000-0005-0000-0000-00000A000000}"/>
    <cellStyle name="40% - Accent6 2" xfId="38" xr:uid="{00000000-0005-0000-0000-00000B000000}"/>
    <cellStyle name="60% - Accent1 2" xfId="39" xr:uid="{00000000-0005-0000-0000-00000C000000}"/>
    <cellStyle name="60% - Accent2 2" xfId="40" xr:uid="{00000000-0005-0000-0000-00000D000000}"/>
    <cellStyle name="60% - Accent3 2" xfId="41" xr:uid="{00000000-0005-0000-0000-00000E000000}"/>
    <cellStyle name="60% - Accent4 2" xfId="42" xr:uid="{00000000-0005-0000-0000-00000F000000}"/>
    <cellStyle name="60% - Accent5 2" xfId="43" xr:uid="{00000000-0005-0000-0000-000010000000}"/>
    <cellStyle name="60% - Accent6 2" xfId="44" xr:uid="{00000000-0005-0000-0000-000011000000}"/>
    <cellStyle name="Accent1 2" xfId="45" xr:uid="{00000000-0005-0000-0000-000012000000}"/>
    <cellStyle name="Accent2 2" xfId="46" xr:uid="{00000000-0005-0000-0000-000013000000}"/>
    <cellStyle name="Accent3 2" xfId="47" xr:uid="{00000000-0005-0000-0000-000014000000}"/>
    <cellStyle name="Accent4 2" xfId="48" xr:uid="{00000000-0005-0000-0000-000015000000}"/>
    <cellStyle name="Accent5 2" xfId="49" xr:uid="{00000000-0005-0000-0000-000016000000}"/>
    <cellStyle name="Accent6 2" xfId="50" xr:uid="{00000000-0005-0000-0000-000017000000}"/>
    <cellStyle name="Bad 2" xfId="51" xr:uid="{00000000-0005-0000-0000-000018000000}"/>
    <cellStyle name="Calculation 2" xfId="52" xr:uid="{00000000-0005-0000-0000-000019000000}"/>
    <cellStyle name="Check Cell 2" xfId="53" xr:uid="{00000000-0005-0000-0000-00001A000000}"/>
    <cellStyle name="Comma" xfId="1" builtinId="3"/>
    <cellStyle name="Comma 2" xfId="81" xr:uid="{00000000-0005-0000-0000-00001C000000}"/>
    <cellStyle name="Comma 3" xfId="92" xr:uid="{00000000-0005-0000-0000-00001D000000}"/>
    <cellStyle name="Comma 3 2" xfId="87" xr:uid="{00000000-0005-0000-0000-00001E000000}"/>
    <cellStyle name="Comma 3 3" xfId="93" xr:uid="{00000000-0005-0000-0000-00001F000000}"/>
    <cellStyle name="Comma_AUSAFR01" xfId="75" xr:uid="{00000000-0005-0000-0000-000020000000}"/>
    <cellStyle name="Comma0" xfId="2" xr:uid="{00000000-0005-0000-0000-000021000000}"/>
    <cellStyle name="Comma0 2" xfId="9" xr:uid="{00000000-0005-0000-0000-000022000000}"/>
    <cellStyle name="Comma0 3" xfId="17" xr:uid="{00000000-0005-0000-0000-000023000000}"/>
    <cellStyle name="Currency" xfId="25" builtinId="4"/>
    <cellStyle name="Currency0" xfId="3" xr:uid="{00000000-0005-0000-0000-000025000000}"/>
    <cellStyle name="Currency0 2" xfId="10" xr:uid="{00000000-0005-0000-0000-000026000000}"/>
    <cellStyle name="Currency0 3" xfId="18" xr:uid="{00000000-0005-0000-0000-000027000000}"/>
    <cellStyle name="Date" xfId="4" xr:uid="{00000000-0005-0000-0000-000028000000}"/>
    <cellStyle name="Date 2" xfId="11" xr:uid="{00000000-0005-0000-0000-000029000000}"/>
    <cellStyle name="Date 3" xfId="19" xr:uid="{00000000-0005-0000-0000-00002A000000}"/>
    <cellStyle name="Explanatory Text 2" xfId="54" xr:uid="{00000000-0005-0000-0000-00002B000000}"/>
    <cellStyle name="Fixed" xfId="5" xr:uid="{00000000-0005-0000-0000-00002C000000}"/>
    <cellStyle name="Fixed 2" xfId="12" xr:uid="{00000000-0005-0000-0000-00002D000000}"/>
    <cellStyle name="Fixed 3" xfId="20" xr:uid="{00000000-0005-0000-0000-00002E000000}"/>
    <cellStyle name="Good 2" xfId="55" xr:uid="{00000000-0005-0000-0000-00002F000000}"/>
    <cellStyle name="Heading 1" xfId="6" builtinId="16" customBuiltin="1"/>
    <cellStyle name="Heading 1 2" xfId="13" xr:uid="{00000000-0005-0000-0000-000031000000}"/>
    <cellStyle name="Heading 1 3" xfId="21" xr:uid="{00000000-0005-0000-0000-000032000000}"/>
    <cellStyle name="Heading 2" xfId="7" builtinId="17" customBuiltin="1"/>
    <cellStyle name="Heading 2 2" xfId="14" xr:uid="{00000000-0005-0000-0000-000034000000}"/>
    <cellStyle name="Heading 2 3" xfId="22" xr:uid="{00000000-0005-0000-0000-000035000000}"/>
    <cellStyle name="Heading 3 2" xfId="56" xr:uid="{00000000-0005-0000-0000-000036000000}"/>
    <cellStyle name="Heading 4 2" xfId="57" xr:uid="{00000000-0005-0000-0000-000037000000}"/>
    <cellStyle name="Hyperlink" xfId="82" builtinId="8"/>
    <cellStyle name="Hyperlink 2" xfId="83" xr:uid="{00000000-0005-0000-0000-000039000000}"/>
    <cellStyle name="Input 2" xfId="58" xr:uid="{00000000-0005-0000-0000-00003A000000}"/>
    <cellStyle name="Linked Cell 2" xfId="59" xr:uid="{00000000-0005-0000-0000-00003B000000}"/>
    <cellStyle name="Neutral 2" xfId="60" xr:uid="{00000000-0005-0000-0000-00003C000000}"/>
    <cellStyle name="Normal" xfId="0" builtinId="0"/>
    <cellStyle name="Normal 10" xfId="88" xr:uid="{00000000-0005-0000-0000-00003E000000}"/>
    <cellStyle name="Normal 11" xfId="90" xr:uid="{00000000-0005-0000-0000-00003F000000}"/>
    <cellStyle name="Normal 2" xfId="16" xr:uid="{00000000-0005-0000-0000-000040000000}"/>
    <cellStyle name="Normal 2 2" xfId="61" xr:uid="{00000000-0005-0000-0000-000041000000}"/>
    <cellStyle name="Normal 2 2 2" xfId="76" xr:uid="{00000000-0005-0000-0000-000042000000}"/>
    <cellStyle name="Normal 2 3" xfId="62" xr:uid="{00000000-0005-0000-0000-000043000000}"/>
    <cellStyle name="Normal 2 3 2" xfId="80" xr:uid="{00000000-0005-0000-0000-000044000000}"/>
    <cellStyle name="Normal 2 4" xfId="63" xr:uid="{00000000-0005-0000-0000-000045000000}"/>
    <cellStyle name="Normal 2 5" xfId="64" xr:uid="{00000000-0005-0000-0000-000046000000}"/>
    <cellStyle name="Normal 2 6" xfId="65" xr:uid="{00000000-0005-0000-0000-000047000000}"/>
    <cellStyle name="Normal 3" xfId="66" xr:uid="{00000000-0005-0000-0000-000048000000}"/>
    <cellStyle name="Normal 3 2" xfId="78" xr:uid="{00000000-0005-0000-0000-000049000000}"/>
    <cellStyle name="Normal 3 2 2" xfId="79" xr:uid="{00000000-0005-0000-0000-00004A000000}"/>
    <cellStyle name="Normal 3 2 3" xfId="86" xr:uid="{00000000-0005-0000-0000-00004B000000}"/>
    <cellStyle name="Normal 3 3" xfId="77" xr:uid="{00000000-0005-0000-0000-00004C000000}"/>
    <cellStyle name="Normal 4" xfId="67" xr:uid="{00000000-0005-0000-0000-00004D000000}"/>
    <cellStyle name="Normal 4 2" xfId="84" xr:uid="{00000000-0005-0000-0000-00004E000000}"/>
    <cellStyle name="Normal 5" xfId="26" xr:uid="{00000000-0005-0000-0000-00004F000000}"/>
    <cellStyle name="Normal 6" xfId="68" xr:uid="{00000000-0005-0000-0000-000050000000}"/>
    <cellStyle name="Normal 7" xfId="69" xr:uid="{00000000-0005-0000-0000-000051000000}"/>
    <cellStyle name="Normal 8" xfId="85" xr:uid="{00000000-0005-0000-0000-000052000000}"/>
    <cellStyle name="Normal 8 2" xfId="94" xr:uid="{E982549E-D8C5-4CDC-A866-AEF529DCD707}"/>
    <cellStyle name="Normal 9" xfId="89" xr:uid="{00000000-0005-0000-0000-000053000000}"/>
    <cellStyle name="Normal_AUSAFR01" xfId="74" xr:uid="{00000000-0005-0000-0000-000054000000}"/>
    <cellStyle name="Note 2" xfId="70" xr:uid="{00000000-0005-0000-0000-000055000000}"/>
    <cellStyle name="Output 2" xfId="71" xr:uid="{00000000-0005-0000-0000-000056000000}"/>
    <cellStyle name="Percent 2" xfId="24" xr:uid="{00000000-0005-0000-0000-000057000000}"/>
    <cellStyle name="Percent 3" xfId="91" xr:uid="{00000000-0005-0000-0000-000058000000}"/>
    <cellStyle name="Title 2" xfId="72" xr:uid="{00000000-0005-0000-0000-000059000000}"/>
    <cellStyle name="Total" xfId="8" builtinId="25" customBuiltin="1"/>
    <cellStyle name="Total 2" xfId="15" xr:uid="{00000000-0005-0000-0000-00005B000000}"/>
    <cellStyle name="Total 3" xfId="23" xr:uid="{00000000-0005-0000-0000-00005C000000}"/>
    <cellStyle name="Warning Text 2" xfId="73" xr:uid="{00000000-0005-0000-0000-00005D000000}"/>
  </cellStyles>
  <dxfs count="39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indexed="10"/>
        </patternFill>
      </fill>
    </dxf>
    <dxf>
      <font>
        <strike val="0"/>
      </font>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rgb="FFCCFFFF"/>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ill>
        <patternFill>
          <bgColor indexed="10"/>
        </patternFill>
      </fill>
    </dxf>
    <dxf>
      <fill>
        <patternFill>
          <bgColor indexed="10"/>
        </patternFill>
      </fill>
    </dxf>
    <dxf>
      <font>
        <color auto="1"/>
      </font>
      <fill>
        <patternFill>
          <bgColor theme="9" tint="0.39994506668294322"/>
        </patternFill>
      </fill>
    </dxf>
  </dxfs>
  <tableStyles count="0" defaultTableStyle="TableStyleMedium9" defaultPivotStyle="PivotStyleLight16"/>
  <colors>
    <mruColors>
      <color rgb="FFCCFFCC"/>
      <color rgb="FFCCFFFF"/>
      <color rgb="FFFF66FF"/>
      <color rgb="FFFFFFFF"/>
      <color rgb="FFDB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96"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4.xml"/><Relationship Id="rId99" Type="http://schemas.openxmlformats.org/officeDocument/2006/relationships/externalLink" Target="externalLinks/externalLink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7.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3.xml"/><Relationship Id="rId98" Type="http://schemas.openxmlformats.org/officeDocument/2006/relationships/externalLink" Target="externalLinks/externalLink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Operating Sources by Category</a:t>
            </a:r>
          </a:p>
        </c:rich>
      </c:tx>
      <c:layout>
        <c:manualLayout>
          <c:xMode val="edge"/>
          <c:yMode val="edge"/>
          <c:x val="0.34929810074318729"/>
          <c:y val="2.6143824223631821E-2"/>
        </c:manualLayout>
      </c:layout>
      <c:overlay val="0"/>
      <c:spPr>
        <a:noFill/>
        <a:ln w="25400">
          <a:noFill/>
        </a:ln>
      </c:spPr>
    </c:title>
    <c:autoTitleDeleted val="0"/>
    <c:plotArea>
      <c:layout>
        <c:manualLayout>
          <c:layoutTarget val="inner"/>
          <c:xMode val="edge"/>
          <c:yMode val="edge"/>
          <c:x val="0.39636663914121917"/>
          <c:y val="0.35032724459666642"/>
          <c:w val="0.20809248554913981"/>
          <c:h val="0.32941218521777926"/>
        </c:manualLayout>
      </c:layout>
      <c:pieChart>
        <c:varyColors val="1"/>
        <c:ser>
          <c:idx val="0"/>
          <c:order val="0"/>
          <c:tx>
            <c:strRef>
              <c:f>'Smmy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EE6-4450-B3B8-BF5B346CD87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EE6-4450-B3B8-BF5B346CD87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EE6-4450-B3B8-BF5B346CD87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EE6-4450-B3B8-BF5B346CD87C}"/>
              </c:ext>
            </c:extLst>
          </c:dPt>
          <c:dLbls>
            <c:dLbl>
              <c:idx val="0"/>
              <c:layout>
                <c:manualLayout>
                  <c:x val="-0.17251074305579059"/>
                  <c:y val="-8.39170348898442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EEE6-4450-B3B8-BF5B346CD87C}"/>
                </c:ext>
              </c:extLst>
            </c:dLbl>
            <c:dLbl>
              <c:idx val="1"/>
              <c:layout>
                <c:manualLayout>
                  <c:x val="6.5184632513516319E-2"/>
                  <c:y val="-9.20041314401156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EE6-4450-B3B8-BF5B346CD87C}"/>
                </c:ext>
              </c:extLst>
            </c:dLbl>
            <c:dLbl>
              <c:idx val="2"/>
              <c:layout>
                <c:manualLayout>
                  <c:x val="9.0793761099309533E-2"/>
                  <c:y val="3.11316639219478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EE6-4450-B3B8-BF5B346CD87C}"/>
                </c:ext>
              </c:extLst>
            </c:dLbl>
            <c:dLbl>
              <c:idx val="3"/>
              <c:layout>
                <c:manualLayout>
                  <c:x val="4.0632014595334144E-2"/>
                  <c:y val="6.948392304893578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EE6-4450-B3B8-BF5B346CD87C}"/>
                </c:ext>
              </c:extLst>
            </c:dLbl>
            <c:dLbl>
              <c:idx val="4"/>
              <c:layout>
                <c:manualLayout>
                  <c:x val="-4.0172427242033258E-2"/>
                  <c:y val="8.70485276658081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EE6-4450-B3B8-BF5B346CD87C}"/>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'Smmy Chts'!$C$11:$C$15</c:f>
              <c:strCache>
                <c:ptCount val="5"/>
                <c:pt idx="0">
                  <c:v>State of Texas</c:v>
                </c:pt>
                <c:pt idx="1">
                  <c:v>Student &amp; Parent</c:v>
                </c:pt>
                <c:pt idx="2">
                  <c:v>Federal Government</c:v>
                </c:pt>
                <c:pt idx="3">
                  <c:v>Institutional Resources</c:v>
                </c:pt>
                <c:pt idx="4">
                  <c:v>Hospitals, Clinics, Professional Fees</c:v>
                </c:pt>
              </c:strCache>
            </c:strRef>
          </c:cat>
          <c:val>
            <c:numRef>
              <c:f>'Smmy Chts'!$D$11:$D$15</c:f>
              <c:numCache>
                <c:formatCode>"$"#,##0</c:formatCode>
                <c:ptCount val="5"/>
                <c:pt idx="0">
                  <c:v>2219115664</c:v>
                </c:pt>
                <c:pt idx="1">
                  <c:v>392101953</c:v>
                </c:pt>
                <c:pt idx="2">
                  <c:v>1487986562</c:v>
                </c:pt>
                <c:pt idx="3">
                  <c:v>4946155273</c:v>
                </c:pt>
                <c:pt idx="4">
                  <c:v>11411173972</c:v>
                </c:pt>
              </c:numCache>
            </c:numRef>
          </c:val>
          <c:extLst>
            <c:ext xmlns:c16="http://schemas.microsoft.com/office/drawing/2014/chart" uri="{C3380CC4-5D6E-409C-BE32-E72D297353CC}">
              <c16:uniqueId val="{00000009-EEE6-4450-B3B8-BF5B346CD87C}"/>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75" b="1" i="0" u="none" strike="noStrike" baseline="0">
          <a:solidFill>
            <a:srgbClr val="000000"/>
          </a:solidFill>
          <a:latin typeface="Overpass" pitchFamily="2" charset="0"/>
          <a:ea typeface="Arial"/>
          <a:cs typeface="Arial"/>
        </a:defRPr>
      </a:pPr>
      <a:endParaRPr lang="en-US"/>
    </a:p>
  </c:txPr>
  <c:printSettings>
    <c:headerFooter alignWithMargins="0"/>
    <c:pageMargins b="1" l="0.75000000000001232" r="0.75000000000001232" t="1" header="0.5" footer="0.5"/>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3953E-2"/>
        </c:manualLayout>
      </c:layout>
      <c:overlay val="0"/>
      <c:spPr>
        <a:noFill/>
        <a:ln w="25400">
          <a:noFill/>
        </a:ln>
      </c:spPr>
    </c:title>
    <c:autoTitleDeleted val="0"/>
    <c:plotArea>
      <c:layout>
        <c:manualLayout>
          <c:layoutTarget val="inner"/>
          <c:xMode val="edge"/>
          <c:yMode val="edge"/>
          <c:x val="0.39140509096943826"/>
          <c:y val="0.33510392393448796"/>
          <c:w val="0.21856763755744443"/>
          <c:h val="0.33760912080003641"/>
        </c:manualLayout>
      </c:layout>
      <c:pieChart>
        <c:varyColors val="1"/>
        <c:ser>
          <c:idx val="0"/>
          <c:order val="0"/>
          <c:tx>
            <c:strRef>
              <c:f>'HSH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C5E-4719-BF71-4FC1FEBCD66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C5E-4719-BF71-4FC1FEBCD66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C5E-4719-BF71-4FC1FEBCD66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C5E-4719-BF71-4FC1FEBCD66C}"/>
              </c:ext>
            </c:extLst>
          </c:dPt>
          <c:dLbls>
            <c:dLbl>
              <c:idx val="0"/>
              <c:layout>
                <c:manualLayout>
                  <c:x val="6.2853326092859083E-2"/>
                  <c:y val="-7.477553329785872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DC5E-4719-BF71-4FC1FEBCD66C}"/>
                </c:ext>
              </c:extLst>
            </c:dLbl>
            <c:dLbl>
              <c:idx val="1"/>
              <c:layout>
                <c:manualLayout>
                  <c:x val="9.8222595529614584E-2"/>
                  <c:y val="2.00974897199712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C5E-4719-BF71-4FC1FEBCD66C}"/>
                </c:ext>
              </c:extLst>
            </c:dLbl>
            <c:dLbl>
              <c:idx val="2"/>
              <c:layout>
                <c:manualLayout>
                  <c:x val="5.5211804940474007E-2"/>
                  <c:y val="0.14474491071863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C5E-4719-BF71-4FC1FEBCD66C}"/>
                </c:ext>
              </c:extLst>
            </c:dLbl>
            <c:dLbl>
              <c:idx val="3"/>
              <c:layout>
                <c:manualLayout>
                  <c:x val="-8.5267108625435836E-2"/>
                  <c:y val="6.85679926588424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C5E-4719-BF71-4FC1FEBCD66C}"/>
                </c:ext>
              </c:extLst>
            </c:dLbl>
            <c:dLbl>
              <c:idx val="4"/>
              <c:layout>
                <c:manualLayout>
                  <c:x val="-7.8361556982795302E-2"/>
                  <c:y val="-2.70939288303644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C5E-4719-BF71-4FC1FEBCD66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'HSH Chts'!$C$11:$C$15</c:f>
              <c:strCache>
                <c:ptCount val="5"/>
                <c:pt idx="0">
                  <c:v>State of Texas</c:v>
                </c:pt>
                <c:pt idx="1">
                  <c:v>Student &amp; Parent</c:v>
                </c:pt>
                <c:pt idx="2">
                  <c:v>Federal Government</c:v>
                </c:pt>
                <c:pt idx="3">
                  <c:v>Institutional Resources</c:v>
                </c:pt>
                <c:pt idx="4">
                  <c:v>Hospitals, Clinics, Professional Fees</c:v>
                </c:pt>
              </c:strCache>
            </c:strRef>
          </c:cat>
          <c:val>
            <c:numRef>
              <c:f>'HSH Chts'!$D$11:$D$15</c:f>
              <c:numCache>
                <c:formatCode>"$"#,##0</c:formatCode>
                <c:ptCount val="5"/>
                <c:pt idx="0">
                  <c:v>260301322</c:v>
                </c:pt>
                <c:pt idx="1">
                  <c:v>71796372</c:v>
                </c:pt>
                <c:pt idx="2">
                  <c:v>249224368</c:v>
                </c:pt>
                <c:pt idx="3">
                  <c:v>1087737586</c:v>
                </c:pt>
                <c:pt idx="4">
                  <c:v>553165784</c:v>
                </c:pt>
              </c:numCache>
            </c:numRef>
          </c:val>
          <c:extLst>
            <c:ext xmlns:c16="http://schemas.microsoft.com/office/drawing/2014/chart" uri="{C3380CC4-5D6E-409C-BE32-E72D297353CC}">
              <c16:uniqueId val="{00000009-DC5E-4719-BF71-4FC1FEBCD66C}"/>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41" r="0.7500000000000141" t="1" header="0.5" footer="0.5"/>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459364682563047"/>
          <c:y val="0.32318645483435143"/>
          <c:w val="0.21909350118677254"/>
          <c:h val="0.34028039158947093"/>
        </c:manualLayout>
      </c:layout>
      <c:pieChart>
        <c:varyColors val="1"/>
        <c:ser>
          <c:idx val="0"/>
          <c:order val="0"/>
          <c:tx>
            <c:strRef>
              <c:f>'HSH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C72-4A23-8C77-C940505807F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C72-4A23-8C77-C940505807F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C72-4A23-8C77-C940505807F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2C72-4A23-8C77-C940505807F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2C72-4A23-8C77-C940505807F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2C72-4A23-8C77-C940505807F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2C72-4A23-8C77-C940505807F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2C72-4A23-8C77-C940505807F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2C72-4A23-8C77-C940505807F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2C72-4A23-8C77-C940505807F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2C72-4A23-8C77-C940505807F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2C72-4A23-8C77-C940505807F3}"/>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2C72-4A23-8C77-C940505807F3}"/>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2C72-4A23-8C77-C940505807F3}"/>
              </c:ext>
            </c:extLst>
          </c:dPt>
          <c:dLbls>
            <c:dLbl>
              <c:idx val="0"/>
              <c:layout>
                <c:manualLayout>
                  <c:x val="-1.9820640561839617E-2"/>
                  <c:y val="-0.104557289103886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2C72-4A23-8C77-C940505807F3}"/>
                </c:ext>
              </c:extLst>
            </c:dLbl>
            <c:dLbl>
              <c:idx val="1"/>
              <c:layout>
                <c:manualLayout>
                  <c:x val="0.12732152509452155"/>
                  <c:y val="-6.059442796836488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C72-4A23-8C77-C940505807F3}"/>
                </c:ext>
              </c:extLst>
            </c:dLbl>
            <c:dLbl>
              <c:idx val="2"/>
              <c:delete val="1"/>
              <c:extLst>
                <c:ext xmlns:c15="http://schemas.microsoft.com/office/drawing/2012/chart" uri="{CE6537A1-D6FC-4f65-9D91-7224C49458BB}"/>
                <c:ext xmlns:c16="http://schemas.microsoft.com/office/drawing/2014/chart" uri="{C3380CC4-5D6E-409C-BE32-E72D297353CC}">
                  <c16:uniqueId val="{00000003-2C72-4A23-8C77-C940505807F3}"/>
                </c:ext>
              </c:extLst>
            </c:dLbl>
            <c:dLbl>
              <c:idx val="3"/>
              <c:delete val="1"/>
              <c:extLst>
                <c:ext xmlns:c15="http://schemas.microsoft.com/office/drawing/2012/chart" uri="{CE6537A1-D6FC-4f65-9D91-7224C49458BB}"/>
                <c:ext xmlns:c16="http://schemas.microsoft.com/office/drawing/2014/chart" uri="{C3380CC4-5D6E-409C-BE32-E72D297353CC}">
                  <c16:uniqueId val="{00000005-2C72-4A23-8C77-C940505807F3}"/>
                </c:ext>
              </c:extLst>
            </c:dLbl>
            <c:dLbl>
              <c:idx val="4"/>
              <c:delete val="1"/>
              <c:extLst>
                <c:ext xmlns:c15="http://schemas.microsoft.com/office/drawing/2012/chart" uri="{CE6537A1-D6FC-4f65-9D91-7224C49458BB}"/>
                <c:ext xmlns:c16="http://schemas.microsoft.com/office/drawing/2014/chart" uri="{C3380CC4-5D6E-409C-BE32-E72D297353CC}">
                  <c16:uniqueId val="{00000007-2C72-4A23-8C77-C940505807F3}"/>
                </c:ext>
              </c:extLst>
            </c:dLbl>
            <c:dLbl>
              <c:idx val="5"/>
              <c:layout>
                <c:manualLayout>
                  <c:x val="0.15739629973890995"/>
                  <c:y val="7.98551393774160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2C72-4A23-8C77-C940505807F3}"/>
                </c:ext>
              </c:extLst>
            </c:dLbl>
            <c:dLbl>
              <c:idx val="6"/>
              <c:layout>
                <c:manualLayout>
                  <c:x val="0.11718302239391262"/>
                  <c:y val="0.184981708371539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2C72-4A23-8C77-C940505807F3}"/>
                </c:ext>
              </c:extLst>
            </c:dLbl>
            <c:dLbl>
              <c:idx val="7"/>
              <c:layout>
                <c:manualLayout>
                  <c:x val="2.2785353370924816E-2"/>
                  <c:y val="0.2911317491556583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2C72-4A23-8C77-C940505807F3}"/>
                </c:ext>
              </c:extLst>
            </c:dLbl>
            <c:dLbl>
              <c:idx val="8"/>
              <c:layout>
                <c:manualLayout>
                  <c:x val="-0.15775219796774995"/>
                  <c:y val="0.112789986803944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2C72-4A23-8C77-C940505807F3}"/>
                </c:ext>
              </c:extLst>
            </c:dLbl>
            <c:dLbl>
              <c:idx val="9"/>
              <c:layout>
                <c:manualLayout>
                  <c:x val="-6.887725434989618E-2"/>
                  <c:y val="0.120950716948599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2C72-4A23-8C77-C940505807F3}"/>
                </c:ext>
              </c:extLst>
            </c:dLbl>
            <c:dLbl>
              <c:idx val="10"/>
              <c:layout>
                <c:manualLayout>
                  <c:x val="-0.1269299896528869"/>
                  <c:y val="6.48674076670538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2C72-4A23-8C77-C940505807F3}"/>
                </c:ext>
              </c:extLst>
            </c:dLbl>
            <c:dLbl>
              <c:idx val="11"/>
              <c:layout>
                <c:manualLayout>
                  <c:x val="-0.15075327684645545"/>
                  <c:y val="-5.09408593466997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2C72-4A23-8C77-C940505807F3}"/>
                </c:ext>
              </c:extLst>
            </c:dLbl>
            <c:dLbl>
              <c:idx val="12"/>
              <c:layout>
                <c:manualLayout>
                  <c:x val="-0.11737713146785793"/>
                  <c:y val="-0.165943961163362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2C72-4A23-8C77-C940505807F3}"/>
                </c:ext>
              </c:extLst>
            </c:dLbl>
            <c:dLbl>
              <c:idx val="13"/>
              <c:layout>
                <c:manualLayout>
                  <c:x val="-7.0772471655857497E-2"/>
                  <c:y val="-0.1081525117202694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2C72-4A23-8C77-C940505807F3}"/>
                </c:ext>
              </c:extLst>
            </c:dLbl>
            <c:dLbl>
              <c:idx val="14"/>
              <c:layout>
                <c:manualLayout>
                  <c:x val="-2.9245830327628251E-2"/>
                  <c:y val="-7.346970909632338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2C72-4A23-8C77-C940505807F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'HSH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'HSH Chts'!$D$53:$D$67</c:f>
              <c:numCache>
                <c:formatCode>"$"#,##0</c:formatCode>
                <c:ptCount val="15"/>
                <c:pt idx="0">
                  <c:v>240771921</c:v>
                </c:pt>
                <c:pt idx="1">
                  <c:v>19529401</c:v>
                </c:pt>
                <c:pt idx="3">
                  <c:v>0</c:v>
                </c:pt>
                <c:pt idx="4">
                  <c:v>0</c:v>
                </c:pt>
                <c:pt idx="5">
                  <c:v>71796372</c:v>
                </c:pt>
                <c:pt idx="6">
                  <c:v>249224368</c:v>
                </c:pt>
                <c:pt idx="7">
                  <c:v>84160089</c:v>
                </c:pt>
                <c:pt idx="8">
                  <c:v>633507207</c:v>
                </c:pt>
                <c:pt idx="9">
                  <c:v>198827297</c:v>
                </c:pt>
                <c:pt idx="10">
                  <c:v>41075039</c:v>
                </c:pt>
                <c:pt idx="11">
                  <c:v>20906789</c:v>
                </c:pt>
                <c:pt idx="12">
                  <c:v>109261165</c:v>
                </c:pt>
                <c:pt idx="13">
                  <c:v>456328123</c:v>
                </c:pt>
                <c:pt idx="14">
                  <c:v>96837661</c:v>
                </c:pt>
              </c:numCache>
            </c:numRef>
          </c:val>
          <c:extLst>
            <c:ext xmlns:c16="http://schemas.microsoft.com/office/drawing/2014/chart" uri="{C3380CC4-5D6E-409C-BE32-E72D297353CC}">
              <c16:uniqueId val="{0000001D-2C72-4A23-8C77-C940505807F3}"/>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41" r="0.7500000000000141" t="1" header="0.5" footer="0.5"/>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586"/>
          <c:y val="2.4423337856174756E-2"/>
        </c:manualLayout>
      </c:layout>
      <c:overlay val="0"/>
      <c:spPr>
        <a:noFill/>
        <a:ln w="25400">
          <a:noFill/>
        </a:ln>
      </c:spPr>
    </c:title>
    <c:autoTitleDeleted val="0"/>
    <c:plotArea>
      <c:layout>
        <c:manualLayout>
          <c:layoutTarget val="inner"/>
          <c:xMode val="edge"/>
          <c:yMode val="edge"/>
          <c:x val="0.38972780573976096"/>
          <c:y val="0.33453913853121203"/>
          <c:w val="0.22164404609208921"/>
          <c:h val="0.35546045592270437"/>
        </c:manualLayout>
      </c:layout>
      <c:pieChart>
        <c:varyColors val="1"/>
        <c:ser>
          <c:idx val="0"/>
          <c:order val="0"/>
          <c:tx>
            <c:strRef>
              <c:f>'HSH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E44-4085-AC7C-B0EB535AF07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E44-4085-AC7C-B0EB535AF07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E44-4085-AC7C-B0EB535AF07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E44-4085-AC7C-B0EB535AF07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8E44-4085-AC7C-B0EB535AF07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8E44-4085-AC7C-B0EB535AF07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8E44-4085-AC7C-B0EB535AF07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8E44-4085-AC7C-B0EB535AF07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8E44-4085-AC7C-B0EB535AF07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8E44-4085-AC7C-B0EB535AF07C}"/>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8E44-4085-AC7C-B0EB535AF07C}"/>
              </c:ext>
            </c:extLst>
          </c:dPt>
          <c:dLbls>
            <c:dLbl>
              <c:idx val="0"/>
              <c:layout>
                <c:manualLayout>
                  <c:x val="-8.8442087050112847E-2"/>
                  <c:y val="4.64636834577786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8E44-4085-AC7C-B0EB535AF07C}"/>
                </c:ext>
              </c:extLst>
            </c:dLbl>
            <c:dLbl>
              <c:idx val="1"/>
              <c:layout>
                <c:manualLayout>
                  <c:x val="-0.23399213087556467"/>
                  <c:y val="-2.16148444712844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E44-4085-AC7C-B0EB535AF07C}"/>
                </c:ext>
              </c:extLst>
            </c:dLbl>
            <c:dLbl>
              <c:idx val="2"/>
              <c:layout>
                <c:manualLayout>
                  <c:x val="-0.24695193626872908"/>
                  <c:y val="-0.112278523952776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E44-4085-AC7C-B0EB535AF07C}"/>
                </c:ext>
              </c:extLst>
            </c:dLbl>
            <c:dLbl>
              <c:idx val="3"/>
              <c:layout>
                <c:manualLayout>
                  <c:x val="-0.12497642632032775"/>
                  <c:y val="-0.127331097914810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E44-4085-AC7C-B0EB535AF07C}"/>
                </c:ext>
              </c:extLst>
            </c:dLbl>
            <c:dLbl>
              <c:idx val="4"/>
              <c:layout>
                <c:manualLayout>
                  <c:x val="2.761008208433564E-2"/>
                  <c:y val="-0.1392299797085133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8E44-4085-AC7C-B0EB535AF07C}"/>
                </c:ext>
              </c:extLst>
            </c:dLbl>
            <c:dLbl>
              <c:idx val="5"/>
              <c:layout>
                <c:manualLayout>
                  <c:x val="0.16837629429823034"/>
                  <c:y val="-0.1365877684459306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8E44-4085-AC7C-B0EB535AF07C}"/>
                </c:ext>
              </c:extLst>
            </c:dLbl>
            <c:dLbl>
              <c:idx val="6"/>
              <c:layout>
                <c:manualLayout>
                  <c:x val="0.14745738823086119"/>
                  <c:y val="-4.57364579489072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8E44-4085-AC7C-B0EB535AF07C}"/>
                </c:ext>
              </c:extLst>
            </c:dLbl>
            <c:dLbl>
              <c:idx val="7"/>
              <c:layout>
                <c:manualLayout>
                  <c:x val="0.17166109139848995"/>
                  <c:y val="8.663038926601480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8E44-4085-AC7C-B0EB535AF07C}"/>
                </c:ext>
              </c:extLst>
            </c:dLbl>
            <c:dLbl>
              <c:idx val="8"/>
              <c:layout>
                <c:manualLayout>
                  <c:x val="0.13942890714461631"/>
                  <c:y val="0.1955152459519540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8E44-4085-AC7C-B0EB535AF07C}"/>
                </c:ext>
              </c:extLst>
            </c:dLbl>
            <c:dLbl>
              <c:idx val="9"/>
              <c:layout>
                <c:manualLayout>
                  <c:x val="0.16850765201404883"/>
                  <c:y val="0.2953538957044921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8E44-4085-AC7C-B0EB535AF07C}"/>
                </c:ext>
              </c:extLst>
            </c:dLbl>
            <c:dLbl>
              <c:idx val="10"/>
              <c:layout>
                <c:manualLayout>
                  <c:x val="0.10536530780083542"/>
                  <c:y val="0.3942070166544271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8E44-4085-AC7C-B0EB535AF07C}"/>
                </c:ext>
              </c:extLst>
            </c:dLbl>
            <c:dLbl>
              <c:idx val="11"/>
              <c:layout>
                <c:manualLayout>
                  <c:x val="-0.13626559694916002"/>
                  <c:y val="0.1956012952753019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8E44-4085-AC7C-B0EB535AF07C}"/>
                </c:ext>
              </c:extLst>
            </c:dLbl>
            <c:spPr>
              <a:noFill/>
              <a:ln>
                <a:noFill/>
              </a:ln>
              <a:effectLst/>
            </c:spPr>
            <c:txPr>
              <a:bodyPr/>
              <a:lstStyle/>
              <a:p>
                <a:pPr>
                  <a:defRPr sz="1475"/>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'HSH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'HSH Chts'!$D$102:$D$113</c:f>
              <c:numCache>
                <c:formatCode>"$"#,##0</c:formatCode>
                <c:ptCount val="12"/>
                <c:pt idx="0">
                  <c:v>920890016</c:v>
                </c:pt>
                <c:pt idx="1">
                  <c:v>250602654</c:v>
                </c:pt>
                <c:pt idx="2">
                  <c:v>60768819</c:v>
                </c:pt>
                <c:pt idx="3">
                  <c:v>67340859</c:v>
                </c:pt>
                <c:pt idx="4">
                  <c:v>13150270</c:v>
                </c:pt>
                <c:pt idx="5">
                  <c:v>88846019</c:v>
                </c:pt>
                <c:pt idx="6">
                  <c:v>40189096</c:v>
                </c:pt>
                <c:pt idx="7">
                  <c:v>13458109</c:v>
                </c:pt>
                <c:pt idx="8">
                  <c:v>15658968</c:v>
                </c:pt>
                <c:pt idx="9">
                  <c:v>17854491</c:v>
                </c:pt>
                <c:pt idx="10">
                  <c:v>2481768</c:v>
                </c:pt>
                <c:pt idx="11">
                  <c:v>541373760</c:v>
                </c:pt>
              </c:numCache>
            </c:numRef>
          </c:val>
          <c:extLst>
            <c:ext xmlns:c16="http://schemas.microsoft.com/office/drawing/2014/chart" uri="{C3380CC4-5D6E-409C-BE32-E72D297353CC}">
              <c16:uniqueId val="{00000017-8E44-4085-AC7C-B0EB535AF07C}"/>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41" r="0.7500000000000141" t="1" header="0.5" footer="0.5"/>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3935E-2"/>
        </c:manualLayout>
      </c:layout>
      <c:overlay val="0"/>
      <c:spPr>
        <a:noFill/>
        <a:ln w="25400">
          <a:noFill/>
        </a:ln>
      </c:spPr>
    </c:title>
    <c:autoTitleDeleted val="0"/>
    <c:plotArea>
      <c:layout>
        <c:manualLayout>
          <c:layoutTarget val="inner"/>
          <c:xMode val="edge"/>
          <c:yMode val="edge"/>
          <c:x val="0.39359747804473688"/>
          <c:y val="0.33725530588603547"/>
          <c:w val="0.21526450800196503"/>
          <c:h val="0.33250696259595786"/>
        </c:manualLayout>
      </c:layout>
      <c:pieChart>
        <c:varyColors val="1"/>
        <c:ser>
          <c:idx val="0"/>
          <c:order val="0"/>
          <c:tx>
            <c:strRef>
              <c:f>'HSSA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A7E-49AA-AA23-7D4C8DEF440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A7E-49AA-AA23-7D4C8DEF440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A7E-49AA-AA23-7D4C8DEF440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A7E-49AA-AA23-7D4C8DEF4407}"/>
              </c:ext>
            </c:extLst>
          </c:dPt>
          <c:dLbls>
            <c:dLbl>
              <c:idx val="0"/>
              <c:layout>
                <c:manualLayout>
                  <c:x val="6.3012500678794464E-2"/>
                  <c:y val="-9.91187029765000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8A7E-49AA-AA23-7D4C8DEF4407}"/>
                </c:ext>
              </c:extLst>
            </c:dLbl>
            <c:dLbl>
              <c:idx val="1"/>
              <c:layout>
                <c:manualLayout>
                  <c:x val="8.6163687207780157E-2"/>
                  <c:y val="1.4747059122539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A7E-49AA-AA23-7D4C8DEF4407}"/>
                </c:ext>
              </c:extLst>
            </c:dLbl>
            <c:dLbl>
              <c:idx val="2"/>
              <c:layout>
                <c:manualLayout>
                  <c:x val="2.7832733232755202E-2"/>
                  <c:y val="9.81223062579102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A7E-49AA-AA23-7D4C8DEF4407}"/>
                </c:ext>
              </c:extLst>
            </c:dLbl>
            <c:dLbl>
              <c:idx val="3"/>
              <c:layout>
                <c:manualLayout>
                  <c:x val="-6.7823587076923014E-2"/>
                  <c:y val="9.154129628812519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A7E-49AA-AA23-7D4C8DEF4407}"/>
                </c:ext>
              </c:extLst>
            </c:dLbl>
            <c:dLbl>
              <c:idx val="4"/>
              <c:layout>
                <c:manualLayout>
                  <c:x val="-7.4697540048873523E-2"/>
                  <c:y val="-1.13647171349090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8A7E-49AA-AA23-7D4C8DEF440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'HSSA Chts'!$C$11:$C$15</c:f>
              <c:strCache>
                <c:ptCount val="5"/>
                <c:pt idx="0">
                  <c:v>State of Texas</c:v>
                </c:pt>
                <c:pt idx="1">
                  <c:v>Student &amp; Parent</c:v>
                </c:pt>
                <c:pt idx="2">
                  <c:v>Federal Government</c:v>
                </c:pt>
                <c:pt idx="3">
                  <c:v>Institutional Resources</c:v>
                </c:pt>
                <c:pt idx="4">
                  <c:v>Hospitals, Clinics, Professional Fees</c:v>
                </c:pt>
              </c:strCache>
            </c:strRef>
          </c:cat>
          <c:val>
            <c:numRef>
              <c:f>'HSSA Chts'!$D$11:$D$15</c:f>
              <c:numCache>
                <c:formatCode>"$"#,##0</c:formatCode>
                <c:ptCount val="5"/>
                <c:pt idx="0">
                  <c:v>202667107</c:v>
                </c:pt>
                <c:pt idx="1">
                  <c:v>55639094</c:v>
                </c:pt>
                <c:pt idx="2">
                  <c:v>207996481</c:v>
                </c:pt>
                <c:pt idx="3">
                  <c:v>424421379</c:v>
                </c:pt>
                <c:pt idx="4">
                  <c:v>332331158</c:v>
                </c:pt>
              </c:numCache>
            </c:numRef>
          </c:val>
          <c:extLst>
            <c:ext xmlns:c16="http://schemas.microsoft.com/office/drawing/2014/chart" uri="{C3380CC4-5D6E-409C-BE32-E72D297353CC}">
              <c16:uniqueId val="{00000009-8A7E-49AA-AA23-7D4C8DEF4407}"/>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917378714904873"/>
          <c:y val="1.6399180457493254E-2"/>
        </c:manualLayout>
      </c:layout>
      <c:overlay val="0"/>
      <c:spPr>
        <a:noFill/>
        <a:ln w="25400">
          <a:noFill/>
        </a:ln>
      </c:spPr>
    </c:title>
    <c:autoTitleDeleted val="0"/>
    <c:plotArea>
      <c:layout>
        <c:manualLayout>
          <c:layoutTarget val="inner"/>
          <c:xMode val="edge"/>
          <c:yMode val="edge"/>
          <c:x val="0.39731146078848883"/>
          <c:y val="0.31294872054979639"/>
          <c:w val="0.22080762174116295"/>
          <c:h val="0.34314519926870518"/>
        </c:manualLayout>
      </c:layout>
      <c:pieChart>
        <c:varyColors val="1"/>
        <c:ser>
          <c:idx val="0"/>
          <c:order val="0"/>
          <c:tx>
            <c:strRef>
              <c:f>'HSSA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624-4FA6-802C-A85D5B66B62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624-4FA6-802C-A85D5B66B62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624-4FA6-802C-A85D5B66B62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624-4FA6-802C-A85D5B66B62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624-4FA6-802C-A85D5B66B62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624-4FA6-802C-A85D5B66B62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624-4FA6-802C-A85D5B66B62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624-4FA6-802C-A85D5B66B62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624-4FA6-802C-A85D5B66B62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624-4FA6-802C-A85D5B66B62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3624-4FA6-802C-A85D5B66B62E}"/>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3624-4FA6-802C-A85D5B66B62E}"/>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3624-4FA6-802C-A85D5B66B62E}"/>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3624-4FA6-802C-A85D5B66B62E}"/>
              </c:ext>
            </c:extLst>
          </c:dPt>
          <c:dLbls>
            <c:dLbl>
              <c:idx val="0"/>
              <c:layout>
                <c:manualLayout>
                  <c:x val="4.8870560998918657E-2"/>
                  <c:y val="-0.105452935053186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3624-4FA6-802C-A85D5B66B62E}"/>
                </c:ext>
              </c:extLst>
            </c:dLbl>
            <c:dLbl>
              <c:idx val="1"/>
              <c:layout>
                <c:manualLayout>
                  <c:x val="0.12287654103696129"/>
                  <c:y val="-8.635950648648606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624-4FA6-802C-A85D5B66B62E}"/>
                </c:ext>
              </c:extLst>
            </c:dLbl>
            <c:dLbl>
              <c:idx val="2"/>
              <c:delete val="1"/>
              <c:extLst>
                <c:ext xmlns:c15="http://schemas.microsoft.com/office/drawing/2012/chart" uri="{CE6537A1-D6FC-4f65-9D91-7224C49458BB}"/>
                <c:ext xmlns:c16="http://schemas.microsoft.com/office/drawing/2014/chart" uri="{C3380CC4-5D6E-409C-BE32-E72D297353CC}">
                  <c16:uniqueId val="{00000003-3624-4FA6-802C-A85D5B66B62E}"/>
                </c:ext>
              </c:extLst>
            </c:dLbl>
            <c:dLbl>
              <c:idx val="3"/>
              <c:delete val="1"/>
              <c:extLst>
                <c:ext xmlns:c15="http://schemas.microsoft.com/office/drawing/2012/chart" uri="{CE6537A1-D6FC-4f65-9D91-7224C49458BB}"/>
                <c:ext xmlns:c16="http://schemas.microsoft.com/office/drawing/2014/chart" uri="{C3380CC4-5D6E-409C-BE32-E72D297353CC}">
                  <c16:uniqueId val="{00000005-3624-4FA6-802C-A85D5B66B62E}"/>
                </c:ext>
              </c:extLst>
            </c:dLbl>
            <c:dLbl>
              <c:idx val="4"/>
              <c:delete val="1"/>
              <c:extLst>
                <c:ext xmlns:c15="http://schemas.microsoft.com/office/drawing/2012/chart" uri="{CE6537A1-D6FC-4f65-9D91-7224C49458BB}"/>
                <c:ext xmlns:c16="http://schemas.microsoft.com/office/drawing/2014/chart" uri="{C3380CC4-5D6E-409C-BE32-E72D297353CC}">
                  <c16:uniqueId val="{00000007-3624-4FA6-802C-A85D5B66B62E}"/>
                </c:ext>
              </c:extLst>
            </c:dLbl>
            <c:dLbl>
              <c:idx val="5"/>
              <c:layout>
                <c:manualLayout>
                  <c:x val="0.13048195823451361"/>
                  <c:y val="5.05131900682651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624-4FA6-802C-A85D5B66B62E}"/>
                </c:ext>
              </c:extLst>
            </c:dLbl>
            <c:dLbl>
              <c:idx val="6"/>
              <c:layout>
                <c:manualLayout>
                  <c:x val="0.1088652400597529"/>
                  <c:y val="7.0519131646944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624-4FA6-802C-A85D5B66B62E}"/>
                </c:ext>
              </c:extLst>
            </c:dLbl>
            <c:dLbl>
              <c:idx val="7"/>
              <c:layout>
                <c:manualLayout>
                  <c:x val="4.913774531505704E-2"/>
                  <c:y val="0.117206386330271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624-4FA6-802C-A85D5B66B62E}"/>
                </c:ext>
              </c:extLst>
            </c:dLbl>
            <c:dLbl>
              <c:idx val="8"/>
              <c:layout>
                <c:manualLayout>
                  <c:x val="2.4577450231352847E-2"/>
                  <c:y val="0.109283913687931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624-4FA6-802C-A85D5B66B62E}"/>
                </c:ext>
              </c:extLst>
            </c:dLbl>
            <c:dLbl>
              <c:idx val="9"/>
              <c:layout>
                <c:manualLayout>
                  <c:x val="-3.7788809517107239E-2"/>
                  <c:y val="0.1541535496204560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624-4FA6-802C-A85D5B66B62E}"/>
                </c:ext>
              </c:extLst>
            </c:dLbl>
            <c:dLbl>
              <c:idx val="10"/>
              <c:layout>
                <c:manualLayout>
                  <c:x val="-0.10178897860430834"/>
                  <c:y val="9.10735266421491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624-4FA6-802C-A85D5B66B62E}"/>
                </c:ext>
              </c:extLst>
            </c:dLbl>
            <c:dLbl>
              <c:idx val="11"/>
              <c:layout>
                <c:manualLayout>
                  <c:x val="-0.14239644522593567"/>
                  <c:y val="-2.8848176904595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3624-4FA6-802C-A85D5B66B62E}"/>
                </c:ext>
              </c:extLst>
            </c:dLbl>
            <c:dLbl>
              <c:idx val="12"/>
              <c:layout>
                <c:manualLayout>
                  <c:x val="-0.11487295381028627"/>
                  <c:y val="-0.181307352191410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3624-4FA6-802C-A85D5B66B62E}"/>
                </c:ext>
              </c:extLst>
            </c:dLbl>
            <c:dLbl>
              <c:idx val="13"/>
              <c:layout>
                <c:manualLayout>
                  <c:x val="-3.2100503764227989E-2"/>
                  <c:y val="-0.112359035257832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3624-4FA6-802C-A85D5B66B62E}"/>
                </c:ext>
              </c:extLst>
            </c:dLbl>
            <c:dLbl>
              <c:idx val="14"/>
              <c:layout>
                <c:manualLayout>
                  <c:x val="3.5196486625761591E-3"/>
                  <c:y val="-6.41573872183561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3624-4FA6-802C-A85D5B66B62E}"/>
                </c:ext>
              </c:extLst>
            </c:dLbl>
            <c:spPr>
              <a:noFill/>
              <a:ln>
                <a:noFill/>
              </a:ln>
              <a:effectLst/>
            </c:spPr>
            <c:txPr>
              <a:bodyPr/>
              <a:lstStyle/>
              <a:p>
                <a:pPr>
                  <a:defRPr sz="1475"/>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'HSSA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'HSSA Chts'!$D$53:$D$67</c:f>
              <c:numCache>
                <c:formatCode>"$"#,##0</c:formatCode>
                <c:ptCount val="15"/>
                <c:pt idx="0">
                  <c:v>183996390</c:v>
                </c:pt>
                <c:pt idx="1">
                  <c:v>18670717</c:v>
                </c:pt>
                <c:pt idx="3">
                  <c:v>0</c:v>
                </c:pt>
                <c:pt idx="4">
                  <c:v>0</c:v>
                </c:pt>
                <c:pt idx="5">
                  <c:v>55639094</c:v>
                </c:pt>
                <c:pt idx="6">
                  <c:v>207996481</c:v>
                </c:pt>
                <c:pt idx="7">
                  <c:v>55696429</c:v>
                </c:pt>
                <c:pt idx="8">
                  <c:v>216812826</c:v>
                </c:pt>
                <c:pt idx="9">
                  <c:v>47825441</c:v>
                </c:pt>
                <c:pt idx="10">
                  <c:v>53892737</c:v>
                </c:pt>
                <c:pt idx="11">
                  <c:v>5080625</c:v>
                </c:pt>
                <c:pt idx="12">
                  <c:v>45113321</c:v>
                </c:pt>
                <c:pt idx="13">
                  <c:v>332331158</c:v>
                </c:pt>
                <c:pt idx="14">
                  <c:v>0</c:v>
                </c:pt>
              </c:numCache>
            </c:numRef>
          </c:val>
          <c:extLst>
            <c:ext xmlns:c16="http://schemas.microsoft.com/office/drawing/2014/chart" uri="{C3380CC4-5D6E-409C-BE32-E72D297353CC}">
              <c16:uniqueId val="{0000001D-3624-4FA6-802C-A85D5B66B62E}"/>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558"/>
          <c:y val="2.4423337856174725E-2"/>
        </c:manualLayout>
      </c:layout>
      <c:overlay val="0"/>
      <c:spPr>
        <a:noFill/>
        <a:ln w="25400">
          <a:noFill/>
        </a:ln>
      </c:spPr>
    </c:title>
    <c:autoTitleDeleted val="0"/>
    <c:plotArea>
      <c:layout>
        <c:manualLayout>
          <c:layoutTarget val="inner"/>
          <c:xMode val="edge"/>
          <c:yMode val="edge"/>
          <c:x val="0.38558802538895975"/>
          <c:y val="0.32087241865363147"/>
          <c:w val="0.21861873205793392"/>
          <c:h val="0.350608673382171"/>
        </c:manualLayout>
      </c:layout>
      <c:pieChart>
        <c:varyColors val="1"/>
        <c:ser>
          <c:idx val="0"/>
          <c:order val="0"/>
          <c:tx>
            <c:strRef>
              <c:f>'HSSA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4E5-461F-BEBF-D8142908F38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4E5-461F-BEBF-D8142908F38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4E5-461F-BEBF-D8142908F38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4E5-461F-BEBF-D8142908F38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4E5-461F-BEBF-D8142908F38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4E5-461F-BEBF-D8142908F38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4E5-461F-BEBF-D8142908F38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4E5-461F-BEBF-D8142908F38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4E5-461F-BEBF-D8142908F38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4E5-461F-BEBF-D8142908F38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64E5-461F-BEBF-D8142908F388}"/>
              </c:ext>
            </c:extLst>
          </c:dPt>
          <c:dLbls>
            <c:dLbl>
              <c:idx val="0"/>
              <c:layout>
                <c:manualLayout>
                  <c:x val="-9.9497771205113078E-2"/>
                  <c:y val="-1.67240121724068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64E5-461F-BEBF-D8142908F388}"/>
                </c:ext>
              </c:extLst>
            </c:dLbl>
            <c:dLbl>
              <c:idx val="1"/>
              <c:layout>
                <c:manualLayout>
                  <c:x val="-0.1702649351909799"/>
                  <c:y val="-9.38405148793880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4E5-461F-BEBF-D8142908F388}"/>
                </c:ext>
              </c:extLst>
            </c:dLbl>
            <c:dLbl>
              <c:idx val="2"/>
              <c:layout>
                <c:manualLayout>
                  <c:x val="-9.2697129469899386E-2"/>
                  <c:y val="-0.145113175052281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4E5-461F-BEBF-D8142908F388}"/>
                </c:ext>
              </c:extLst>
            </c:dLbl>
            <c:dLbl>
              <c:idx val="3"/>
              <c:layout>
                <c:manualLayout>
                  <c:x val="3.3698586330531924E-2"/>
                  <c:y val="-0.2024596127345542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4E5-461F-BEBF-D8142908F388}"/>
                </c:ext>
              </c:extLst>
            </c:dLbl>
            <c:dLbl>
              <c:idx val="4"/>
              <c:layout>
                <c:manualLayout>
                  <c:x val="0.1488627037517361"/>
                  <c:y val="-0.149273209397455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64E5-461F-BEBF-D8142908F388}"/>
                </c:ext>
              </c:extLst>
            </c:dLbl>
            <c:dLbl>
              <c:idx val="5"/>
              <c:layout>
                <c:manualLayout>
                  <c:x val="0.15219004415697085"/>
                  <c:y val="-7.470960683225413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4E5-461F-BEBF-D8142908F388}"/>
                </c:ext>
              </c:extLst>
            </c:dLbl>
            <c:dLbl>
              <c:idx val="6"/>
              <c:layout>
                <c:manualLayout>
                  <c:x val="0.14282323876107988"/>
                  <c:y val="-3.30354846285465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4E5-461F-BEBF-D8142908F388}"/>
                </c:ext>
              </c:extLst>
            </c:dLbl>
            <c:dLbl>
              <c:idx val="7"/>
              <c:layout>
                <c:manualLayout>
                  <c:x val="0.16235783382234992"/>
                  <c:y val="7.51542985520104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4E5-461F-BEBF-D8142908F388}"/>
                </c:ext>
              </c:extLst>
            </c:dLbl>
            <c:dLbl>
              <c:idx val="8"/>
              <c:layout>
                <c:manualLayout>
                  <c:x val="0.12705272952142152"/>
                  <c:y val="0.2049272401714274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64E5-461F-BEBF-D8142908F388}"/>
                </c:ext>
              </c:extLst>
            </c:dLbl>
            <c:dLbl>
              <c:idx val="9"/>
              <c:layout>
                <c:manualLayout>
                  <c:x val="9.8562199589432853E-2"/>
                  <c:y val="0.301329819290208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4E5-461F-BEBF-D8142908F388}"/>
                </c:ext>
              </c:extLst>
            </c:dLbl>
            <c:dLbl>
              <c:idx val="10"/>
              <c:layout>
                <c:manualLayout>
                  <c:x val="-7.9646801100469553E-2"/>
                  <c:y val="0.297272453903035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4E5-461F-BEBF-D8142908F388}"/>
                </c:ext>
              </c:extLst>
            </c:dLbl>
            <c:dLbl>
              <c:idx val="11"/>
              <c:layout>
                <c:manualLayout>
                  <c:x val="-0.22957274488712623"/>
                  <c:y val="0.1686321326190927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64E5-461F-BEBF-D8142908F38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'HSSA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'HSSA Chts'!$D$102:$D$113</c:f>
              <c:numCache>
                <c:formatCode>"$"#,##0</c:formatCode>
                <c:ptCount val="12"/>
                <c:pt idx="0">
                  <c:v>447297039</c:v>
                </c:pt>
                <c:pt idx="1">
                  <c:v>169090146</c:v>
                </c:pt>
                <c:pt idx="2">
                  <c:v>101179829</c:v>
                </c:pt>
                <c:pt idx="3">
                  <c:v>53922284</c:v>
                </c:pt>
                <c:pt idx="4">
                  <c:v>2828020</c:v>
                </c:pt>
                <c:pt idx="5">
                  <c:v>63711677</c:v>
                </c:pt>
                <c:pt idx="6">
                  <c:v>47092554</c:v>
                </c:pt>
                <c:pt idx="7">
                  <c:v>12861287</c:v>
                </c:pt>
                <c:pt idx="8">
                  <c:v>5170202</c:v>
                </c:pt>
                <c:pt idx="9">
                  <c:v>17765317</c:v>
                </c:pt>
                <c:pt idx="10">
                  <c:v>751756</c:v>
                </c:pt>
                <c:pt idx="11">
                  <c:v>207378571</c:v>
                </c:pt>
              </c:numCache>
            </c:numRef>
          </c:val>
          <c:extLst>
            <c:ext xmlns:c16="http://schemas.microsoft.com/office/drawing/2014/chart" uri="{C3380CC4-5D6E-409C-BE32-E72D297353CC}">
              <c16:uniqueId val="{00000017-64E5-461F-BEBF-D8142908F388}"/>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22E-2"/>
        </c:manualLayout>
      </c:layout>
      <c:overlay val="0"/>
      <c:spPr>
        <a:noFill/>
        <a:ln w="25400">
          <a:noFill/>
        </a:ln>
      </c:spPr>
    </c:title>
    <c:autoTitleDeleted val="0"/>
    <c:plotArea>
      <c:layout>
        <c:manualLayout>
          <c:layoutTarget val="inner"/>
          <c:xMode val="edge"/>
          <c:yMode val="edge"/>
          <c:x val="0.3916827332890625"/>
          <c:y val="0.3243431349205288"/>
          <c:w val="0.21444587018308012"/>
          <c:h val="0.33124245885982606"/>
        </c:manualLayout>
      </c:layout>
      <c:pieChart>
        <c:varyColors val="1"/>
        <c:ser>
          <c:idx val="0"/>
          <c:order val="0"/>
          <c:tx>
            <c:strRef>
              <c:f>'MDA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D9E-472B-90DF-939912FCE58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D9E-472B-90DF-939912FCE58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D9E-472B-90DF-939912FCE58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D9E-472B-90DF-939912FCE586}"/>
              </c:ext>
            </c:extLst>
          </c:dPt>
          <c:dLbls>
            <c:dLbl>
              <c:idx val="0"/>
              <c:layout>
                <c:manualLayout>
                  <c:x val="-0.19443360005322838"/>
                  <c:y val="-8.33330084810436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FD9E-472B-90DF-939912FCE586}"/>
                </c:ext>
              </c:extLst>
            </c:dLbl>
            <c:dLbl>
              <c:idx val="1"/>
              <c:layout>
                <c:manualLayout>
                  <c:x val="4.2749296346457431E-2"/>
                  <c:y val="-9.64590417434715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D9E-472B-90DF-939912FCE586}"/>
                </c:ext>
              </c:extLst>
            </c:dLbl>
            <c:dLbl>
              <c:idx val="2"/>
              <c:layout>
                <c:manualLayout>
                  <c:x val="0.12959794684159998"/>
                  <c:y val="8.645743780303095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D9E-472B-90DF-939912FCE586}"/>
                </c:ext>
              </c:extLst>
            </c:dLbl>
            <c:dLbl>
              <c:idx val="3"/>
              <c:layout>
                <c:manualLayout>
                  <c:x val="0.10649697666587155"/>
                  <c:y val="0.243055232785652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D9E-472B-90DF-939912FCE586}"/>
                </c:ext>
              </c:extLst>
            </c:dLbl>
            <c:dLbl>
              <c:idx val="4"/>
              <c:layout>
                <c:manualLayout>
                  <c:x val="2.7617133879056587E-2"/>
                  <c:y val="8.03508644619290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D9E-472B-90DF-939912FCE586}"/>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'MDA Chts'!$C$11:$C$15</c:f>
              <c:strCache>
                <c:ptCount val="5"/>
                <c:pt idx="0">
                  <c:v>State of Texas</c:v>
                </c:pt>
                <c:pt idx="1">
                  <c:v>Student &amp; Parent</c:v>
                </c:pt>
                <c:pt idx="2">
                  <c:v>Federal Government</c:v>
                </c:pt>
                <c:pt idx="3">
                  <c:v>Institutional Resources</c:v>
                </c:pt>
                <c:pt idx="4">
                  <c:v>Hospitals, Clinics, Professional Fees</c:v>
                </c:pt>
              </c:strCache>
            </c:strRef>
          </c:cat>
          <c:val>
            <c:numRef>
              <c:f>'MDA Chts'!$D$11:$D$15</c:f>
              <c:numCache>
                <c:formatCode>"$"#,##0</c:formatCode>
                <c:ptCount val="5"/>
                <c:pt idx="0">
                  <c:v>261645065</c:v>
                </c:pt>
                <c:pt idx="1">
                  <c:v>1833860</c:v>
                </c:pt>
                <c:pt idx="2">
                  <c:v>306905101</c:v>
                </c:pt>
                <c:pt idx="3">
                  <c:v>1007073812</c:v>
                </c:pt>
                <c:pt idx="4">
                  <c:v>5296331580</c:v>
                </c:pt>
              </c:numCache>
            </c:numRef>
          </c:val>
          <c:extLst>
            <c:ext xmlns:c16="http://schemas.microsoft.com/office/drawing/2014/chart" uri="{C3380CC4-5D6E-409C-BE32-E72D297353CC}">
              <c16:uniqueId val="{00000009-FD9E-472B-90DF-939912FCE586}"/>
            </c:ext>
          </c:extLst>
        </c:ser>
        <c:dLbls>
          <c:showLegendKey val="0"/>
          <c:showVal val="1"/>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88" r="0.75000000000001388" t="1" header="0.5" footer="0.5"/>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2893813491129951"/>
          <c:y val="7.8873814385091723E-3"/>
        </c:manualLayout>
      </c:layout>
      <c:overlay val="0"/>
      <c:spPr>
        <a:noFill/>
        <a:ln w="25400">
          <a:noFill/>
        </a:ln>
      </c:spPr>
    </c:title>
    <c:autoTitleDeleted val="0"/>
    <c:plotArea>
      <c:layout>
        <c:manualLayout>
          <c:layoutTarget val="inner"/>
          <c:xMode val="edge"/>
          <c:yMode val="edge"/>
          <c:x val="0.39214203770425904"/>
          <c:y val="0.36416356198432465"/>
          <c:w val="0.2185245196792297"/>
          <c:h val="0.33939669011433038"/>
        </c:manualLayout>
      </c:layout>
      <c:pieChart>
        <c:varyColors val="1"/>
        <c:ser>
          <c:idx val="0"/>
          <c:order val="0"/>
          <c:tx>
            <c:strRef>
              <c:f>'MDA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701-4D7C-9D46-011C3B01762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701-4D7C-9D46-011C3B01762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701-4D7C-9D46-011C3B01762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701-4D7C-9D46-011C3B01762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701-4D7C-9D46-011C3B01762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701-4D7C-9D46-011C3B01762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701-4D7C-9D46-011C3B01762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701-4D7C-9D46-011C3B01762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701-4D7C-9D46-011C3B01762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701-4D7C-9D46-011C3B01762F}"/>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701-4D7C-9D46-011C3B01762F}"/>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4701-4D7C-9D46-011C3B01762F}"/>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4701-4D7C-9D46-011C3B01762F}"/>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4701-4D7C-9D46-011C3B01762F}"/>
              </c:ext>
            </c:extLst>
          </c:dPt>
          <c:dLbls>
            <c:dLbl>
              <c:idx val="0"/>
              <c:layout>
                <c:manualLayout>
                  <c:x val="-0.32615410260221434"/>
                  <c:y val="-1.116678539321119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4701-4D7C-9D46-011C3B01762F}"/>
                </c:ext>
              </c:extLst>
            </c:dLbl>
            <c:dLbl>
              <c:idx val="1"/>
              <c:layout>
                <c:manualLayout>
                  <c:x val="-0.26418655021132115"/>
                  <c:y val="-0.121004504808379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701-4D7C-9D46-011C3B01762F}"/>
                </c:ext>
              </c:extLst>
            </c:dLbl>
            <c:dLbl>
              <c:idx val="2"/>
              <c:delete val="1"/>
              <c:extLst>
                <c:ext xmlns:c15="http://schemas.microsoft.com/office/drawing/2012/chart" uri="{CE6537A1-D6FC-4f65-9D91-7224C49458BB}"/>
                <c:ext xmlns:c16="http://schemas.microsoft.com/office/drawing/2014/chart" uri="{C3380CC4-5D6E-409C-BE32-E72D297353CC}">
                  <c16:uniqueId val="{00000003-4701-4D7C-9D46-011C3B01762F}"/>
                </c:ext>
              </c:extLst>
            </c:dLbl>
            <c:dLbl>
              <c:idx val="3"/>
              <c:delete val="1"/>
              <c:extLst>
                <c:ext xmlns:c15="http://schemas.microsoft.com/office/drawing/2012/chart" uri="{CE6537A1-D6FC-4f65-9D91-7224C49458BB}"/>
                <c:ext xmlns:c16="http://schemas.microsoft.com/office/drawing/2014/chart" uri="{C3380CC4-5D6E-409C-BE32-E72D297353CC}">
                  <c16:uniqueId val="{00000005-4701-4D7C-9D46-011C3B01762F}"/>
                </c:ext>
              </c:extLst>
            </c:dLbl>
            <c:dLbl>
              <c:idx val="4"/>
              <c:delete val="1"/>
              <c:extLst>
                <c:ext xmlns:c15="http://schemas.microsoft.com/office/drawing/2012/chart" uri="{CE6537A1-D6FC-4f65-9D91-7224C49458BB}"/>
                <c:ext xmlns:c16="http://schemas.microsoft.com/office/drawing/2014/chart" uri="{C3380CC4-5D6E-409C-BE32-E72D297353CC}">
                  <c16:uniqueId val="{00000007-4701-4D7C-9D46-011C3B01762F}"/>
                </c:ext>
              </c:extLst>
            </c:dLbl>
            <c:dLbl>
              <c:idx val="5"/>
              <c:layout>
                <c:manualLayout>
                  <c:x val="-0.11711640327983706"/>
                  <c:y val="-0.18833759003644504"/>
                </c:manualLayout>
              </c:layout>
              <c:tx>
                <c:rich>
                  <a:bodyPr/>
                  <a:lstStyle/>
                  <a:p>
                    <a:r>
                      <a:rPr lang="en-US" sz="1475" baseline="0"/>
                      <a:t>Tuition &amp; Fees
$599,819, 0%</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4701-4D7C-9D46-011C3B01762F}"/>
                </c:ext>
              </c:extLst>
            </c:dLbl>
            <c:dLbl>
              <c:idx val="6"/>
              <c:layout>
                <c:manualLayout>
                  <c:x val="1.4992463107898875E-2"/>
                  <c:y val="-0.16474425149760877"/>
                </c:manualLayout>
              </c:layout>
              <c:tx>
                <c:rich>
                  <a:bodyPr/>
                  <a:lstStyle/>
                  <a:p>
                    <a:r>
                      <a:rPr lang="en-US" sz="1475" baseline="0"/>
                      <a:t>Federal Grants &amp; Contracts
$193,841,961, 7%</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4701-4D7C-9D46-011C3B01762F}"/>
                </c:ext>
              </c:extLst>
            </c:dLbl>
            <c:dLbl>
              <c:idx val="7"/>
              <c:layout>
                <c:manualLayout>
                  <c:x val="0.16847702461090974"/>
                  <c:y val="-0.16792013915129669"/>
                </c:manualLayout>
              </c:layout>
              <c:tx>
                <c:rich>
                  <a:bodyPr/>
                  <a:lstStyle/>
                  <a:p>
                    <a:r>
                      <a:rPr lang="en-US" sz="1475" baseline="0"/>
                      <a:t>Endowment &amp; Interest Income
$57,917,314, 2%</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D-4701-4D7C-9D46-011C3B01762F}"/>
                </c:ext>
              </c:extLst>
            </c:dLbl>
            <c:dLbl>
              <c:idx val="8"/>
              <c:delete val="1"/>
              <c:extLst>
                <c:ext xmlns:c15="http://schemas.microsoft.com/office/drawing/2012/chart" uri="{CE6537A1-D6FC-4f65-9D91-7224C49458BB}"/>
                <c:ext xmlns:c16="http://schemas.microsoft.com/office/drawing/2014/chart" uri="{C3380CC4-5D6E-409C-BE32-E72D297353CC}">
                  <c16:uniqueId val="{0000000F-4701-4D7C-9D46-011C3B01762F}"/>
                </c:ext>
              </c:extLst>
            </c:dLbl>
            <c:dLbl>
              <c:idx val="9"/>
              <c:layout>
                <c:manualLayout>
                  <c:x val="0.16584612608295426"/>
                  <c:y val="-8.0689602431091065E-2"/>
                </c:manualLayout>
              </c:layout>
              <c:tx>
                <c:rich>
                  <a:bodyPr/>
                  <a:lstStyle/>
                  <a:p>
                    <a:r>
                      <a:rPr lang="en-US" sz="1475" baseline="0"/>
                      <a:t>Private Gifts &amp; Grants
$180,582,064, 6%</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1-4701-4D7C-9D46-011C3B01762F}"/>
                </c:ext>
              </c:extLst>
            </c:dLbl>
            <c:dLbl>
              <c:idx val="10"/>
              <c:layout>
                <c:manualLayout>
                  <c:x val="0.18471034525638313"/>
                  <c:y val="5.0864083937908373E-3"/>
                </c:manualLayout>
              </c:layout>
              <c:tx>
                <c:rich>
                  <a:bodyPr/>
                  <a:lstStyle/>
                  <a:p>
                    <a:r>
                      <a:rPr lang="en-US" sz="1475" baseline="0"/>
                      <a:t>Sales &amp; Services
$1,813,222, 0%</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3-4701-4D7C-9D46-011C3B01762F}"/>
                </c:ext>
              </c:extLst>
            </c:dLbl>
            <c:dLbl>
              <c:idx val="11"/>
              <c:layout>
                <c:manualLayout>
                  <c:x val="0.1928456772056783"/>
                  <c:y val="0.171741330876920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4701-4D7C-9D46-011C3B01762F}"/>
                </c:ext>
              </c:extLst>
            </c:dLbl>
            <c:dLbl>
              <c:idx val="12"/>
              <c:layout>
                <c:manualLayout>
                  <c:x val="0.16113973883228208"/>
                  <c:y val="0.289380789049873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4701-4D7C-9D46-011C3B01762F}"/>
                </c:ext>
              </c:extLst>
            </c:dLbl>
            <c:dLbl>
              <c:idx val="13"/>
              <c:layout>
                <c:manualLayout>
                  <c:x val="3.1334401438833558E-2"/>
                  <c:y val="0.3173304934945987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4701-4D7C-9D46-011C3B01762F}"/>
                </c:ext>
              </c:extLst>
            </c:dLbl>
            <c:dLbl>
              <c:idx val="14"/>
              <c:layout>
                <c:manualLayout>
                  <c:x val="-7.5959020234356425E-2"/>
                  <c:y val="6.16781481711301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4701-4D7C-9D46-011C3B01762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'MDA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'MDA Chts'!$D$53:$D$67</c:f>
              <c:numCache>
                <c:formatCode>"$"#,##0</c:formatCode>
                <c:ptCount val="15"/>
                <c:pt idx="0">
                  <c:v>222277361</c:v>
                </c:pt>
                <c:pt idx="1">
                  <c:v>39367704</c:v>
                </c:pt>
                <c:pt idx="3">
                  <c:v>0</c:v>
                </c:pt>
                <c:pt idx="4">
                  <c:v>0</c:v>
                </c:pt>
                <c:pt idx="5">
                  <c:v>1833860</c:v>
                </c:pt>
                <c:pt idx="6">
                  <c:v>306905101</c:v>
                </c:pt>
                <c:pt idx="7">
                  <c:v>459967078</c:v>
                </c:pt>
                <c:pt idx="8">
                  <c:v>0</c:v>
                </c:pt>
                <c:pt idx="9">
                  <c:v>372373856</c:v>
                </c:pt>
                <c:pt idx="10">
                  <c:v>1604852</c:v>
                </c:pt>
                <c:pt idx="11">
                  <c:v>34980243</c:v>
                </c:pt>
                <c:pt idx="12">
                  <c:v>138147783</c:v>
                </c:pt>
                <c:pt idx="13">
                  <c:v>446606991</c:v>
                </c:pt>
                <c:pt idx="14">
                  <c:v>4849724589</c:v>
                </c:pt>
              </c:numCache>
            </c:numRef>
          </c:val>
          <c:extLst>
            <c:ext xmlns:c16="http://schemas.microsoft.com/office/drawing/2014/chart" uri="{C3380CC4-5D6E-409C-BE32-E72D297353CC}">
              <c16:uniqueId val="{0000001D-4701-4D7C-9D46-011C3B01762F}"/>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88" r="0.75000000000001388" t="1" header="0.5" footer="0.5"/>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52"/>
          <c:y val="2.4423337856174846E-2"/>
        </c:manualLayout>
      </c:layout>
      <c:overlay val="0"/>
      <c:spPr>
        <a:noFill/>
        <a:ln w="25400">
          <a:noFill/>
        </a:ln>
      </c:spPr>
    </c:title>
    <c:autoTitleDeleted val="0"/>
    <c:plotArea>
      <c:layout>
        <c:manualLayout>
          <c:layoutTarget val="inner"/>
          <c:xMode val="edge"/>
          <c:yMode val="edge"/>
          <c:x val="0.39549741405536981"/>
          <c:y val="0.29987841950355504"/>
          <c:w val="0.21863674503437244"/>
          <c:h val="0.3506375129024768"/>
        </c:manualLayout>
      </c:layout>
      <c:pieChart>
        <c:varyColors val="1"/>
        <c:ser>
          <c:idx val="0"/>
          <c:order val="0"/>
          <c:tx>
            <c:strRef>
              <c:f>'MDA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936-4AF8-9F83-5B06B474944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936-4AF8-9F83-5B06B474944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936-4AF8-9F83-5B06B474944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936-4AF8-9F83-5B06B474944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936-4AF8-9F83-5B06B474944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936-4AF8-9F83-5B06B474944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936-4AF8-9F83-5B06B474944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936-4AF8-9F83-5B06B474944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936-4AF8-9F83-5B06B474944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936-4AF8-9F83-5B06B474944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936-4AF8-9F83-5B06B4749443}"/>
              </c:ext>
            </c:extLst>
          </c:dPt>
          <c:dLbls>
            <c:dLbl>
              <c:idx val="0"/>
              <c:layout>
                <c:manualLayout>
                  <c:x val="0.15044962382604243"/>
                  <c:y val="0.133437980095887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0936-4AF8-9F83-5B06B4749443}"/>
                </c:ext>
              </c:extLst>
            </c:dLbl>
            <c:dLbl>
              <c:idx val="1"/>
              <c:layout>
                <c:manualLayout>
                  <c:x val="0.15797804525644812"/>
                  <c:y val="0.195705081896757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936-4AF8-9F83-5B06B4749443}"/>
                </c:ext>
              </c:extLst>
            </c:dLbl>
            <c:dLbl>
              <c:idx val="2"/>
              <c:layout>
                <c:manualLayout>
                  <c:x val="5.8904836609208831E-2"/>
                  <c:y val="0.28339572427990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936-4AF8-9F83-5B06B4749443}"/>
                </c:ext>
              </c:extLst>
            </c:dLbl>
            <c:dLbl>
              <c:idx val="3"/>
              <c:layout>
                <c:manualLayout>
                  <c:x val="-8.0011218973180726E-2"/>
                  <c:y val="0.295657754761564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936-4AF8-9F83-5B06B4749443}"/>
                </c:ext>
              </c:extLst>
            </c:dLbl>
            <c:dLbl>
              <c:idx val="4"/>
              <c:layout>
                <c:manualLayout>
                  <c:x val="-0.15114838603228334"/>
                  <c:y val="0.217779532590564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0936-4AF8-9F83-5B06B4749443}"/>
                </c:ext>
              </c:extLst>
            </c:dLbl>
            <c:dLbl>
              <c:idx val="5"/>
              <c:layout>
                <c:manualLayout>
                  <c:x val="-0.15620310181227665"/>
                  <c:y val="0.133728746085648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936-4AF8-9F83-5B06B4749443}"/>
                </c:ext>
              </c:extLst>
            </c:dLbl>
            <c:dLbl>
              <c:idx val="6"/>
              <c:layout>
                <c:manualLayout>
                  <c:x val="-0.15544008997989062"/>
                  <c:y val="7.126236396166797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936-4AF8-9F83-5B06B4749443}"/>
                </c:ext>
              </c:extLst>
            </c:dLbl>
            <c:dLbl>
              <c:idx val="7"/>
              <c:layout>
                <c:manualLayout>
                  <c:x val="-0.18383471802682935"/>
                  <c:y val="-3.54454924825653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936-4AF8-9F83-5B06B4749443}"/>
                </c:ext>
              </c:extLst>
            </c:dLbl>
            <c:dLbl>
              <c:idx val="8"/>
              <c:layout>
                <c:manualLayout>
                  <c:x val="-0.14972301377888358"/>
                  <c:y val="-0.171487163970738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0936-4AF8-9F83-5B06B4749443}"/>
                </c:ext>
              </c:extLst>
            </c:dLbl>
            <c:dLbl>
              <c:idx val="9"/>
              <c:layout>
                <c:manualLayout>
                  <c:x val="-4.6191489357657663E-2"/>
                  <c:y val="-0.222316227584652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936-4AF8-9F83-5B06B4749443}"/>
                </c:ext>
              </c:extLst>
            </c:dLbl>
            <c:dLbl>
              <c:idx val="10"/>
              <c:layout>
                <c:manualLayout>
                  <c:x val="0.11590955705585403"/>
                  <c:y val="-0.195704149954482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936-4AF8-9F83-5B06B4749443}"/>
                </c:ext>
              </c:extLst>
            </c:dLbl>
            <c:dLbl>
              <c:idx val="11"/>
              <c:layout>
                <c:manualLayout>
                  <c:x val="7.7319489546565534E-2"/>
                  <c:y val="-5.7845344820352186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0936-4AF8-9F83-5B06B474944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'MDA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'MDA Chts'!$D$102:$D$113</c:f>
              <c:numCache>
                <c:formatCode>"$"#,##0</c:formatCode>
                <c:ptCount val="12"/>
                <c:pt idx="0">
                  <c:v>99944089</c:v>
                </c:pt>
                <c:pt idx="1">
                  <c:v>943836402</c:v>
                </c:pt>
                <c:pt idx="2">
                  <c:v>22423991</c:v>
                </c:pt>
                <c:pt idx="3">
                  <c:v>201697296</c:v>
                </c:pt>
                <c:pt idx="4">
                  <c:v>3435119</c:v>
                </c:pt>
                <c:pt idx="5">
                  <c:v>194073769</c:v>
                </c:pt>
                <c:pt idx="6">
                  <c:v>230701538</c:v>
                </c:pt>
                <c:pt idx="7">
                  <c:v>2720520</c:v>
                </c:pt>
                <c:pt idx="8">
                  <c:v>18756979</c:v>
                </c:pt>
                <c:pt idx="9">
                  <c:v>88539706</c:v>
                </c:pt>
                <c:pt idx="10">
                  <c:v>2179929</c:v>
                </c:pt>
                <c:pt idx="11">
                  <c:v>3764483888</c:v>
                </c:pt>
              </c:numCache>
            </c:numRef>
          </c:val>
          <c:extLst>
            <c:ext xmlns:c16="http://schemas.microsoft.com/office/drawing/2014/chart" uri="{C3380CC4-5D6E-409C-BE32-E72D297353CC}">
              <c16:uniqueId val="{00000017-0936-4AF8-9F83-5B06B4749443}"/>
            </c:ext>
          </c:extLst>
        </c:ser>
        <c:dLbls>
          <c:showLegendKey val="0"/>
          <c:showVal val="1"/>
          <c:showCatName val="0"/>
          <c:showSerName val="0"/>
          <c:showPercent val="0"/>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88" r="0.75000000000001388" t="1" header="0.5" footer="0.5"/>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387156972959003"/>
          <c:y val="0.33594813033231291"/>
          <c:w val="0.2177453625029323"/>
          <c:h val="0.33633899883088658"/>
        </c:manualLayout>
      </c:layout>
      <c:pieChart>
        <c:varyColors val="1"/>
        <c:ser>
          <c:idx val="0"/>
          <c:order val="0"/>
          <c:tx>
            <c:strRef>
              <c:f>'THC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A9C-4472-A941-DFC2B841708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A9C-4472-A941-DFC2B841708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A9C-4472-A941-DFC2B841708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A9C-4472-A941-DFC2B8417080}"/>
              </c:ext>
            </c:extLst>
          </c:dPt>
          <c:dLbls>
            <c:dLbl>
              <c:idx val="0"/>
              <c:layout>
                <c:manualLayout>
                  <c:x val="-8.0584363092396388E-2"/>
                  <c:y val="-0.106531343651561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4A9C-4472-A941-DFC2B8417080}"/>
                </c:ext>
              </c:extLst>
            </c:dLbl>
            <c:dLbl>
              <c:idx val="1"/>
              <c:layout>
                <c:manualLayout>
                  <c:x val="8.198189155690927E-2"/>
                  <c:y val="-1.142234879312153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A9C-4472-A941-DFC2B8417080}"/>
                </c:ext>
              </c:extLst>
            </c:dLbl>
            <c:dLbl>
              <c:idx val="2"/>
              <c:layout>
                <c:manualLayout>
                  <c:x val="7.1800074477983464E-2"/>
                  <c:y val="8.48822743027296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A9C-4472-A941-DFC2B8417080}"/>
                </c:ext>
              </c:extLst>
            </c:dLbl>
            <c:dLbl>
              <c:idx val="3"/>
              <c:layout>
                <c:manualLayout>
                  <c:x val="-3.0337599088748973E-2"/>
                  <c:y val="0.1117548866367300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A9C-4472-A941-DFC2B8417080}"/>
                </c:ext>
              </c:extLst>
            </c:dLbl>
            <c:dLbl>
              <c:idx val="4"/>
              <c:layout>
                <c:manualLayout>
                  <c:x val="-5.1838591101748106E-2"/>
                  <c:y val="-4.60263014275730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A9C-4472-A941-DFC2B841708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'THC Chts'!$C$11:$C$15</c:f>
              <c:strCache>
                <c:ptCount val="5"/>
                <c:pt idx="0">
                  <c:v>State of Texas</c:v>
                </c:pt>
                <c:pt idx="1">
                  <c:v>Student &amp; Parent</c:v>
                </c:pt>
                <c:pt idx="2">
                  <c:v>Federal Government</c:v>
                </c:pt>
                <c:pt idx="3">
                  <c:v>Institutional Resources</c:v>
                </c:pt>
                <c:pt idx="4">
                  <c:v>Hospitals, Clinics, Professional Fees</c:v>
                </c:pt>
              </c:strCache>
            </c:strRef>
          </c:cat>
          <c:val>
            <c:numRef>
              <c:f>'THC Chts'!$D$11:$D$15</c:f>
              <c:numCache>
                <c:formatCode>"$"#,##0</c:formatCode>
                <c:ptCount val="5"/>
                <c:pt idx="0">
                  <c:v>61784935</c:v>
                </c:pt>
                <c:pt idx="1">
                  <c:v>645312</c:v>
                </c:pt>
                <c:pt idx="2">
                  <c:v>21490496</c:v>
                </c:pt>
                <c:pt idx="3">
                  <c:v>105500653</c:v>
                </c:pt>
                <c:pt idx="4">
                  <c:v>173802746</c:v>
                </c:pt>
              </c:numCache>
            </c:numRef>
          </c:val>
          <c:extLst>
            <c:ext xmlns:c16="http://schemas.microsoft.com/office/drawing/2014/chart" uri="{C3380CC4-5D6E-409C-BE32-E72D297353CC}">
              <c16:uniqueId val="{00000009-4A9C-4472-A941-DFC2B8417080}"/>
            </c:ext>
          </c:extLst>
        </c:ser>
        <c:dLbls>
          <c:showLegendKey val="0"/>
          <c:showVal val="1"/>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Operating Sources</a:t>
            </a:r>
          </a:p>
        </c:rich>
      </c:tx>
      <c:layout>
        <c:manualLayout>
          <c:xMode val="edge"/>
          <c:yMode val="edge"/>
          <c:x val="0.40478169632919431"/>
          <c:y val="4.2105290209504917E-2"/>
        </c:manualLayout>
      </c:layout>
      <c:overlay val="0"/>
      <c:spPr>
        <a:noFill/>
        <a:ln w="25400">
          <a:noFill/>
        </a:ln>
      </c:spPr>
    </c:title>
    <c:autoTitleDeleted val="0"/>
    <c:plotArea>
      <c:layout>
        <c:manualLayout>
          <c:layoutTarget val="inner"/>
          <c:xMode val="edge"/>
          <c:yMode val="edge"/>
          <c:x val="0.40065968312828598"/>
          <c:y val="0.36184233773793945"/>
          <c:w val="0.20527625740523617"/>
          <c:h val="0.32763178944271032"/>
        </c:manualLayout>
      </c:layout>
      <c:pieChart>
        <c:varyColors val="1"/>
        <c:ser>
          <c:idx val="0"/>
          <c:order val="0"/>
          <c:tx>
            <c:strRef>
              <c:f>'Smmy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23B-4291-93C2-CE99CB02D48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23B-4291-93C2-CE99CB02D48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23B-4291-93C2-CE99CB02D48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23B-4291-93C2-CE99CB02D48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23B-4291-93C2-CE99CB02D48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23B-4291-93C2-CE99CB02D48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23B-4291-93C2-CE99CB02D48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23B-4291-93C2-CE99CB02D48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23B-4291-93C2-CE99CB02D48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23B-4291-93C2-CE99CB02D48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23B-4291-93C2-CE99CB02D488}"/>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423B-4291-93C2-CE99CB02D488}"/>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423B-4291-93C2-CE99CB02D488}"/>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423B-4291-93C2-CE99CB02D488}"/>
              </c:ext>
            </c:extLst>
          </c:dPt>
          <c:dLbls>
            <c:dLbl>
              <c:idx val="0"/>
              <c:layout>
                <c:manualLayout>
                  <c:x val="-0.36296453841421417"/>
                  <c:y val="-7.32620789577382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423B-4291-93C2-CE99CB02D488}"/>
                </c:ext>
              </c:extLst>
            </c:dLbl>
            <c:dLbl>
              <c:idx val="1"/>
              <c:layout>
                <c:manualLayout>
                  <c:x val="-0.12744407540341371"/>
                  <c:y val="-0.138350817672299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23B-4291-93C2-CE99CB02D488}"/>
                </c:ext>
              </c:extLst>
            </c:dLbl>
            <c:dLbl>
              <c:idx val="2"/>
              <c:delete val="1"/>
              <c:extLst>
                <c:ext xmlns:c15="http://schemas.microsoft.com/office/drawing/2012/chart" uri="{CE6537A1-D6FC-4f65-9D91-7224C49458BB}"/>
                <c:ext xmlns:c16="http://schemas.microsoft.com/office/drawing/2014/chart" uri="{C3380CC4-5D6E-409C-BE32-E72D297353CC}">
                  <c16:uniqueId val="{00000003-423B-4291-93C2-CE99CB02D488}"/>
                </c:ext>
              </c:extLst>
            </c:dLbl>
            <c:dLbl>
              <c:idx val="3"/>
              <c:layout>
                <c:manualLayout>
                  <c:x val="2.8992009966287764E-2"/>
                  <c:y val="-0.17393726205129431"/>
                </c:manualLayout>
              </c:layout>
              <c:tx>
                <c:rich>
                  <a:bodyPr/>
                  <a:lstStyle/>
                  <a:p>
                    <a:r>
                      <a:rPr lang="en-US"/>
                      <a:t>Higher Education  Fund
$25,744,834, 0%</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5-423B-4291-93C2-CE99CB02D488}"/>
                </c:ext>
              </c:extLst>
            </c:dLbl>
            <c:dLbl>
              <c:idx val="4"/>
              <c:delete val="1"/>
              <c:extLst>
                <c:ext xmlns:c15="http://schemas.microsoft.com/office/drawing/2012/chart" uri="{CE6537A1-D6FC-4f65-9D91-7224C49458BB}"/>
                <c:ext xmlns:c16="http://schemas.microsoft.com/office/drawing/2014/chart" uri="{C3380CC4-5D6E-409C-BE32-E72D297353CC}">
                  <c16:uniqueId val="{00000007-423B-4291-93C2-CE99CB02D488}"/>
                </c:ext>
              </c:extLst>
            </c:dLbl>
            <c:dLbl>
              <c:idx val="5"/>
              <c:layout>
                <c:manualLayout>
                  <c:x val="0.13812538214039186"/>
                  <c:y val="-0.10486423796802499"/>
                </c:manualLayout>
              </c:layout>
              <c:tx>
                <c:rich>
                  <a:bodyPr/>
                  <a:lstStyle/>
                  <a:p>
                    <a:r>
                      <a:rPr lang="en-US"/>
                      <a:t>Tuition &amp; Fees
$206,155,560, 2%</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423B-4291-93C2-CE99CB02D488}"/>
                </c:ext>
              </c:extLst>
            </c:dLbl>
            <c:dLbl>
              <c:idx val="6"/>
              <c:layout>
                <c:manualLayout>
                  <c:x val="0.15725498302540783"/>
                  <c:y val="-4.2214541611734463E-2"/>
                </c:manualLayout>
              </c:layout>
              <c:tx>
                <c:rich>
                  <a:bodyPr/>
                  <a:lstStyle/>
                  <a:p>
                    <a:r>
                      <a:rPr lang="en-US"/>
                      <a:t>Federal Grants &amp; Contracts
$966,627,400, 9%</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423B-4291-93C2-CE99CB02D488}"/>
                </c:ext>
              </c:extLst>
            </c:dLbl>
            <c:dLbl>
              <c:idx val="7"/>
              <c:layout>
                <c:manualLayout>
                  <c:x val="0.14271831749894259"/>
                  <c:y val="2.3276218878455466E-2"/>
                </c:manualLayout>
              </c:layout>
              <c:tx>
                <c:rich>
                  <a:bodyPr/>
                  <a:lstStyle/>
                  <a:p>
                    <a:r>
                      <a:rPr lang="en-US"/>
                      <a:t>Endowment &amp; Interest Income
$273,761,377, 3%</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D-423B-4291-93C2-CE99CB02D488}"/>
                </c:ext>
              </c:extLst>
            </c:dLbl>
            <c:dLbl>
              <c:idx val="8"/>
              <c:layout>
                <c:manualLayout>
                  <c:x val="0.15078986185746279"/>
                  <c:y val="8.11151849518167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423B-4291-93C2-CE99CB02D488}"/>
                </c:ext>
              </c:extLst>
            </c:dLbl>
            <c:dLbl>
              <c:idx val="9"/>
              <c:layout>
                <c:manualLayout>
                  <c:x val="0.13183351848571417"/>
                  <c:y val="0.109305120244953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23B-4291-93C2-CE99CB02D488}"/>
                </c:ext>
              </c:extLst>
            </c:dLbl>
            <c:dLbl>
              <c:idx val="10"/>
              <c:layout>
                <c:manualLayout>
                  <c:x val="5.7910376011454712E-2"/>
                  <c:y val="0.1742956838587355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423B-4291-93C2-CE99CB02D488}"/>
                </c:ext>
              </c:extLst>
            </c:dLbl>
            <c:dLbl>
              <c:idx val="11"/>
              <c:layout>
                <c:manualLayout>
                  <c:x val="-8.6956979154789574E-2"/>
                  <c:y val="0.158567822231202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423B-4291-93C2-CE99CB02D488}"/>
                </c:ext>
              </c:extLst>
            </c:dLbl>
            <c:dLbl>
              <c:idx val="12"/>
              <c:layout>
                <c:manualLayout>
                  <c:x val="-0.21584066526335663"/>
                  <c:y val="0.160002411529274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423B-4291-93C2-CE99CB02D488}"/>
                </c:ext>
              </c:extLst>
            </c:dLbl>
            <c:dLbl>
              <c:idx val="13"/>
              <c:layout>
                <c:manualLayout>
                  <c:x val="-0.22474134349827959"/>
                  <c:y val="6.80971365194686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423B-4291-93C2-CE99CB02D488}"/>
                </c:ext>
              </c:extLst>
            </c:dLbl>
            <c:dLbl>
              <c:idx val="14"/>
              <c:layout>
                <c:manualLayout>
                  <c:x val="-0.1094759064481461"/>
                  <c:y val="4.40633306075835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423B-4291-93C2-CE99CB02D488}"/>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'Smmy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'Smmy Chts'!$D$53:$D$67</c:f>
              <c:numCache>
                <c:formatCode>"$"#,##0</c:formatCode>
                <c:ptCount val="15"/>
                <c:pt idx="0">
                  <c:v>1918801288</c:v>
                </c:pt>
                <c:pt idx="1">
                  <c:v>186025714</c:v>
                </c:pt>
                <c:pt idx="3">
                  <c:v>42335466</c:v>
                </c:pt>
                <c:pt idx="4">
                  <c:v>71953196</c:v>
                </c:pt>
                <c:pt idx="5">
                  <c:v>392101953</c:v>
                </c:pt>
                <c:pt idx="6">
                  <c:v>1487986562</c:v>
                </c:pt>
                <c:pt idx="7">
                  <c:v>980039776</c:v>
                </c:pt>
                <c:pt idx="8">
                  <c:v>1239221600</c:v>
                </c:pt>
                <c:pt idx="9">
                  <c:v>1562161069</c:v>
                </c:pt>
                <c:pt idx="10">
                  <c:v>243471837</c:v>
                </c:pt>
                <c:pt idx="11">
                  <c:v>109585127</c:v>
                </c:pt>
                <c:pt idx="12">
                  <c:v>811675864</c:v>
                </c:pt>
                <c:pt idx="13">
                  <c:v>2674054948</c:v>
                </c:pt>
                <c:pt idx="14">
                  <c:v>8737119024</c:v>
                </c:pt>
              </c:numCache>
            </c:numRef>
          </c:val>
          <c:extLst>
            <c:ext xmlns:c16="http://schemas.microsoft.com/office/drawing/2014/chart" uri="{C3380CC4-5D6E-409C-BE32-E72D297353CC}">
              <c16:uniqueId val="{0000001D-423B-4291-93C2-CE99CB02D488}"/>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75" b="1" i="0" u="none" strike="noStrike" baseline="0">
          <a:solidFill>
            <a:srgbClr val="000000"/>
          </a:solidFill>
          <a:latin typeface="Overpass" pitchFamily="2" charset="0"/>
          <a:ea typeface="Arial"/>
          <a:cs typeface="Arial"/>
        </a:defRPr>
      </a:pPr>
      <a:endParaRPr lang="en-US"/>
    </a:p>
  </c:txPr>
  <c:printSettings>
    <c:headerFooter alignWithMargins="0"/>
    <c:pageMargins b="1" l="0.75000000000001232" r="0.75000000000001232" t="1" header="0.5" footer="0.5"/>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8990276995692486"/>
          <c:y val="0.29221124775667257"/>
          <c:w val="0.21633928831575194"/>
          <c:h val="0.33600274469809338"/>
        </c:manualLayout>
      </c:layout>
      <c:pieChart>
        <c:varyColors val="1"/>
        <c:ser>
          <c:idx val="0"/>
          <c:order val="0"/>
          <c:tx>
            <c:strRef>
              <c:f>'THC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902-4812-B9F7-4C41A93E1CB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902-4812-B9F7-4C41A93E1CB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902-4812-B9F7-4C41A93E1CB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902-4812-B9F7-4C41A93E1CB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902-4812-B9F7-4C41A93E1CB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902-4812-B9F7-4C41A93E1CB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902-4812-B9F7-4C41A93E1CB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902-4812-B9F7-4C41A93E1CB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902-4812-B9F7-4C41A93E1CB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902-4812-B9F7-4C41A93E1CB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902-4812-B9F7-4C41A93E1CB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5902-4812-B9F7-4C41A93E1CB3}"/>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5902-4812-B9F7-4C41A93E1CB3}"/>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5902-4812-B9F7-4C41A93E1CB3}"/>
              </c:ext>
            </c:extLst>
          </c:dPt>
          <c:dLbls>
            <c:dLbl>
              <c:idx val="0"/>
              <c:layout>
                <c:manualLayout>
                  <c:x val="-0.24852399370358627"/>
                  <c:y val="-9.35192089518624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5902-4812-B9F7-4C41A93E1CB3}"/>
                </c:ext>
              </c:extLst>
            </c:dLbl>
            <c:dLbl>
              <c:idx val="1"/>
              <c:layout>
                <c:manualLayout>
                  <c:x val="-4.7612837283504003E-2"/>
                  <c:y val="-0.1673622779128567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902-4812-B9F7-4C41A93E1CB3}"/>
                </c:ext>
              </c:extLst>
            </c:dLbl>
            <c:dLbl>
              <c:idx val="2"/>
              <c:delete val="1"/>
              <c:extLst>
                <c:ext xmlns:c15="http://schemas.microsoft.com/office/drawing/2012/chart" uri="{CE6537A1-D6FC-4f65-9D91-7224C49458BB}"/>
                <c:ext xmlns:c16="http://schemas.microsoft.com/office/drawing/2014/chart" uri="{C3380CC4-5D6E-409C-BE32-E72D297353CC}">
                  <c16:uniqueId val="{00000003-5902-4812-B9F7-4C41A93E1CB3}"/>
                </c:ext>
              </c:extLst>
            </c:dLbl>
            <c:dLbl>
              <c:idx val="3"/>
              <c:delete val="1"/>
              <c:extLst>
                <c:ext xmlns:c15="http://schemas.microsoft.com/office/drawing/2012/chart" uri="{CE6537A1-D6FC-4f65-9D91-7224C49458BB}"/>
                <c:ext xmlns:c16="http://schemas.microsoft.com/office/drawing/2014/chart" uri="{C3380CC4-5D6E-409C-BE32-E72D297353CC}">
                  <c16:uniqueId val="{00000005-5902-4812-B9F7-4C41A93E1CB3}"/>
                </c:ext>
              </c:extLst>
            </c:dLbl>
            <c:dLbl>
              <c:idx val="4"/>
              <c:delete val="1"/>
              <c:extLst>
                <c:ext xmlns:c15="http://schemas.microsoft.com/office/drawing/2012/chart" uri="{CE6537A1-D6FC-4f65-9D91-7224C49458BB}"/>
                <c:ext xmlns:c16="http://schemas.microsoft.com/office/drawing/2014/chart" uri="{C3380CC4-5D6E-409C-BE32-E72D297353CC}">
                  <c16:uniqueId val="{00000007-5902-4812-B9F7-4C41A93E1CB3}"/>
                </c:ext>
              </c:extLst>
            </c:dLbl>
            <c:dLbl>
              <c:idx val="5"/>
              <c:layout>
                <c:manualLayout>
                  <c:x val="0.14604879948075808"/>
                  <c:y val="-0.182771598267189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902-4812-B9F7-4C41A93E1CB3}"/>
                </c:ext>
              </c:extLst>
            </c:dLbl>
            <c:dLbl>
              <c:idx val="6"/>
              <c:layout>
                <c:manualLayout>
                  <c:x val="0.15878228011458484"/>
                  <c:y val="-7.2263388632161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902-4812-B9F7-4C41A93E1CB3}"/>
                </c:ext>
              </c:extLst>
            </c:dLbl>
            <c:dLbl>
              <c:idx val="7"/>
              <c:layout>
                <c:manualLayout>
                  <c:x val="0.12918737290024745"/>
                  <c:y val="3.1896801830950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902-4812-B9F7-4C41A93E1CB3}"/>
                </c:ext>
              </c:extLst>
            </c:dLbl>
            <c:dLbl>
              <c:idx val="8"/>
              <c:layout>
                <c:manualLayout>
                  <c:x val="0.13183267796240047"/>
                  <c:y val="0.170378905423063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902-4812-B9F7-4C41A93E1CB3}"/>
                </c:ext>
              </c:extLst>
            </c:dLbl>
            <c:dLbl>
              <c:idx val="9"/>
              <c:layout>
                <c:manualLayout>
                  <c:x val="0.12862276945147491"/>
                  <c:y val="0.214798212139619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902-4812-B9F7-4C41A93E1CB3}"/>
                </c:ext>
              </c:extLst>
            </c:dLbl>
            <c:dLbl>
              <c:idx val="10"/>
              <c:layout>
                <c:manualLayout>
                  <c:x val="6.161883191820728E-2"/>
                  <c:y val="0.208413983821873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902-4812-B9F7-4C41A93E1CB3}"/>
                </c:ext>
              </c:extLst>
            </c:dLbl>
            <c:dLbl>
              <c:idx val="11"/>
              <c:layout>
                <c:manualLayout>
                  <c:x val="-8.0533094842005812E-2"/>
                  <c:y val="0.21573499232321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902-4812-B9F7-4C41A93E1CB3}"/>
                </c:ext>
              </c:extLst>
            </c:dLbl>
            <c:dLbl>
              <c:idx val="12"/>
              <c:layout>
                <c:manualLayout>
                  <c:x val="-0.24326902079545304"/>
                  <c:y val="0.200878124372255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5902-4812-B9F7-4C41A93E1CB3}"/>
                </c:ext>
              </c:extLst>
            </c:dLbl>
            <c:dLbl>
              <c:idx val="13"/>
              <c:layout>
                <c:manualLayout>
                  <c:x val="-0.17937509383203196"/>
                  <c:y val="9.907588550517842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5902-4812-B9F7-4C41A93E1CB3}"/>
                </c:ext>
              </c:extLst>
            </c:dLbl>
            <c:dLbl>
              <c:idx val="14"/>
              <c:layout>
                <c:manualLayout>
                  <c:x val="-6.2557057457807805E-2"/>
                  <c:y val="-5.58414141579563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5902-4812-B9F7-4C41A93E1CB3}"/>
                </c:ext>
              </c:extLst>
            </c:dLbl>
            <c:spPr>
              <a:noFill/>
              <a:ln>
                <a:noFill/>
              </a:ln>
              <a:effectLst/>
            </c:spPr>
            <c:txPr>
              <a:bodyPr wrap="square" lIns="38100" tIns="19050" rIns="38100" bIns="19050" anchor="ctr">
                <a:spAutoFit/>
              </a:bodyPr>
              <a:lstStyle/>
              <a:p>
                <a:pPr>
                  <a:defRPr sz="150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'THC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'THC Chts'!$D$53:$D$67</c:f>
              <c:numCache>
                <c:formatCode>"$"#,##0</c:formatCode>
                <c:ptCount val="15"/>
                <c:pt idx="0">
                  <c:v>55239453</c:v>
                </c:pt>
                <c:pt idx="1">
                  <c:v>6545482</c:v>
                </c:pt>
                <c:pt idx="3">
                  <c:v>0</c:v>
                </c:pt>
                <c:pt idx="4">
                  <c:v>0</c:v>
                </c:pt>
                <c:pt idx="5">
                  <c:v>645312</c:v>
                </c:pt>
                <c:pt idx="6">
                  <c:v>21490496</c:v>
                </c:pt>
                <c:pt idx="7">
                  <c:v>4332367</c:v>
                </c:pt>
                <c:pt idx="8">
                  <c:v>0</c:v>
                </c:pt>
                <c:pt idx="9">
                  <c:v>76202258</c:v>
                </c:pt>
                <c:pt idx="10">
                  <c:v>7310391</c:v>
                </c:pt>
                <c:pt idx="11">
                  <c:v>136714</c:v>
                </c:pt>
                <c:pt idx="12">
                  <c:v>17518923</c:v>
                </c:pt>
                <c:pt idx="13">
                  <c:v>19660488</c:v>
                </c:pt>
                <c:pt idx="14">
                  <c:v>154142258</c:v>
                </c:pt>
              </c:numCache>
            </c:numRef>
          </c:val>
          <c:extLst>
            <c:ext xmlns:c16="http://schemas.microsoft.com/office/drawing/2014/chart" uri="{C3380CC4-5D6E-409C-BE32-E72D297353CC}">
              <c16:uniqueId val="{0000001D-5902-4812-B9F7-4C41A93E1CB3}"/>
            </c:ext>
          </c:extLst>
        </c:ser>
        <c:dLbls>
          <c:showLegendKey val="0"/>
          <c:showVal val="1"/>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91123993276032"/>
          <c:y val="1.5604080349236561E-2"/>
        </c:manualLayout>
      </c:layout>
      <c:overlay val="0"/>
      <c:spPr>
        <a:noFill/>
        <a:ln w="25400">
          <a:noFill/>
        </a:ln>
      </c:spPr>
    </c:title>
    <c:autoTitleDeleted val="0"/>
    <c:plotArea>
      <c:layout>
        <c:manualLayout>
          <c:layoutTarget val="inner"/>
          <c:xMode val="edge"/>
          <c:yMode val="edge"/>
          <c:x val="0.388883967074028"/>
          <c:y val="0.31587651843679232"/>
          <c:w val="0.21862228269271086"/>
          <c:h val="0.35061431899923023"/>
        </c:manualLayout>
      </c:layout>
      <c:pieChart>
        <c:varyColors val="1"/>
        <c:ser>
          <c:idx val="0"/>
          <c:order val="0"/>
          <c:tx>
            <c:strRef>
              <c:f>'THC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7ED-46E0-AAF6-66EA50F71DA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7ED-46E0-AAF6-66EA50F71DA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7ED-46E0-AAF6-66EA50F71DA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7ED-46E0-AAF6-66EA50F71DA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7ED-46E0-AAF6-66EA50F71DA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7ED-46E0-AAF6-66EA50F71DA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7ED-46E0-AAF6-66EA50F71DA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7ED-46E0-AAF6-66EA50F71DA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7ED-46E0-AAF6-66EA50F71DA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7ED-46E0-AAF6-66EA50F71DA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7ED-46E0-AAF6-66EA50F71DA3}"/>
              </c:ext>
            </c:extLst>
          </c:dPt>
          <c:dLbls>
            <c:dLbl>
              <c:idx val="0"/>
              <c:layout>
                <c:manualLayout>
                  <c:x val="5.6369161337908077E-2"/>
                  <c:y val="0.1189849348448190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07ED-46E0-AAF6-66EA50F71DA3}"/>
                </c:ext>
              </c:extLst>
            </c:dLbl>
            <c:dLbl>
              <c:idx val="1"/>
              <c:layout>
                <c:manualLayout>
                  <c:x val="-4.6942739434443166E-2"/>
                  <c:y val="0.2576020072790891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7ED-46E0-AAF6-66EA50F71DA3}"/>
                </c:ext>
              </c:extLst>
            </c:dLbl>
            <c:dLbl>
              <c:idx val="2"/>
              <c:delete val="1"/>
              <c:extLst>
                <c:ext xmlns:c15="http://schemas.microsoft.com/office/drawing/2012/chart" uri="{CE6537A1-D6FC-4f65-9D91-7224C49458BB}"/>
                <c:ext xmlns:c16="http://schemas.microsoft.com/office/drawing/2014/chart" uri="{C3380CC4-5D6E-409C-BE32-E72D297353CC}">
                  <c16:uniqueId val="{00000003-07ED-46E0-AAF6-66EA50F71DA3}"/>
                </c:ext>
              </c:extLst>
            </c:dLbl>
            <c:dLbl>
              <c:idx val="3"/>
              <c:layout>
                <c:manualLayout>
                  <c:x val="-0.10945524444711091"/>
                  <c:y val="0.228766785831000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7ED-46E0-AAF6-66EA50F71DA3}"/>
                </c:ext>
              </c:extLst>
            </c:dLbl>
            <c:dLbl>
              <c:idx val="4"/>
              <c:delete val="1"/>
              <c:extLst>
                <c:ext xmlns:c15="http://schemas.microsoft.com/office/drawing/2012/chart" uri="{CE6537A1-D6FC-4f65-9D91-7224C49458BB}"/>
                <c:ext xmlns:c16="http://schemas.microsoft.com/office/drawing/2014/chart" uri="{C3380CC4-5D6E-409C-BE32-E72D297353CC}">
                  <c16:uniqueId val="{00000007-07ED-46E0-AAF6-66EA50F71DA3}"/>
                </c:ext>
              </c:extLst>
            </c:dLbl>
            <c:dLbl>
              <c:idx val="5"/>
              <c:layout>
                <c:manualLayout>
                  <c:x val="-0.12134537302446864"/>
                  <c:y val="0.150549970115722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7ED-46E0-AAF6-66EA50F71DA3}"/>
                </c:ext>
              </c:extLst>
            </c:dLbl>
            <c:dLbl>
              <c:idx val="6"/>
              <c:layout>
                <c:manualLayout>
                  <c:x val="-0.12751004215901229"/>
                  <c:y val="8.17319461064078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7ED-46E0-AAF6-66EA50F71DA3}"/>
                </c:ext>
              </c:extLst>
            </c:dLbl>
            <c:dLbl>
              <c:idx val="7"/>
              <c:layout>
                <c:manualLayout>
                  <c:x val="-0.14406153712587205"/>
                  <c:y val="-5.18302722140832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7ED-46E0-AAF6-66EA50F71DA3}"/>
                </c:ext>
              </c:extLst>
            </c:dLbl>
            <c:dLbl>
              <c:idx val="8"/>
              <c:layout>
                <c:manualLayout>
                  <c:x val="-8.9307613501916308E-2"/>
                  <c:y val="-0.209771320040110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07ED-46E0-AAF6-66EA50F71DA3}"/>
                </c:ext>
              </c:extLst>
            </c:dLbl>
            <c:dLbl>
              <c:idx val="9"/>
              <c:layout>
                <c:manualLayout>
                  <c:x val="8.2739656227901498E-2"/>
                  <c:y val="-0.236236457327612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7ED-46E0-AAF6-66EA50F71DA3}"/>
                </c:ext>
              </c:extLst>
            </c:dLbl>
            <c:dLbl>
              <c:idx val="10"/>
              <c:delete val="1"/>
              <c:extLst>
                <c:ext xmlns:c15="http://schemas.microsoft.com/office/drawing/2012/chart" uri="{CE6537A1-D6FC-4f65-9D91-7224C49458BB}"/>
                <c:ext xmlns:c16="http://schemas.microsoft.com/office/drawing/2014/chart" uri="{C3380CC4-5D6E-409C-BE32-E72D297353CC}">
                  <c16:uniqueId val="{00000013-07ED-46E0-AAF6-66EA50F71DA3}"/>
                </c:ext>
              </c:extLst>
            </c:dLbl>
            <c:dLbl>
              <c:idx val="11"/>
              <c:layout>
                <c:manualLayout>
                  <c:x val="8.6004341646928231E-2"/>
                  <c:y val="4.501797735830707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07ED-46E0-AAF6-66EA50F71DA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'THC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'THC Chts'!$D$102:$D$113</c:f>
              <c:numCache>
                <c:formatCode>"$"#,##0</c:formatCode>
                <c:ptCount val="12"/>
                <c:pt idx="0">
                  <c:v>80102466</c:v>
                </c:pt>
                <c:pt idx="1">
                  <c:v>24276371</c:v>
                </c:pt>
                <c:pt idx="2">
                  <c:v>152558</c:v>
                </c:pt>
                <c:pt idx="3">
                  <c:v>2491046</c:v>
                </c:pt>
                <c:pt idx="4">
                  <c:v>460027</c:v>
                </c:pt>
                <c:pt idx="5">
                  <c:v>15143920</c:v>
                </c:pt>
                <c:pt idx="6">
                  <c:v>10479079</c:v>
                </c:pt>
                <c:pt idx="7">
                  <c:v>59947</c:v>
                </c:pt>
                <c:pt idx="8">
                  <c:v>168402</c:v>
                </c:pt>
                <c:pt idx="9">
                  <c:v>1733562</c:v>
                </c:pt>
                <c:pt idx="10">
                  <c:v>57002</c:v>
                </c:pt>
                <c:pt idx="11">
                  <c:v>211748148</c:v>
                </c:pt>
              </c:numCache>
            </c:numRef>
          </c:val>
          <c:extLst>
            <c:ext xmlns:c16="http://schemas.microsoft.com/office/drawing/2014/chart" uri="{C3380CC4-5D6E-409C-BE32-E72D297353CC}">
              <c16:uniqueId val="{00000017-07ED-46E0-AAF6-66EA50F71DA3}"/>
            </c:ext>
          </c:extLst>
        </c:ser>
        <c:dLbls>
          <c:showLegendKey val="0"/>
          <c:showVal val="1"/>
          <c:showCatName val="0"/>
          <c:showSerName val="0"/>
          <c:showPercent val="0"/>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36E-2"/>
        </c:manualLayout>
      </c:layout>
      <c:overlay val="0"/>
      <c:spPr>
        <a:noFill/>
        <a:ln w="25400">
          <a:noFill/>
        </a:ln>
      </c:spPr>
    </c:title>
    <c:autoTitleDeleted val="0"/>
    <c:plotArea>
      <c:layout>
        <c:manualLayout>
          <c:layoutTarget val="inner"/>
          <c:xMode val="edge"/>
          <c:yMode val="edge"/>
          <c:x val="0.39607123127613886"/>
          <c:y val="0.34104467030336238"/>
          <c:w val="0.22214468559605341"/>
          <c:h val="0.34313438545894281"/>
        </c:manualLayout>
      </c:layout>
      <c:pieChart>
        <c:varyColors val="1"/>
        <c:ser>
          <c:idx val="0"/>
          <c:order val="0"/>
          <c:tx>
            <c:strRef>
              <c:f>'TAMHSC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0E4-4114-BD0D-741E34D343B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0E4-4114-BD0D-741E34D343B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0E4-4114-BD0D-741E34D343B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0E4-4114-BD0D-741E34D343BC}"/>
              </c:ext>
            </c:extLst>
          </c:dPt>
          <c:dLbls>
            <c:dLbl>
              <c:idx val="0"/>
              <c:layout>
                <c:manualLayout>
                  <c:x val="7.5479142799922919E-2"/>
                  <c:y val="8.67494097862610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00E4-4114-BD0D-741E34D343BC}"/>
                </c:ext>
              </c:extLst>
            </c:dLbl>
            <c:dLbl>
              <c:idx val="1"/>
              <c:layout>
                <c:manualLayout>
                  <c:x val="-3.8056657291994547E-2"/>
                  <c:y val="0.10564468267004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0E4-4114-BD0D-741E34D343BC}"/>
                </c:ext>
              </c:extLst>
            </c:dLbl>
            <c:dLbl>
              <c:idx val="2"/>
              <c:layout>
                <c:manualLayout>
                  <c:x val="-7.9946684454943517E-2"/>
                  <c:y val="-3.353823592616753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0E4-4114-BD0D-741E34D343BC}"/>
                </c:ext>
              </c:extLst>
            </c:dLbl>
            <c:dLbl>
              <c:idx val="3"/>
              <c:layout>
                <c:manualLayout>
                  <c:x val="6.6782430740356419E-2"/>
                  <c:y val="-9.87339450342607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0E4-4114-BD0D-741E34D343BC}"/>
                </c:ext>
              </c:extLst>
            </c:dLbl>
            <c:dLbl>
              <c:idx val="4"/>
              <c:delete val="1"/>
              <c:extLst>
                <c:ext xmlns:c15="http://schemas.microsoft.com/office/drawing/2012/chart" uri="{CE6537A1-D6FC-4f65-9D91-7224C49458BB}"/>
                <c:ext xmlns:c16="http://schemas.microsoft.com/office/drawing/2014/chart" uri="{C3380CC4-5D6E-409C-BE32-E72D297353CC}">
                  <c16:uniqueId val="{00000007-00E4-4114-BD0D-741E34D343B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'TAMHSC Chts'!$C$11:$C$15</c:f>
              <c:strCache>
                <c:ptCount val="5"/>
                <c:pt idx="0">
                  <c:v>State of Texas</c:v>
                </c:pt>
                <c:pt idx="1">
                  <c:v>Student &amp; Parent</c:v>
                </c:pt>
                <c:pt idx="2">
                  <c:v>Federal Government</c:v>
                </c:pt>
                <c:pt idx="3">
                  <c:v>Institutional Resources</c:v>
                </c:pt>
                <c:pt idx="4">
                  <c:v>Hospitals, Clinics, Professional Fees</c:v>
                </c:pt>
              </c:strCache>
            </c:strRef>
          </c:cat>
          <c:val>
            <c:numRef>
              <c:f>'TAMHSC Chts'!$D$11:$D$15</c:f>
              <c:numCache>
                <c:formatCode>"$"#,##0</c:formatCode>
                <c:ptCount val="5"/>
                <c:pt idx="0">
                  <c:v>230148229</c:v>
                </c:pt>
                <c:pt idx="1">
                  <c:v>54055783</c:v>
                </c:pt>
                <c:pt idx="2">
                  <c:v>85141456</c:v>
                </c:pt>
                <c:pt idx="3">
                  <c:v>68121876</c:v>
                </c:pt>
                <c:pt idx="4">
                  <c:v>1073754</c:v>
                </c:pt>
              </c:numCache>
            </c:numRef>
          </c:val>
          <c:extLst>
            <c:ext xmlns:c16="http://schemas.microsoft.com/office/drawing/2014/chart" uri="{C3380CC4-5D6E-409C-BE32-E72D297353CC}">
              <c16:uniqueId val="{00000009-00E4-4114-BD0D-741E34D343BC}"/>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41" r="0.7500000000000141" t="1" header="0.5" footer="0.5"/>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2235001899055147"/>
          <c:y val="1.8119572960426801E-2"/>
        </c:manualLayout>
      </c:layout>
      <c:overlay val="0"/>
      <c:spPr>
        <a:noFill/>
        <a:ln w="25400">
          <a:noFill/>
        </a:ln>
      </c:spPr>
    </c:title>
    <c:autoTitleDeleted val="0"/>
    <c:plotArea>
      <c:layout>
        <c:manualLayout>
          <c:layoutTarget val="inner"/>
          <c:xMode val="edge"/>
          <c:yMode val="edge"/>
          <c:x val="0.39870853907146964"/>
          <c:y val="0.33858308317953839"/>
          <c:w val="0.21853178216922692"/>
          <c:h val="0.33940796969553605"/>
        </c:manualLayout>
      </c:layout>
      <c:pieChart>
        <c:varyColors val="1"/>
        <c:ser>
          <c:idx val="0"/>
          <c:order val="0"/>
          <c:tx>
            <c:strRef>
              <c:f>'TAMHSC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AD50-4527-9EFA-8ACA1E67DA2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AD50-4527-9EFA-8ACA1E67DA2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AD50-4527-9EFA-8ACA1E67DA2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AD50-4527-9EFA-8ACA1E67DA2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AD50-4527-9EFA-8ACA1E67DA2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AD50-4527-9EFA-8ACA1E67DA2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AD50-4527-9EFA-8ACA1E67DA2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AD50-4527-9EFA-8ACA1E67DA2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AD50-4527-9EFA-8ACA1E67DA2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AD50-4527-9EFA-8ACA1E67DA27}"/>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AD50-4527-9EFA-8ACA1E67DA27}"/>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AD50-4527-9EFA-8ACA1E67DA27}"/>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AD50-4527-9EFA-8ACA1E67DA27}"/>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AD50-4527-9EFA-8ACA1E67DA27}"/>
              </c:ext>
            </c:extLst>
          </c:dPt>
          <c:dLbls>
            <c:dLbl>
              <c:idx val="0"/>
              <c:layout>
                <c:manualLayout>
                  <c:x val="0.10269924400771166"/>
                  <c:y val="6.58092961948695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AD50-4527-9EFA-8ACA1E67DA27}"/>
                </c:ext>
              </c:extLst>
            </c:dLbl>
            <c:dLbl>
              <c:idx val="1"/>
              <c:layout>
                <c:manualLayout>
                  <c:x val="0.13141582381341096"/>
                  <c:y val="-1.015689077323353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D50-4527-9EFA-8ACA1E67DA27}"/>
                </c:ext>
              </c:extLst>
            </c:dLbl>
            <c:dLbl>
              <c:idx val="2"/>
              <c:delete val="1"/>
              <c:extLst>
                <c:ext xmlns:c15="http://schemas.microsoft.com/office/drawing/2012/chart" uri="{CE6537A1-D6FC-4f65-9D91-7224C49458BB}"/>
                <c:ext xmlns:c16="http://schemas.microsoft.com/office/drawing/2014/chart" uri="{C3380CC4-5D6E-409C-BE32-E72D297353CC}">
                  <c16:uniqueId val="{00000003-AD50-4527-9EFA-8ACA1E67DA27}"/>
                </c:ext>
              </c:extLst>
            </c:dLbl>
            <c:dLbl>
              <c:idx val="3"/>
              <c:delete val="1"/>
              <c:extLst>
                <c:ext xmlns:c15="http://schemas.microsoft.com/office/drawing/2012/chart" uri="{CE6537A1-D6FC-4f65-9D91-7224C49458BB}"/>
                <c:ext xmlns:c16="http://schemas.microsoft.com/office/drawing/2014/chart" uri="{C3380CC4-5D6E-409C-BE32-E72D297353CC}">
                  <c16:uniqueId val="{00000005-AD50-4527-9EFA-8ACA1E67DA27}"/>
                </c:ext>
              </c:extLst>
            </c:dLbl>
            <c:dLbl>
              <c:idx val="4"/>
              <c:layout>
                <c:manualLayout>
                  <c:x val="2.2572288332727126E-2"/>
                  <c:y val="0.1215779915703305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AD50-4527-9EFA-8ACA1E67DA27}"/>
                </c:ext>
              </c:extLst>
            </c:dLbl>
            <c:dLbl>
              <c:idx val="5"/>
              <c:layout>
                <c:manualLayout>
                  <c:x val="-9.7663307764580945E-2"/>
                  <c:y val="9.7242140173866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AD50-4527-9EFA-8ACA1E67DA27}"/>
                </c:ext>
              </c:extLst>
            </c:dLbl>
            <c:dLbl>
              <c:idx val="6"/>
              <c:layout>
                <c:manualLayout>
                  <c:x val="-9.3134917464309963E-2"/>
                  <c:y val="9.48876442224551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AD50-4527-9EFA-8ACA1E67DA27}"/>
                </c:ext>
              </c:extLst>
            </c:dLbl>
            <c:dLbl>
              <c:idx val="7"/>
              <c:layout>
                <c:manualLayout>
                  <c:x val="-0.12066646516476666"/>
                  <c:y val="0.103692326230280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AD50-4527-9EFA-8ACA1E67DA27}"/>
                </c:ext>
              </c:extLst>
            </c:dLbl>
            <c:dLbl>
              <c:idx val="8"/>
              <c:delete val="1"/>
              <c:extLst>
                <c:ext xmlns:c15="http://schemas.microsoft.com/office/drawing/2012/chart" uri="{CE6537A1-D6FC-4f65-9D91-7224C49458BB}"/>
                <c:ext xmlns:c16="http://schemas.microsoft.com/office/drawing/2014/chart" uri="{C3380CC4-5D6E-409C-BE32-E72D297353CC}">
                  <c16:uniqueId val="{0000000F-AD50-4527-9EFA-8ACA1E67DA27}"/>
                </c:ext>
              </c:extLst>
            </c:dLbl>
            <c:dLbl>
              <c:idx val="9"/>
              <c:layout>
                <c:manualLayout>
                  <c:x val="-0.11070785456491372"/>
                  <c:y val="-4.043795337494029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AD50-4527-9EFA-8ACA1E67DA27}"/>
                </c:ext>
              </c:extLst>
            </c:dLbl>
            <c:dLbl>
              <c:idx val="10"/>
              <c:layout>
                <c:manualLayout>
                  <c:x val="1.3196384073994986E-2"/>
                  <c:y val="-0.1282526442818021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AD50-4527-9EFA-8ACA1E67DA27}"/>
                </c:ext>
              </c:extLst>
            </c:dLbl>
            <c:dLbl>
              <c:idx val="11"/>
              <c:layout>
                <c:manualLayout>
                  <c:x val="0.10274947731298069"/>
                  <c:y val="-7.5239299633987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AD50-4527-9EFA-8ACA1E67DA27}"/>
                </c:ext>
              </c:extLst>
            </c:dLbl>
            <c:dLbl>
              <c:idx val="12"/>
              <c:layout>
                <c:manualLayout>
                  <c:x val="0.25892169566028778"/>
                  <c:y val="-1.89379842503737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AD50-4527-9EFA-8ACA1E67DA27}"/>
                </c:ext>
              </c:extLst>
            </c:dLbl>
            <c:dLbl>
              <c:idx val="13"/>
              <c:delete val="1"/>
              <c:extLst>
                <c:ext xmlns:c15="http://schemas.microsoft.com/office/drawing/2012/chart" uri="{CE6537A1-D6FC-4f65-9D91-7224C49458BB}"/>
                <c:ext xmlns:c16="http://schemas.microsoft.com/office/drawing/2014/chart" uri="{C3380CC4-5D6E-409C-BE32-E72D297353CC}">
                  <c16:uniqueId val="{00000019-AD50-4527-9EFA-8ACA1E67DA27}"/>
                </c:ext>
              </c:extLst>
            </c:dLbl>
            <c:dLbl>
              <c:idx val="14"/>
              <c:delete val="1"/>
              <c:extLst>
                <c:ext xmlns:c15="http://schemas.microsoft.com/office/drawing/2012/chart" uri="{CE6537A1-D6FC-4f65-9D91-7224C49458BB}"/>
                <c:ext xmlns:c16="http://schemas.microsoft.com/office/drawing/2014/chart" uri="{C3380CC4-5D6E-409C-BE32-E72D297353CC}">
                  <c16:uniqueId val="{0000001B-AD50-4527-9EFA-8ACA1E67DA27}"/>
                </c:ext>
              </c:extLst>
            </c:dLbl>
            <c:spPr>
              <a:noFill/>
              <a:ln>
                <a:noFill/>
              </a:ln>
              <a:effectLst/>
            </c:spPr>
            <c:txPr>
              <a:bodyPr wrap="square" lIns="38100" tIns="19050" rIns="38100" bIns="19050" anchor="ctr">
                <a:spAutoFit/>
              </a:bodyPr>
              <a:lstStyle/>
              <a:p>
                <a:pPr>
                  <a:defRPr sz="150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'TAMHSC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'TAMHSC Chts'!$D$53:$D$67</c:f>
              <c:numCache>
                <c:formatCode>"$"#,##0</c:formatCode>
                <c:ptCount val="15"/>
                <c:pt idx="0">
                  <c:v>176061466</c:v>
                </c:pt>
                <c:pt idx="1">
                  <c:v>7143757</c:v>
                </c:pt>
                <c:pt idx="3">
                  <c:v>0</c:v>
                </c:pt>
                <c:pt idx="4">
                  <c:v>46943006</c:v>
                </c:pt>
                <c:pt idx="5">
                  <c:v>54055783</c:v>
                </c:pt>
                <c:pt idx="6">
                  <c:v>85141456</c:v>
                </c:pt>
                <c:pt idx="7">
                  <c:v>1538319</c:v>
                </c:pt>
                <c:pt idx="8">
                  <c:v>0</c:v>
                </c:pt>
                <c:pt idx="9">
                  <c:v>13401216</c:v>
                </c:pt>
                <c:pt idx="10">
                  <c:v>43167057</c:v>
                </c:pt>
                <c:pt idx="11">
                  <c:v>2067081</c:v>
                </c:pt>
                <c:pt idx="12">
                  <c:v>7948203</c:v>
                </c:pt>
                <c:pt idx="13">
                  <c:v>1073754</c:v>
                </c:pt>
                <c:pt idx="14">
                  <c:v>0</c:v>
                </c:pt>
              </c:numCache>
            </c:numRef>
          </c:val>
          <c:extLst>
            <c:ext xmlns:c16="http://schemas.microsoft.com/office/drawing/2014/chart" uri="{C3380CC4-5D6E-409C-BE32-E72D297353CC}">
              <c16:uniqueId val="{0000001D-AD50-4527-9EFA-8ACA1E67DA27}"/>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41" r="0.7500000000000141" t="1" header="0.5" footer="0.5"/>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63"/>
          <c:y val="2.442333785617486E-2"/>
        </c:manualLayout>
      </c:layout>
      <c:overlay val="0"/>
      <c:spPr>
        <a:noFill/>
        <a:ln w="25400">
          <a:noFill/>
        </a:ln>
      </c:spPr>
    </c:title>
    <c:autoTitleDeleted val="0"/>
    <c:plotArea>
      <c:layout>
        <c:manualLayout>
          <c:layoutTarget val="inner"/>
          <c:xMode val="edge"/>
          <c:yMode val="edge"/>
          <c:x val="0.39163682765760122"/>
          <c:y val="0.3068161626102332"/>
          <c:w val="0.21970401388870101"/>
          <c:h val="0.35234913963118625"/>
        </c:manualLayout>
      </c:layout>
      <c:pieChart>
        <c:varyColors val="1"/>
        <c:ser>
          <c:idx val="0"/>
          <c:order val="0"/>
          <c:tx>
            <c:strRef>
              <c:f>'TAMHSC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explosion val="2"/>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3B5-4B6F-87D8-1945BCB935A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3B5-4B6F-87D8-1945BCB935A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3B5-4B6F-87D8-1945BCB935A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B3B5-4B6F-87D8-1945BCB935A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B3B5-4B6F-87D8-1945BCB935A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B3B5-4B6F-87D8-1945BCB935A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B3B5-4B6F-87D8-1945BCB935A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B3B5-4B6F-87D8-1945BCB935A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B3B5-4B6F-87D8-1945BCB935A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B3B5-4B6F-87D8-1945BCB935AF}"/>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B3B5-4B6F-87D8-1945BCB935AF}"/>
              </c:ext>
            </c:extLst>
          </c:dPt>
          <c:dLbls>
            <c:dLbl>
              <c:idx val="0"/>
              <c:layout>
                <c:manualLayout>
                  <c:x val="-8.999224632470279E-2"/>
                  <c:y val="-5.68239287946509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B3B5-4B6F-87D8-1945BCB935AF}"/>
                </c:ext>
              </c:extLst>
            </c:dLbl>
            <c:dLbl>
              <c:idx val="1"/>
              <c:layout>
                <c:manualLayout>
                  <c:x val="-8.7585641615205226E-2"/>
                  <c:y val="-5.69707096801450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3B5-4B6F-87D8-1945BCB935AF}"/>
                </c:ext>
              </c:extLst>
            </c:dLbl>
            <c:dLbl>
              <c:idx val="2"/>
              <c:layout>
                <c:manualLayout>
                  <c:x val="2.3921960655277668E-2"/>
                  <c:y val="-0.223175133050271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3B5-4B6F-87D8-1945BCB935AF}"/>
                </c:ext>
              </c:extLst>
            </c:dLbl>
            <c:dLbl>
              <c:idx val="3"/>
              <c:layout>
                <c:manualLayout>
                  <c:x val="8.1288132770902077E-2"/>
                  <c:y val="-0.175282937630704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3B5-4B6F-87D8-1945BCB935AF}"/>
                </c:ext>
              </c:extLst>
            </c:dLbl>
            <c:dLbl>
              <c:idx val="4"/>
              <c:layout>
                <c:manualLayout>
                  <c:x val="0.12131032740506967"/>
                  <c:y val="-0.136810191967652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B3B5-4B6F-87D8-1945BCB935AF}"/>
                </c:ext>
              </c:extLst>
            </c:dLbl>
            <c:dLbl>
              <c:idx val="5"/>
              <c:layout>
                <c:manualLayout>
                  <c:x val="0.14583743209831496"/>
                  <c:y val="-5.4809380556705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B3B5-4B6F-87D8-1945BCB935AF}"/>
                </c:ext>
              </c:extLst>
            </c:dLbl>
            <c:dLbl>
              <c:idx val="6"/>
              <c:layout>
                <c:manualLayout>
                  <c:x val="0.15753827747512647"/>
                  <c:y val="9.3459816519232703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B3B5-4B6F-87D8-1945BCB935AF}"/>
                </c:ext>
              </c:extLst>
            </c:dLbl>
            <c:dLbl>
              <c:idx val="7"/>
              <c:layout>
                <c:manualLayout>
                  <c:x val="0.14473882051752876"/>
                  <c:y val="0.142029844514775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B3B5-4B6F-87D8-1945BCB935AF}"/>
                </c:ext>
              </c:extLst>
            </c:dLbl>
            <c:dLbl>
              <c:idx val="8"/>
              <c:layout>
                <c:manualLayout>
                  <c:x val="-6.2119313836803289E-2"/>
                  <c:y val="0.1712125250537109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B3B5-4B6F-87D8-1945BCB935AF}"/>
                </c:ext>
              </c:extLst>
            </c:dLbl>
            <c:dLbl>
              <c:idx val="9"/>
              <c:layout>
                <c:manualLayout>
                  <c:x val="-0.20637958869214185"/>
                  <c:y val="0.1579864023430267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B3B5-4B6F-87D8-1945BCB935AF}"/>
                </c:ext>
              </c:extLst>
            </c:dLbl>
            <c:dLbl>
              <c:idx val="10"/>
              <c:layout>
                <c:manualLayout>
                  <c:x val="-0.27783790883814441"/>
                  <c:y val="5.19714614467966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B3B5-4B6F-87D8-1945BCB935AF}"/>
                </c:ext>
              </c:extLst>
            </c:dLbl>
            <c:dLbl>
              <c:idx val="11"/>
              <c:delete val="1"/>
              <c:extLst>
                <c:ext xmlns:c15="http://schemas.microsoft.com/office/drawing/2012/chart" uri="{CE6537A1-D6FC-4f65-9D91-7224C49458BB}"/>
                <c:ext xmlns:c16="http://schemas.microsoft.com/office/drawing/2014/chart" uri="{C3380CC4-5D6E-409C-BE32-E72D297353CC}">
                  <c16:uniqueId val="{00000015-B3B5-4B6F-87D8-1945BCB935AF}"/>
                </c:ext>
              </c:extLst>
            </c:dLbl>
            <c:spPr>
              <a:noFill/>
              <a:ln>
                <a:noFill/>
              </a:ln>
              <a:effectLst/>
            </c:spPr>
            <c:txPr>
              <a:bodyPr/>
              <a:lstStyle/>
              <a:p>
                <a:pPr>
                  <a:defRPr sz="1475"/>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'TAMHSC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'TAMHSC Chts'!$D$102:$D$113</c:f>
              <c:numCache>
                <c:formatCode>"$"#,##0</c:formatCode>
                <c:ptCount val="12"/>
                <c:pt idx="0">
                  <c:v>125746504</c:v>
                </c:pt>
                <c:pt idx="1">
                  <c:v>101323855</c:v>
                </c:pt>
                <c:pt idx="2">
                  <c:v>17406904</c:v>
                </c:pt>
                <c:pt idx="3">
                  <c:v>38433856</c:v>
                </c:pt>
                <c:pt idx="4">
                  <c:v>5448744</c:v>
                </c:pt>
                <c:pt idx="5">
                  <c:v>11340359</c:v>
                </c:pt>
                <c:pt idx="6">
                  <c:v>28501380</c:v>
                </c:pt>
                <c:pt idx="7">
                  <c:v>2935673</c:v>
                </c:pt>
                <c:pt idx="8">
                  <c:v>3770625</c:v>
                </c:pt>
                <c:pt idx="9">
                  <c:v>7003379</c:v>
                </c:pt>
                <c:pt idx="10">
                  <c:v>4002592</c:v>
                </c:pt>
                <c:pt idx="11">
                  <c:v>0</c:v>
                </c:pt>
              </c:numCache>
            </c:numRef>
          </c:val>
          <c:extLst>
            <c:ext xmlns:c16="http://schemas.microsoft.com/office/drawing/2014/chart" uri="{C3380CC4-5D6E-409C-BE32-E72D297353CC}">
              <c16:uniqueId val="{00000017-B3B5-4B6F-87D8-1945BCB935AF}"/>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41" r="0.7500000000000141" t="1" header="0.5" footer="0.5"/>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824223631821E-2"/>
        </c:manualLayout>
      </c:layout>
      <c:overlay val="0"/>
      <c:spPr>
        <a:noFill/>
        <a:ln w="25400">
          <a:noFill/>
        </a:ln>
      </c:spPr>
    </c:title>
    <c:autoTitleDeleted val="0"/>
    <c:plotArea>
      <c:layout>
        <c:manualLayout>
          <c:layoutTarget val="inner"/>
          <c:xMode val="edge"/>
          <c:yMode val="edge"/>
          <c:x val="0.39307111808883038"/>
          <c:y val="0.31457209129362418"/>
          <c:w val="0.22187068051206391"/>
          <c:h val="0.34271114523667484"/>
        </c:manualLayout>
      </c:layout>
      <c:pieChart>
        <c:varyColors val="1"/>
        <c:ser>
          <c:idx val="0"/>
          <c:order val="0"/>
          <c:tx>
            <c:strRef>
              <c:f>'UNTHSC1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E6F-40FC-91EC-E9AB762EC9E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E6F-40FC-91EC-E9AB762EC9E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E6F-40FC-91EC-E9AB762EC9E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BE6F-40FC-91EC-E9AB762EC9E5}"/>
              </c:ext>
            </c:extLst>
          </c:dPt>
          <c:dLbls>
            <c:dLbl>
              <c:idx val="0"/>
              <c:layout>
                <c:manualLayout>
                  <c:x val="8.8958444640385839E-2"/>
                  <c:y val="-5.57207351715878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BE6F-40FC-91EC-E9AB762EC9E5}"/>
                </c:ext>
              </c:extLst>
            </c:dLbl>
            <c:dLbl>
              <c:idx val="1"/>
              <c:layout>
                <c:manualLayout>
                  <c:x val="0.13733529755034918"/>
                  <c:y val="5.75766204435882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E6F-40FC-91EC-E9AB762EC9E5}"/>
                </c:ext>
              </c:extLst>
            </c:dLbl>
            <c:dLbl>
              <c:idx val="2"/>
              <c:layout>
                <c:manualLayout>
                  <c:x val="-5.4145816290736724E-3"/>
                  <c:y val="0.1263381389607433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E6F-40FC-91EC-E9AB762EC9E5}"/>
                </c:ext>
              </c:extLst>
            </c:dLbl>
            <c:dLbl>
              <c:idx val="3"/>
              <c:layout>
                <c:manualLayout>
                  <c:x val="-8.9557737450227562E-2"/>
                  <c:y val="6.59371950152102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E6F-40FC-91EC-E9AB762EC9E5}"/>
                </c:ext>
              </c:extLst>
            </c:dLbl>
            <c:dLbl>
              <c:idx val="4"/>
              <c:layout>
                <c:manualLayout>
                  <c:x val="1.6804557089630107E-2"/>
                  <c:y val="-6.10098053431644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BE6F-40FC-91EC-E9AB762EC9E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'UNTHSC1 Chts'!$C$11:$C$15</c:f>
              <c:strCache>
                <c:ptCount val="5"/>
                <c:pt idx="0">
                  <c:v>State of Texas</c:v>
                </c:pt>
                <c:pt idx="1">
                  <c:v>Student &amp; Parent</c:v>
                </c:pt>
                <c:pt idx="2">
                  <c:v>Federal Government</c:v>
                </c:pt>
                <c:pt idx="3">
                  <c:v>Institutional Resources</c:v>
                </c:pt>
                <c:pt idx="4">
                  <c:v>Hospitals, Clinics, Professional Fees</c:v>
                </c:pt>
              </c:strCache>
            </c:strRef>
          </c:cat>
          <c:val>
            <c:numRef>
              <c:f>'UNTHSC1 Chts'!$D$11:$D$15</c:f>
              <c:numCache>
                <c:formatCode>"$"#,##0</c:formatCode>
                <c:ptCount val="5"/>
                <c:pt idx="0">
                  <c:v>129494349</c:v>
                </c:pt>
                <c:pt idx="1">
                  <c:v>34477812</c:v>
                </c:pt>
                <c:pt idx="2">
                  <c:v>55261728</c:v>
                </c:pt>
                <c:pt idx="3">
                  <c:v>80925325</c:v>
                </c:pt>
                <c:pt idx="4">
                  <c:v>12885666</c:v>
                </c:pt>
              </c:numCache>
            </c:numRef>
          </c:val>
          <c:extLst>
            <c:ext xmlns:c16="http://schemas.microsoft.com/office/drawing/2014/chart" uri="{C3380CC4-5D6E-409C-BE32-E72D297353CC}">
              <c16:uniqueId val="{00000009-BE6F-40FC-91EC-E9AB762EC9E5}"/>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232" r="0.75000000000001232" t="1" header="0.5" footer="0.5"/>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69632919431"/>
          <c:y val="4.1994804475788995E-2"/>
        </c:manualLayout>
      </c:layout>
      <c:overlay val="0"/>
      <c:spPr>
        <a:noFill/>
        <a:ln w="25400">
          <a:noFill/>
        </a:ln>
      </c:spPr>
    </c:title>
    <c:autoTitleDeleted val="0"/>
    <c:plotArea>
      <c:layout>
        <c:manualLayout>
          <c:layoutTarget val="inner"/>
          <c:xMode val="edge"/>
          <c:yMode val="edge"/>
          <c:x val="0.39790577455278048"/>
          <c:y val="0.33084233629669241"/>
          <c:w val="0.21659840358366292"/>
          <c:h val="0.33640518404181691"/>
        </c:manualLayout>
      </c:layout>
      <c:pieChart>
        <c:varyColors val="1"/>
        <c:ser>
          <c:idx val="0"/>
          <c:order val="0"/>
          <c:tx>
            <c:strRef>
              <c:f>'UNTHSC1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290-4F06-8190-E9A986D07FC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290-4F06-8190-E9A986D07FC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290-4F06-8190-E9A986D07FC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290-4F06-8190-E9A986D07FC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290-4F06-8190-E9A986D07FC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290-4F06-8190-E9A986D07FC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290-4F06-8190-E9A986D07FC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290-4F06-8190-E9A986D07FC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290-4F06-8190-E9A986D07FC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290-4F06-8190-E9A986D07FCC}"/>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290-4F06-8190-E9A986D07FCC}"/>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4290-4F06-8190-E9A986D07FCC}"/>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4290-4F06-8190-E9A986D07FCC}"/>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4290-4F06-8190-E9A986D07FCC}"/>
              </c:ext>
            </c:extLst>
          </c:dPt>
          <c:dLbls>
            <c:dLbl>
              <c:idx val="0"/>
              <c:layout>
                <c:manualLayout>
                  <c:x val="0.11102636215426573"/>
                  <c:y val="-2.8175523308548348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C-4290-4F06-8190-E9A986D07FCC}"/>
                </c:ext>
              </c:extLst>
            </c:dLbl>
            <c:dLbl>
              <c:idx val="1"/>
              <c:layout>
                <c:manualLayout>
                  <c:x val="0.16940646695989647"/>
                  <c:y val="-9.2739284985058845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290-4F06-8190-E9A986D07FCC}"/>
                </c:ext>
              </c:extLst>
            </c:dLbl>
            <c:dLbl>
              <c:idx val="2"/>
              <c:delete val="1"/>
              <c:extLst>
                <c:ext xmlns:c15="http://schemas.microsoft.com/office/drawing/2012/chart" uri="{CE6537A1-D6FC-4f65-9D91-7224C49458BB}"/>
                <c:ext xmlns:c16="http://schemas.microsoft.com/office/drawing/2014/chart" uri="{C3380CC4-5D6E-409C-BE32-E72D297353CC}">
                  <c16:uniqueId val="{00000003-4290-4F06-8190-E9A986D07FCC}"/>
                </c:ext>
              </c:extLst>
            </c:dLbl>
            <c:dLbl>
              <c:idx val="3"/>
              <c:layout>
                <c:manualLayout>
                  <c:x val="0.16548632616257639"/>
                  <c:y val="2.485524980779855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290-4F06-8190-E9A986D07FCC}"/>
                </c:ext>
              </c:extLst>
            </c:dLbl>
            <c:dLbl>
              <c:idx val="4"/>
              <c:layout>
                <c:manualLayout>
                  <c:x val="0.10392721137198625"/>
                  <c:y val="0.118903923614027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290-4F06-8190-E9A986D07FCC}"/>
                </c:ext>
              </c:extLst>
            </c:dLbl>
            <c:dLbl>
              <c:idx val="5"/>
              <c:layout>
                <c:manualLayout>
                  <c:x val="1.3070800810822372E-2"/>
                  <c:y val="0.1675120725949802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4290-4F06-8190-E9A986D07FCC}"/>
                </c:ext>
              </c:extLst>
            </c:dLbl>
            <c:dLbl>
              <c:idx val="6"/>
              <c:layout>
                <c:manualLayout>
                  <c:x val="-5.8984326166178032E-3"/>
                  <c:y val="0.1835884826069142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4290-4F06-8190-E9A986D07FCC}"/>
                </c:ext>
              </c:extLst>
            </c:dLbl>
            <c:dLbl>
              <c:idx val="7"/>
              <c:layout>
                <c:manualLayout>
                  <c:x val="-9.6204551535532618E-2"/>
                  <c:y val="0.20181129866580566"/>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4290-4F06-8190-E9A986D07FCC}"/>
                </c:ext>
              </c:extLst>
            </c:dLbl>
            <c:dLbl>
              <c:idx val="8"/>
              <c:layout>
                <c:manualLayout>
                  <c:x val="-9.6390983443955608E-2"/>
                  <c:y val="0.11161657008640764"/>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4290-4F06-8190-E9A986D07FCC}"/>
                </c:ext>
              </c:extLst>
            </c:dLbl>
            <c:dLbl>
              <c:idx val="9"/>
              <c:layout>
                <c:manualLayout>
                  <c:x val="-0.11335240113777488"/>
                  <c:y val="6.3992528595834862E-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4290-4F06-8190-E9A986D07FCC}"/>
                </c:ext>
              </c:extLst>
            </c:dLbl>
            <c:dLbl>
              <c:idx val="10"/>
              <c:layout>
                <c:manualLayout>
                  <c:x val="-0.1174026272397775"/>
                  <c:y val="-1.00673445038798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4290-4F06-8190-E9A986D07FCC}"/>
                </c:ext>
              </c:extLst>
            </c:dLbl>
            <c:dLbl>
              <c:idx val="11"/>
              <c:layout>
                <c:manualLayout>
                  <c:x val="-0.15954855992013475"/>
                  <c:y val="-6.154863662048773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4290-4F06-8190-E9A986D07FCC}"/>
                </c:ext>
              </c:extLst>
            </c:dLbl>
            <c:dLbl>
              <c:idx val="12"/>
              <c:layout>
                <c:manualLayout>
                  <c:x val="-8.7372778230667358E-4"/>
                  <c:y val="-0.15226952465504778"/>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7-4290-4F06-8190-E9A986D07FCC}"/>
                </c:ext>
              </c:extLst>
            </c:dLbl>
            <c:dLbl>
              <c:idx val="13"/>
              <c:layout>
                <c:manualLayout>
                  <c:x val="0.14739769205448436"/>
                  <c:y val="-0.1329012375264375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4290-4F06-8190-E9A986D07FCC}"/>
                </c:ext>
              </c:extLst>
            </c:dLbl>
            <c:dLbl>
              <c:idx val="14"/>
              <c:layout>
                <c:manualLayout>
                  <c:x val="0.27665338896150604"/>
                  <c:y val="-3.2267908014346036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B-4290-4F06-8190-E9A986D07FCC}"/>
                </c:ext>
              </c:extLst>
            </c:dLbl>
            <c:spPr>
              <a:noFill/>
              <a:ln>
                <a:noFill/>
              </a:ln>
              <a:effectLst/>
            </c:spPr>
            <c:txPr>
              <a:bodyPr wrap="square" lIns="38100" tIns="19050" rIns="38100" bIns="19050" anchor="ctr">
                <a:spAutoFit/>
              </a:bodyPr>
              <a:lstStyle/>
              <a:p>
                <a:pPr>
                  <a:defRPr sz="1480" b="1"/>
                </a:pPr>
                <a:endParaRPr lang="en-US"/>
              </a:p>
            </c:txPr>
            <c:showLegendKey val="0"/>
            <c:showVal val="1"/>
            <c:showCatName val="1"/>
            <c:showSerName val="0"/>
            <c:showPercent val="1"/>
            <c:showBubbleSize val="0"/>
            <c:showLeaderLines val="1"/>
            <c:extLst>
              <c:ext xmlns:c15="http://schemas.microsoft.com/office/drawing/2012/chart" uri="{CE6537A1-D6FC-4f65-9D91-7224C49458BB}"/>
            </c:extLst>
          </c:dLbls>
          <c:cat>
            <c:strRef>
              <c:f>'UNTHSC1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'UNTHSC1 Chts'!$D$53:$D$67</c:f>
              <c:numCache>
                <c:formatCode>"$"#,##0</c:formatCode>
                <c:ptCount val="15"/>
                <c:pt idx="0">
                  <c:v>112276178</c:v>
                </c:pt>
                <c:pt idx="1">
                  <c:v>2092669</c:v>
                </c:pt>
                <c:pt idx="3">
                  <c:v>15125502</c:v>
                </c:pt>
                <c:pt idx="4">
                  <c:v>0</c:v>
                </c:pt>
                <c:pt idx="5">
                  <c:v>34477812</c:v>
                </c:pt>
                <c:pt idx="6">
                  <c:v>55261728</c:v>
                </c:pt>
                <c:pt idx="7">
                  <c:v>16617179</c:v>
                </c:pt>
                <c:pt idx="8">
                  <c:v>1046856</c:v>
                </c:pt>
                <c:pt idx="9">
                  <c:v>3951843</c:v>
                </c:pt>
                <c:pt idx="10">
                  <c:v>52490499</c:v>
                </c:pt>
                <c:pt idx="11">
                  <c:v>695653</c:v>
                </c:pt>
                <c:pt idx="12">
                  <c:v>6123295</c:v>
                </c:pt>
                <c:pt idx="13">
                  <c:v>12885666</c:v>
                </c:pt>
                <c:pt idx="14">
                  <c:v>0</c:v>
                </c:pt>
              </c:numCache>
            </c:numRef>
          </c:val>
          <c:extLst>
            <c:ext xmlns:c16="http://schemas.microsoft.com/office/drawing/2014/chart" uri="{C3380CC4-5D6E-409C-BE32-E72D297353CC}">
              <c16:uniqueId val="{0000001D-4290-4F06-8190-E9A986D07FCC}"/>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232" r="0.75000000000001232" t="1" header="0.5" footer="0.5"/>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552"/>
          <c:y val="2.4423337856174714E-2"/>
        </c:manualLayout>
      </c:layout>
      <c:overlay val="0"/>
      <c:spPr>
        <a:noFill/>
        <a:ln w="25400">
          <a:noFill/>
        </a:ln>
      </c:spPr>
    </c:title>
    <c:autoTitleDeleted val="0"/>
    <c:plotArea>
      <c:layout>
        <c:manualLayout>
          <c:layoutTarget val="inner"/>
          <c:xMode val="edge"/>
          <c:yMode val="edge"/>
          <c:x val="0.39057168612545395"/>
          <c:y val="0.30480007272626397"/>
          <c:w val="0.21833372866620579"/>
          <c:h val="0.35015155201934178"/>
        </c:manualLayout>
      </c:layout>
      <c:pieChart>
        <c:varyColors val="1"/>
        <c:ser>
          <c:idx val="0"/>
          <c:order val="0"/>
          <c:tx>
            <c:strRef>
              <c:f>'UNTHSC1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BFA-4E06-8D9E-A41C772F426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BFA-4E06-8D9E-A41C772F426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BFA-4E06-8D9E-A41C772F426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BFA-4E06-8D9E-A41C772F426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BFA-4E06-8D9E-A41C772F426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BFA-4E06-8D9E-A41C772F426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BFA-4E06-8D9E-A41C772F426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BFA-4E06-8D9E-A41C772F426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BFA-4E06-8D9E-A41C772F426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BFA-4E06-8D9E-A41C772F426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BFA-4E06-8D9E-A41C772F4268}"/>
              </c:ext>
            </c:extLst>
          </c:dPt>
          <c:dLbls>
            <c:dLbl>
              <c:idx val="0"/>
              <c:layout>
                <c:manualLayout>
                  <c:x val="-0.12792137653712313"/>
                  <c:y val="-6.03514850808492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0BFA-4E06-8D9E-A41C772F4268}"/>
                </c:ext>
              </c:extLst>
            </c:dLbl>
            <c:dLbl>
              <c:idx val="1"/>
              <c:layout>
                <c:manualLayout>
                  <c:x val="-0.1139899101273117"/>
                  <c:y val="-1.99076818125901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BFA-4E06-8D9E-A41C772F4268}"/>
                </c:ext>
              </c:extLst>
            </c:dLbl>
            <c:dLbl>
              <c:idx val="2"/>
              <c:layout>
                <c:manualLayout>
                  <c:x val="-0.15443252464291063"/>
                  <c:y val="-7.80103905334561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BFA-4E06-8D9E-A41C772F4268}"/>
                </c:ext>
              </c:extLst>
            </c:dLbl>
            <c:dLbl>
              <c:idx val="3"/>
              <c:layout>
                <c:manualLayout>
                  <c:x val="1.4330041518081751E-2"/>
                  <c:y val="-0.17580389328144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BFA-4E06-8D9E-A41C772F4268}"/>
                </c:ext>
              </c:extLst>
            </c:dLbl>
            <c:dLbl>
              <c:idx val="4"/>
              <c:layout>
                <c:manualLayout>
                  <c:x val="0.11238342201772317"/>
                  <c:y val="-0.102722234026822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0BFA-4E06-8D9E-A41C772F4268}"/>
                </c:ext>
              </c:extLst>
            </c:dLbl>
            <c:dLbl>
              <c:idx val="5"/>
              <c:layout>
                <c:manualLayout>
                  <c:x val="0.14179561799708476"/>
                  <c:y val="-5.32831699949426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BFA-4E06-8D9E-A41C772F4268}"/>
                </c:ext>
              </c:extLst>
            </c:dLbl>
            <c:dLbl>
              <c:idx val="6"/>
              <c:layout>
                <c:manualLayout>
                  <c:x val="0.14043440687720107"/>
                  <c:y val="-3.51659043380043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BFA-4E06-8D9E-A41C772F4268}"/>
                </c:ext>
              </c:extLst>
            </c:dLbl>
            <c:dLbl>
              <c:idx val="7"/>
              <c:layout>
                <c:manualLayout>
                  <c:x val="0.16830924172466286"/>
                  <c:y val="6.734540012003414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BFA-4E06-8D9E-A41C772F4268}"/>
                </c:ext>
              </c:extLst>
            </c:dLbl>
            <c:dLbl>
              <c:idx val="8"/>
              <c:layout>
                <c:manualLayout>
                  <c:x val="1.3285805203604657E-2"/>
                  <c:y val="0.192306413874257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0BFA-4E06-8D9E-A41C772F4268}"/>
                </c:ext>
              </c:extLst>
            </c:dLbl>
            <c:dLbl>
              <c:idx val="9"/>
              <c:layout>
                <c:manualLayout>
                  <c:x val="-0.12602305070492378"/>
                  <c:y val="0.182909796699930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BFA-4E06-8D9E-A41C772F4268}"/>
                </c:ext>
              </c:extLst>
            </c:dLbl>
            <c:dLbl>
              <c:idx val="10"/>
              <c:layout>
                <c:manualLayout>
                  <c:x val="-0.23663573662888107"/>
                  <c:y val="0.1148996111937431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BFA-4E06-8D9E-A41C772F4268}"/>
                </c:ext>
              </c:extLst>
            </c:dLbl>
            <c:dLbl>
              <c:idx val="11"/>
              <c:delete val="1"/>
              <c:extLst>
                <c:ext xmlns:c15="http://schemas.microsoft.com/office/drawing/2012/chart" uri="{CE6537A1-D6FC-4f65-9D91-7224C49458BB}"/>
                <c:ext xmlns:c16="http://schemas.microsoft.com/office/drawing/2014/chart" uri="{C3380CC4-5D6E-409C-BE32-E72D297353CC}">
                  <c16:uniqueId val="{00000015-0BFA-4E06-8D9E-A41C772F4268}"/>
                </c:ext>
              </c:extLst>
            </c:dLbl>
            <c:spPr>
              <a:noFill/>
              <a:ln>
                <a:noFill/>
              </a:ln>
              <a:effectLst/>
            </c:spPr>
            <c:txPr>
              <a:bodyPr/>
              <a:lstStyle/>
              <a:p>
                <a:pPr>
                  <a:defRPr sz="1475" b="1"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'UNTHSC1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'UNTHSC1 Chts'!$D$102:$D$113</c:f>
              <c:numCache>
                <c:formatCode>"$"#,##0</c:formatCode>
                <c:ptCount val="12"/>
                <c:pt idx="0">
                  <c:v>79538736</c:v>
                </c:pt>
                <c:pt idx="1">
                  <c:v>46416280</c:v>
                </c:pt>
                <c:pt idx="2">
                  <c:v>46516667</c:v>
                </c:pt>
                <c:pt idx="3">
                  <c:v>27409658</c:v>
                </c:pt>
                <c:pt idx="4">
                  <c:v>8018588</c:v>
                </c:pt>
                <c:pt idx="5">
                  <c:v>21860807</c:v>
                </c:pt>
                <c:pt idx="6">
                  <c:v>17048260</c:v>
                </c:pt>
                <c:pt idx="7">
                  <c:v>2612265</c:v>
                </c:pt>
                <c:pt idx="8">
                  <c:v>177508</c:v>
                </c:pt>
                <c:pt idx="9">
                  <c:v>11895376</c:v>
                </c:pt>
                <c:pt idx="10">
                  <c:v>520360</c:v>
                </c:pt>
                <c:pt idx="11">
                  <c:v>0</c:v>
                </c:pt>
              </c:numCache>
            </c:numRef>
          </c:val>
          <c:extLst>
            <c:ext xmlns:c16="http://schemas.microsoft.com/office/drawing/2014/chart" uri="{C3380CC4-5D6E-409C-BE32-E72D297353CC}">
              <c16:uniqueId val="{00000017-0BFA-4E06-8D9E-A41C772F4268}"/>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232" r="0.75000000000001232" t="1" header="0.5" footer="0.5"/>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'TTUHSC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719-4E28-BAB6-33C71E83F8C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719-4E28-BAB6-33C71E83F8C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719-4E28-BAB6-33C71E83F8C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719-4E28-BAB6-33C71E83F8C0}"/>
              </c:ext>
            </c:extLst>
          </c:dPt>
          <c:dLbls>
            <c:dLbl>
              <c:idx val="0"/>
              <c:layout>
                <c:manualLayout>
                  <c:x val="8.4500821019342268E-2"/>
                  <c:y val="-6.02073930596095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4719-4E28-BAB6-33C71E83F8C0}"/>
                </c:ext>
              </c:extLst>
            </c:dLbl>
            <c:dLbl>
              <c:idx val="1"/>
              <c:layout>
                <c:manualLayout>
                  <c:x val="0.11435018490580121"/>
                  <c:y val="-1.06794584023350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719-4E28-BAB6-33C71E83F8C0}"/>
                </c:ext>
              </c:extLst>
            </c:dLbl>
            <c:dLbl>
              <c:idx val="2"/>
              <c:layout>
                <c:manualLayout>
                  <c:x val="6.9314366361944324E-2"/>
                  <c:y val="0.124663240436298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719-4E28-BAB6-33C71E83F8C0}"/>
                </c:ext>
              </c:extLst>
            </c:dLbl>
            <c:dLbl>
              <c:idx val="3"/>
              <c:layout>
                <c:manualLayout>
                  <c:x val="-0.14617778097501707"/>
                  <c:y val="4.11166335156375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719-4E28-BAB6-33C71E83F8C0}"/>
                </c:ext>
              </c:extLst>
            </c:dLbl>
            <c:dLbl>
              <c:idx val="4"/>
              <c:layout>
                <c:manualLayout>
                  <c:x val="-8.2805825916187764E-2"/>
                  <c:y val="-4.53728500226068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719-4E28-BAB6-33C71E83F8C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'TTUHSC Chts'!$C$11:$C$15</c:f>
              <c:strCache>
                <c:ptCount val="5"/>
                <c:pt idx="0">
                  <c:v>State of Texas</c:v>
                </c:pt>
                <c:pt idx="1">
                  <c:v>Student &amp; Parent</c:v>
                </c:pt>
                <c:pt idx="2">
                  <c:v>Federal Government</c:v>
                </c:pt>
                <c:pt idx="3">
                  <c:v>Institutional Resources</c:v>
                </c:pt>
                <c:pt idx="4">
                  <c:v>Hospitals, Clinics, Professional Fees</c:v>
                </c:pt>
              </c:strCache>
            </c:strRef>
          </c:cat>
          <c:val>
            <c:numRef>
              <c:f>'TTUHSC Chts'!$D$11:$D$15</c:f>
              <c:numCache>
                <c:formatCode>"$"#,##0</c:formatCode>
                <c:ptCount val="5"/>
                <c:pt idx="0">
                  <c:v>217168284</c:v>
                </c:pt>
                <c:pt idx="1">
                  <c:v>71519865</c:v>
                </c:pt>
                <c:pt idx="2">
                  <c:v>34704177</c:v>
                </c:pt>
                <c:pt idx="3">
                  <c:v>256864699</c:v>
                </c:pt>
                <c:pt idx="4">
                  <c:v>247811272</c:v>
                </c:pt>
              </c:numCache>
            </c:numRef>
          </c:val>
          <c:extLst>
            <c:ext xmlns:c16="http://schemas.microsoft.com/office/drawing/2014/chart" uri="{C3380CC4-5D6E-409C-BE32-E72D297353CC}">
              <c16:uniqueId val="{00000009-4719-4E28-BAB6-33C71E83F8C0}"/>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'TTUHSC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D51-4176-A328-63BF8B5F886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D51-4176-A328-63BF8B5F886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D51-4176-A328-63BF8B5F886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D51-4176-A328-63BF8B5F886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D51-4176-A328-63BF8B5F886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D51-4176-A328-63BF8B5F886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D51-4176-A328-63BF8B5F886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D51-4176-A328-63BF8B5F886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D51-4176-A328-63BF8B5F886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D51-4176-A328-63BF8B5F886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DD51-4176-A328-63BF8B5F886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DD51-4176-A328-63BF8B5F8862}"/>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DD51-4176-A328-63BF8B5F8862}"/>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DD51-4176-A328-63BF8B5F8862}"/>
              </c:ext>
            </c:extLst>
          </c:dPt>
          <c:dLbls>
            <c:dLbl>
              <c:idx val="0"/>
              <c:layout>
                <c:manualLayout>
                  <c:x val="-2.5998578871359992E-2"/>
                  <c:y val="-0.106333039703704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DD51-4176-A328-63BF8B5F8862}"/>
                </c:ext>
              </c:extLst>
            </c:dLbl>
            <c:dLbl>
              <c:idx val="1"/>
              <c:layout>
                <c:manualLayout>
                  <c:x val="0.13226865264512946"/>
                  <c:y val="-0.150305967282257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D51-4176-A328-63BF8B5F8862}"/>
                </c:ext>
              </c:extLst>
            </c:dLbl>
            <c:dLbl>
              <c:idx val="2"/>
              <c:delete val="1"/>
              <c:extLst>
                <c:ext xmlns:c15="http://schemas.microsoft.com/office/drawing/2012/chart" uri="{CE6537A1-D6FC-4f65-9D91-7224C49458BB}"/>
                <c:ext xmlns:c16="http://schemas.microsoft.com/office/drawing/2014/chart" uri="{C3380CC4-5D6E-409C-BE32-E72D297353CC}">
                  <c16:uniqueId val="{00000003-DD51-4176-A328-63BF8B5F8862}"/>
                </c:ext>
              </c:extLst>
            </c:dLbl>
            <c:dLbl>
              <c:idx val="3"/>
              <c:layout>
                <c:manualLayout>
                  <c:x val="0.15672497426490903"/>
                  <c:y val="-1.04310886617745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D51-4176-A328-63BF8B5F8862}"/>
                </c:ext>
              </c:extLst>
            </c:dLbl>
            <c:dLbl>
              <c:idx val="4"/>
              <c:delete val="1"/>
              <c:extLst>
                <c:ext xmlns:c15="http://schemas.microsoft.com/office/drawing/2012/chart" uri="{CE6537A1-D6FC-4f65-9D91-7224C49458BB}"/>
                <c:ext xmlns:c16="http://schemas.microsoft.com/office/drawing/2014/chart" uri="{C3380CC4-5D6E-409C-BE32-E72D297353CC}">
                  <c16:uniqueId val="{00000007-DD51-4176-A328-63BF8B5F8862}"/>
                </c:ext>
              </c:extLst>
            </c:dLbl>
            <c:dLbl>
              <c:idx val="5"/>
              <c:layout>
                <c:manualLayout>
                  <c:x val="0.18283814194017517"/>
                  <c:y val="7.17935712088910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D51-4176-A328-63BF8B5F8862}"/>
                </c:ext>
              </c:extLst>
            </c:dLbl>
            <c:dLbl>
              <c:idx val="6"/>
              <c:layout>
                <c:manualLayout>
                  <c:x val="0.15731128223923774"/>
                  <c:y val="0.120925926454567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D51-4176-A328-63BF8B5F8862}"/>
                </c:ext>
              </c:extLst>
            </c:dLbl>
            <c:dLbl>
              <c:idx val="7"/>
              <c:layout>
                <c:manualLayout>
                  <c:x val="-2.3316973388385245E-2"/>
                  <c:y val="0.161143019064490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D51-4176-A328-63BF8B5F8862}"/>
                </c:ext>
              </c:extLst>
            </c:dLbl>
            <c:dLbl>
              <c:idx val="8"/>
              <c:layout>
                <c:manualLayout>
                  <c:x val="-0.15081488373027596"/>
                  <c:y val="0.125657004433892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DD51-4176-A328-63BF8B5F8862}"/>
                </c:ext>
              </c:extLst>
            </c:dLbl>
            <c:dLbl>
              <c:idx val="9"/>
              <c:layout>
                <c:manualLayout>
                  <c:x val="-0.12167909277513327"/>
                  <c:y val="0.114322339825988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D51-4176-A328-63BF8B5F8862}"/>
                </c:ext>
              </c:extLst>
            </c:dLbl>
            <c:dLbl>
              <c:idx val="10"/>
              <c:layout>
                <c:manualLayout>
                  <c:x val="-0.11275301354811199"/>
                  <c:y val="2.26009675504452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D51-4176-A328-63BF8B5F8862}"/>
                </c:ext>
              </c:extLst>
            </c:dLbl>
            <c:dLbl>
              <c:idx val="11"/>
              <c:layout>
                <c:manualLayout>
                  <c:x val="-0.13276653104622041"/>
                  <c:y val="-0.1423833761257325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DD51-4176-A328-63BF8B5F8862}"/>
                </c:ext>
              </c:extLst>
            </c:dLbl>
            <c:dLbl>
              <c:idx val="12"/>
              <c:layout>
                <c:manualLayout>
                  <c:x val="-9.4925876966882719E-2"/>
                  <c:y val="-0.2669748400524837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DD51-4176-A328-63BF8B5F8862}"/>
                </c:ext>
              </c:extLst>
            </c:dLbl>
            <c:dLbl>
              <c:idx val="13"/>
              <c:layout>
                <c:manualLayout>
                  <c:x val="4.7489713782947952E-2"/>
                  <c:y val="-0.161621550722026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DD51-4176-A328-63BF8B5F8862}"/>
                </c:ext>
              </c:extLst>
            </c:dLbl>
            <c:dLbl>
              <c:idx val="14"/>
              <c:delete val="1"/>
              <c:extLst>
                <c:ext xmlns:c15="http://schemas.microsoft.com/office/drawing/2012/chart" uri="{CE6537A1-D6FC-4f65-9D91-7224C49458BB}"/>
                <c:ext xmlns:c16="http://schemas.microsoft.com/office/drawing/2014/chart" uri="{C3380CC4-5D6E-409C-BE32-E72D297353CC}">
                  <c16:uniqueId val="{0000001B-DD51-4176-A328-63BF8B5F886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'TTUHSC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'TTUHSC Chts'!$D$53:$D$67</c:f>
              <c:numCache>
                <c:formatCode>"$"#,##0</c:formatCode>
                <c:ptCount val="15"/>
                <c:pt idx="0">
                  <c:v>179806241</c:v>
                </c:pt>
                <c:pt idx="1">
                  <c:v>15709651</c:v>
                </c:pt>
                <c:pt idx="3">
                  <c:v>21652392</c:v>
                </c:pt>
                <c:pt idx="4">
                  <c:v>0</c:v>
                </c:pt>
                <c:pt idx="5">
                  <c:v>71519865</c:v>
                </c:pt>
                <c:pt idx="6">
                  <c:v>34704177</c:v>
                </c:pt>
                <c:pt idx="7">
                  <c:v>13250888</c:v>
                </c:pt>
                <c:pt idx="8">
                  <c:v>97864959</c:v>
                </c:pt>
                <c:pt idx="9">
                  <c:v>73861674</c:v>
                </c:pt>
                <c:pt idx="10">
                  <c:v>13010680</c:v>
                </c:pt>
                <c:pt idx="11">
                  <c:v>938468</c:v>
                </c:pt>
                <c:pt idx="12">
                  <c:v>57938030</c:v>
                </c:pt>
                <c:pt idx="13">
                  <c:v>247811272</c:v>
                </c:pt>
                <c:pt idx="14">
                  <c:v>0</c:v>
                </c:pt>
              </c:numCache>
            </c:numRef>
          </c:val>
          <c:extLst>
            <c:ext xmlns:c16="http://schemas.microsoft.com/office/drawing/2014/chart" uri="{C3380CC4-5D6E-409C-BE32-E72D297353CC}">
              <c16:uniqueId val="{0000001D-DD51-4176-A328-63BF8B5F8862}"/>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Operating Uses</a:t>
            </a:r>
          </a:p>
        </c:rich>
      </c:tx>
      <c:layout>
        <c:manualLayout>
          <c:xMode val="edge"/>
          <c:yMode val="edge"/>
          <c:x val="0.42031379025599552"/>
          <c:y val="2.4423337856174714E-2"/>
        </c:manualLayout>
      </c:layout>
      <c:overlay val="0"/>
      <c:spPr>
        <a:noFill/>
        <a:ln w="25400">
          <a:noFill/>
        </a:ln>
      </c:spPr>
    </c:title>
    <c:autoTitleDeleted val="0"/>
    <c:plotArea>
      <c:layout>
        <c:manualLayout>
          <c:layoutTarget val="inner"/>
          <c:xMode val="edge"/>
          <c:yMode val="edge"/>
          <c:x val="0.40049545829892624"/>
          <c:y val="0.35685210312077076"/>
          <c:w val="0.20891824938068196"/>
          <c:h val="0.34328358208955911"/>
        </c:manualLayout>
      </c:layout>
      <c:pieChart>
        <c:varyColors val="1"/>
        <c:ser>
          <c:idx val="0"/>
          <c:order val="0"/>
          <c:tx>
            <c:strRef>
              <c:f>'Smmy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933-49E7-A7BB-DED61D8E199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933-49E7-A7BB-DED61D8E199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933-49E7-A7BB-DED61D8E199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933-49E7-A7BB-DED61D8E199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933-49E7-A7BB-DED61D8E199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933-49E7-A7BB-DED61D8E199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933-49E7-A7BB-DED61D8E199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933-49E7-A7BB-DED61D8E199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933-49E7-A7BB-DED61D8E199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933-49E7-A7BB-DED61D8E199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933-49E7-A7BB-DED61D8E1993}"/>
              </c:ext>
            </c:extLst>
          </c:dPt>
          <c:dLbls>
            <c:dLbl>
              <c:idx val="0"/>
              <c:layout>
                <c:manualLayout>
                  <c:x val="6.1175256514477805E-2"/>
                  <c:y val="0.1382282972423211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5933-49E7-A7BB-DED61D8E1993}"/>
                </c:ext>
              </c:extLst>
            </c:dLbl>
            <c:dLbl>
              <c:idx val="1"/>
              <c:layout>
                <c:manualLayout>
                  <c:x val="-9.8761521553547421E-2"/>
                  <c:y val="0.301568085828142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933-49E7-A7BB-DED61D8E1993}"/>
                </c:ext>
              </c:extLst>
            </c:dLbl>
            <c:dLbl>
              <c:idx val="2"/>
              <c:layout>
                <c:manualLayout>
                  <c:x val="-0.14803385421479703"/>
                  <c:y val="0.297758927694959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933-49E7-A7BB-DED61D8E1993}"/>
                </c:ext>
              </c:extLst>
            </c:dLbl>
            <c:dLbl>
              <c:idx val="3"/>
              <c:layout>
                <c:manualLayout>
                  <c:x val="-0.15635239478752685"/>
                  <c:y val="0.217978002437960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933-49E7-A7BB-DED61D8E1993}"/>
                </c:ext>
              </c:extLst>
            </c:dLbl>
            <c:dLbl>
              <c:idx val="4"/>
              <c:layout>
                <c:manualLayout>
                  <c:x val="-0.17825771751803118"/>
                  <c:y val="0.1116190195720272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5933-49E7-A7BB-DED61D8E1993}"/>
                </c:ext>
              </c:extLst>
            </c:dLbl>
            <c:dLbl>
              <c:idx val="5"/>
              <c:layout>
                <c:manualLayout>
                  <c:x val="-0.1789455346809318"/>
                  <c:y val="9.779490066118187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933-49E7-A7BB-DED61D8E1993}"/>
                </c:ext>
              </c:extLst>
            </c:dLbl>
            <c:dLbl>
              <c:idx val="6"/>
              <c:layout>
                <c:manualLayout>
                  <c:x val="-0.1683939815192618"/>
                  <c:y val="-9.63868914262566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933-49E7-A7BB-DED61D8E1993}"/>
                </c:ext>
              </c:extLst>
            </c:dLbl>
            <c:dLbl>
              <c:idx val="7"/>
              <c:layout>
                <c:manualLayout>
                  <c:x val="-2.8952297221178855E-2"/>
                  <c:y val="-0.110700124631727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933-49E7-A7BB-DED61D8E1993}"/>
                </c:ext>
              </c:extLst>
            </c:dLbl>
            <c:dLbl>
              <c:idx val="8"/>
              <c:layout>
                <c:manualLayout>
                  <c:x val="0.15322456590604913"/>
                  <c:y val="-0.140005355560774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933-49E7-A7BB-DED61D8E1993}"/>
                </c:ext>
              </c:extLst>
            </c:dLbl>
            <c:dLbl>
              <c:idx val="9"/>
              <c:layout>
                <c:manualLayout>
                  <c:x val="0.25284166490613147"/>
                  <c:y val="-7.38113699425053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933-49E7-A7BB-DED61D8E1993}"/>
                </c:ext>
              </c:extLst>
            </c:dLbl>
            <c:dLbl>
              <c:idx val="10"/>
              <c:layout>
                <c:manualLayout>
                  <c:x val="0.25259267831567528"/>
                  <c:y val="3.78284630037612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933-49E7-A7BB-DED61D8E1993}"/>
                </c:ext>
              </c:extLst>
            </c:dLbl>
            <c:dLbl>
              <c:idx val="11"/>
              <c:layout>
                <c:manualLayout>
                  <c:x val="6.5228799910224636E-2"/>
                  <c:y val="0.140930929419673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933-49E7-A7BB-DED61D8E1993}"/>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'Smmy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'Smmy Chts'!$D$102:$D$113</c:f>
              <c:numCache>
                <c:formatCode>"$"#,##0</c:formatCode>
                <c:ptCount val="12"/>
                <c:pt idx="0">
                  <c:v>3840838179</c:v>
                </c:pt>
                <c:pt idx="1">
                  <c:v>2252192690</c:v>
                </c:pt>
                <c:pt idx="2">
                  <c:v>462328760</c:v>
                </c:pt>
                <c:pt idx="3">
                  <c:v>773571668</c:v>
                </c:pt>
                <c:pt idx="4">
                  <c:v>75813058</c:v>
                </c:pt>
                <c:pt idx="5">
                  <c:v>676034205</c:v>
                </c:pt>
                <c:pt idx="6">
                  <c:v>607187187</c:v>
                </c:pt>
                <c:pt idx="7">
                  <c:v>62612069</c:v>
                </c:pt>
                <c:pt idx="8">
                  <c:v>94094716</c:v>
                </c:pt>
                <c:pt idx="9">
                  <c:v>186958782</c:v>
                </c:pt>
                <c:pt idx="10">
                  <c:v>26761630</c:v>
                </c:pt>
                <c:pt idx="11">
                  <c:v>8644431170</c:v>
                </c:pt>
              </c:numCache>
            </c:numRef>
          </c:val>
          <c:extLst>
            <c:ext xmlns:c16="http://schemas.microsoft.com/office/drawing/2014/chart" uri="{C3380CC4-5D6E-409C-BE32-E72D297353CC}">
              <c16:uniqueId val="{00000017-5933-49E7-A7BB-DED61D8E1993}"/>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75" b="1" i="0" u="none" strike="noStrike" baseline="0">
          <a:solidFill>
            <a:srgbClr val="000000"/>
          </a:solidFill>
          <a:latin typeface="Overpass" pitchFamily="2" charset="0"/>
          <a:ea typeface="Arial"/>
          <a:cs typeface="Arial"/>
        </a:defRPr>
      </a:pPr>
      <a:endParaRPr lang="en-US"/>
    </a:p>
  </c:txPr>
  <c:printSettings>
    <c:headerFooter alignWithMargins="0"/>
    <c:pageMargins b="1" l="0.75000000000001232" r="0.75000000000001232" t="1" header="0.5" footer="0.5"/>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'TTUHSC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DCA-49EF-9BF8-BA753091BE0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DCA-49EF-9BF8-BA753091BE0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DCA-49EF-9BF8-BA753091BE0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DCA-49EF-9BF8-BA753091BE0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DCA-49EF-9BF8-BA753091BE0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DCA-49EF-9BF8-BA753091BE0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DCA-49EF-9BF8-BA753091BE0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DCA-49EF-9BF8-BA753091BE0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DCA-49EF-9BF8-BA753091BE0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DCA-49EF-9BF8-BA753091BE0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6DCA-49EF-9BF8-BA753091BE02}"/>
              </c:ext>
            </c:extLst>
          </c:dPt>
          <c:dLbls>
            <c:dLbl>
              <c:idx val="0"/>
              <c:layout>
                <c:manualLayout>
                  <c:x val="-0.13608708442743056"/>
                  <c:y val="9.9053244313188245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6DCA-49EF-9BF8-BA753091BE02}"/>
                </c:ext>
              </c:extLst>
            </c:dLbl>
            <c:dLbl>
              <c:idx val="1"/>
              <c:layout>
                <c:manualLayout>
                  <c:x val="-0.11559975566858145"/>
                  <c:y val="-5.521925576073313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DCA-49EF-9BF8-BA753091BE02}"/>
                </c:ext>
              </c:extLst>
            </c:dLbl>
            <c:dLbl>
              <c:idx val="2"/>
              <c:layout>
                <c:manualLayout>
                  <c:x val="-7.664767445710835E-2"/>
                  <c:y val="-0.1230600867718731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DCA-49EF-9BF8-BA753091BE02}"/>
                </c:ext>
              </c:extLst>
            </c:dLbl>
            <c:dLbl>
              <c:idx val="3"/>
              <c:layout>
                <c:manualLayout>
                  <c:x val="-0.12628386360077368"/>
                  <c:y val="-0.1804843773647293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DCA-49EF-9BF8-BA753091BE02}"/>
                </c:ext>
              </c:extLst>
            </c:dLbl>
            <c:dLbl>
              <c:idx val="4"/>
              <c:layout>
                <c:manualLayout>
                  <c:x val="5.9163244095999996E-2"/>
                  <c:y val="-0.309741589371579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6DCA-49EF-9BF8-BA753091BE02}"/>
                </c:ext>
              </c:extLst>
            </c:dLbl>
            <c:dLbl>
              <c:idx val="5"/>
              <c:layout>
                <c:manualLayout>
                  <c:x val="0.13916584734592086"/>
                  <c:y val="-0.210087408941897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DCA-49EF-9BF8-BA753091BE02}"/>
                </c:ext>
              </c:extLst>
            </c:dLbl>
            <c:dLbl>
              <c:idx val="6"/>
              <c:layout>
                <c:manualLayout>
                  <c:x val="0.16991509173383804"/>
                  <c:y val="-0.104823452882869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DCA-49EF-9BF8-BA753091BE02}"/>
                </c:ext>
              </c:extLst>
            </c:dLbl>
            <c:dLbl>
              <c:idx val="7"/>
              <c:layout>
                <c:manualLayout>
                  <c:x val="0.19330718945311776"/>
                  <c:y val="1.78744947320417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DCA-49EF-9BF8-BA753091BE02}"/>
                </c:ext>
              </c:extLst>
            </c:dLbl>
            <c:dLbl>
              <c:idx val="8"/>
              <c:layout>
                <c:manualLayout>
                  <c:x val="0.15377458355873999"/>
                  <c:y val="0.163946227667243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6DCA-49EF-9BF8-BA753091BE02}"/>
                </c:ext>
              </c:extLst>
            </c:dLbl>
            <c:dLbl>
              <c:idx val="9"/>
              <c:layout>
                <c:manualLayout>
                  <c:x val="4.2141253218635023E-2"/>
                  <c:y val="0.2221726033706220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DCA-49EF-9BF8-BA753091BE02}"/>
                </c:ext>
              </c:extLst>
            </c:dLbl>
            <c:dLbl>
              <c:idx val="10"/>
              <c:layout>
                <c:manualLayout>
                  <c:x val="-0.13304716033433439"/>
                  <c:y val="0.21787207845703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DCA-49EF-9BF8-BA753091BE02}"/>
                </c:ext>
              </c:extLst>
            </c:dLbl>
            <c:dLbl>
              <c:idx val="11"/>
              <c:layout>
                <c:manualLayout>
                  <c:x val="-0.30472433558677947"/>
                  <c:y val="0.129464026280795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6DCA-49EF-9BF8-BA753091BE0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'TTUHSC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'TTUHSC Chts'!$D$102:$D$113</c:f>
              <c:numCache>
                <c:formatCode>"$"#,##0</c:formatCode>
                <c:ptCount val="12"/>
                <c:pt idx="0">
                  <c:v>227430702</c:v>
                </c:pt>
                <c:pt idx="1">
                  <c:v>38759283</c:v>
                </c:pt>
                <c:pt idx="2">
                  <c:v>149605308</c:v>
                </c:pt>
                <c:pt idx="3">
                  <c:v>132515189</c:v>
                </c:pt>
                <c:pt idx="4">
                  <c:v>24545109</c:v>
                </c:pt>
                <c:pt idx="5">
                  <c:v>34289967</c:v>
                </c:pt>
                <c:pt idx="6">
                  <c:v>38011226</c:v>
                </c:pt>
                <c:pt idx="7">
                  <c:v>5043897</c:v>
                </c:pt>
                <c:pt idx="8">
                  <c:v>527758</c:v>
                </c:pt>
                <c:pt idx="9">
                  <c:v>8976439</c:v>
                </c:pt>
                <c:pt idx="10">
                  <c:v>102842</c:v>
                </c:pt>
                <c:pt idx="11">
                  <c:v>92148740</c:v>
                </c:pt>
              </c:numCache>
            </c:numRef>
          </c:val>
          <c:extLst>
            <c:ext xmlns:c16="http://schemas.microsoft.com/office/drawing/2014/chart" uri="{C3380CC4-5D6E-409C-BE32-E72D297353CC}">
              <c16:uniqueId val="{00000017-6DCA-49EF-9BF8-BA753091BE02}"/>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'TTUHSCEP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6C1-4715-884A-0DEAA7C68EB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6C1-4715-884A-0DEAA7C68EB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6C1-4715-884A-0DEAA7C68EB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6C1-4715-884A-0DEAA7C68EBE}"/>
              </c:ext>
            </c:extLst>
          </c:dPt>
          <c:dLbls>
            <c:dLbl>
              <c:idx val="0"/>
              <c:layout>
                <c:manualLayout>
                  <c:x val="8.4500821019342268E-2"/>
                  <c:y val="-6.02073930596095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06C1-4715-884A-0DEAA7C68EBE}"/>
                </c:ext>
              </c:extLst>
            </c:dLbl>
            <c:dLbl>
              <c:idx val="1"/>
              <c:layout>
                <c:manualLayout>
                  <c:x val="9.268348117563753E-2"/>
                  <c:y val="-1.45129515403343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6C1-4715-884A-0DEAA7C68EBE}"/>
                </c:ext>
              </c:extLst>
            </c:dLbl>
            <c:dLbl>
              <c:idx val="2"/>
              <c:layout>
                <c:manualLayout>
                  <c:x val="-3.6611549357207993E-2"/>
                  <c:y val="0.14383094288227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6C1-4715-884A-0DEAA7C68EBE}"/>
                </c:ext>
              </c:extLst>
            </c:dLbl>
            <c:dLbl>
              <c:idx val="3"/>
              <c:layout>
                <c:manualLayout>
                  <c:x val="-4.9881482572502536E-2"/>
                  <c:y val="5.83675446218284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6C1-4715-884A-0DEAA7C68EBE}"/>
                </c:ext>
              </c:extLst>
            </c:dLbl>
            <c:dLbl>
              <c:idx val="4"/>
              <c:layout>
                <c:manualLayout>
                  <c:x val="2.6571522890890703E-3"/>
                  <c:y val="-4.72896826420970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06C1-4715-884A-0DEAA7C68EBE}"/>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'TTUHSCEP Chts'!$C$11:$C$15</c:f>
              <c:strCache>
                <c:ptCount val="5"/>
                <c:pt idx="0">
                  <c:v>State of Texas</c:v>
                </c:pt>
                <c:pt idx="1">
                  <c:v>Student &amp; Parent</c:v>
                </c:pt>
                <c:pt idx="2">
                  <c:v>Federal Government</c:v>
                </c:pt>
                <c:pt idx="3">
                  <c:v>Institutional Resources</c:v>
                </c:pt>
                <c:pt idx="4">
                  <c:v>Hospitals, Clinics, Professional Fees</c:v>
                </c:pt>
              </c:strCache>
            </c:strRef>
          </c:cat>
          <c:val>
            <c:numRef>
              <c:f>'TTUHSCEP Chts'!$D$11:$D$15</c:f>
              <c:numCache>
                <c:formatCode>"$"#,##0</c:formatCode>
                <c:ptCount val="5"/>
                <c:pt idx="0">
                  <c:v>92315216</c:v>
                </c:pt>
                <c:pt idx="1">
                  <c:v>13256992</c:v>
                </c:pt>
                <c:pt idx="2">
                  <c:v>4397437</c:v>
                </c:pt>
                <c:pt idx="3">
                  <c:v>132924514</c:v>
                </c:pt>
                <c:pt idx="4">
                  <c:v>57620664</c:v>
                </c:pt>
              </c:numCache>
            </c:numRef>
          </c:val>
          <c:extLst>
            <c:ext xmlns:c16="http://schemas.microsoft.com/office/drawing/2014/chart" uri="{C3380CC4-5D6E-409C-BE32-E72D297353CC}">
              <c16:uniqueId val="{00000009-06C1-4715-884A-0DEAA7C68EBE}"/>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'TTUHSCEP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D33-4757-92AD-F0536725FDB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D33-4757-92AD-F0536725FDB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D33-4757-92AD-F0536725FDBA}"/>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D33-4757-92AD-F0536725FDBA}"/>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D33-4757-92AD-F0536725FDBA}"/>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D33-4757-92AD-F0536725FDBA}"/>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D33-4757-92AD-F0536725FDBA}"/>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D33-4757-92AD-F0536725FDBA}"/>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D33-4757-92AD-F0536725FDBA}"/>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D33-4757-92AD-F0536725FDBA}"/>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D33-4757-92AD-F0536725FDBA}"/>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9D33-4757-92AD-F0536725FDBA}"/>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9D33-4757-92AD-F0536725FDBA}"/>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9D33-4757-92AD-F0536725FDBA}"/>
              </c:ext>
            </c:extLst>
          </c:dPt>
          <c:dLbls>
            <c:dLbl>
              <c:idx val="0"/>
              <c:layout>
                <c:manualLayout>
                  <c:x val="8.9087345197303557E-3"/>
                  <c:y val="-0.1196898573975660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9D33-4757-92AD-F0536725FDBA}"/>
                </c:ext>
              </c:extLst>
            </c:dLbl>
            <c:dLbl>
              <c:idx val="1"/>
              <c:layout>
                <c:manualLayout>
                  <c:x val="0.15032420859560094"/>
                  <c:y val="-0.207549471684523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D33-4757-92AD-F0536725FDBA}"/>
                </c:ext>
              </c:extLst>
            </c:dLbl>
            <c:dLbl>
              <c:idx val="2"/>
              <c:delete val="1"/>
              <c:extLst>
                <c:ext xmlns:c15="http://schemas.microsoft.com/office/drawing/2012/chart" uri="{CE6537A1-D6FC-4f65-9D91-7224C49458BB}"/>
                <c:ext xmlns:c16="http://schemas.microsoft.com/office/drawing/2014/chart" uri="{C3380CC4-5D6E-409C-BE32-E72D297353CC}">
                  <c16:uniqueId val="{00000003-9D33-4757-92AD-F0536725FDBA}"/>
                </c:ext>
              </c:extLst>
            </c:dLbl>
            <c:dLbl>
              <c:idx val="3"/>
              <c:layout>
                <c:manualLayout>
                  <c:x val="0.18079904886553758"/>
                  <c:y val="-8.103141075790248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D33-4757-92AD-F0536725FDBA}"/>
                </c:ext>
              </c:extLst>
            </c:dLbl>
            <c:dLbl>
              <c:idx val="4"/>
              <c:delete val="1"/>
              <c:extLst>
                <c:ext xmlns:c15="http://schemas.microsoft.com/office/drawing/2012/chart" uri="{CE6537A1-D6FC-4f65-9D91-7224C49458BB}"/>
                <c:ext xmlns:c16="http://schemas.microsoft.com/office/drawing/2014/chart" uri="{C3380CC4-5D6E-409C-BE32-E72D297353CC}">
                  <c16:uniqueId val="{00000007-9D33-4757-92AD-F0536725FDBA}"/>
                </c:ext>
              </c:extLst>
            </c:dLbl>
            <c:dLbl>
              <c:idx val="5"/>
              <c:layout>
                <c:manualLayout>
                  <c:x val="0.18765305164012208"/>
                  <c:y val="3.93555853809403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D33-4757-92AD-F0536725FDBA}"/>
                </c:ext>
              </c:extLst>
            </c:dLbl>
            <c:dLbl>
              <c:idx val="6"/>
              <c:layout>
                <c:manualLayout>
                  <c:x val="0.10073711214793916"/>
                  <c:y val="0.1361908609618381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D33-4757-92AD-F0536725FDBA}"/>
                </c:ext>
              </c:extLst>
            </c:dLbl>
            <c:dLbl>
              <c:idx val="7"/>
              <c:layout>
                <c:manualLayout>
                  <c:x val="-0.12322428820117283"/>
                  <c:y val="0.155418668624264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D33-4757-92AD-F0536725FDBA}"/>
                </c:ext>
              </c:extLst>
            </c:dLbl>
            <c:dLbl>
              <c:idx val="8"/>
              <c:layout>
                <c:manualLayout>
                  <c:x val="-0.11711117928939588"/>
                  <c:y val="9.89433690461684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D33-4757-92AD-F0536725FDBA}"/>
                </c:ext>
              </c:extLst>
            </c:dLbl>
            <c:dLbl>
              <c:idx val="9"/>
              <c:layout>
                <c:manualLayout>
                  <c:x val="-0.10241964353498782"/>
                  <c:y val="0.131495541392086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D33-4757-92AD-F0536725FDBA}"/>
                </c:ext>
              </c:extLst>
            </c:dLbl>
            <c:dLbl>
              <c:idx val="10"/>
              <c:layout>
                <c:manualLayout>
                  <c:x val="-0.10673449489795483"/>
                  <c:y val="0.100833756900208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D33-4757-92AD-F0536725FDBA}"/>
                </c:ext>
              </c:extLst>
            </c:dLbl>
            <c:dLbl>
              <c:idx val="11"/>
              <c:layout>
                <c:manualLayout>
                  <c:x val="-0.1243406049360004"/>
                  <c:y val="-5.65181195223337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D33-4757-92AD-F0536725FDBA}"/>
                </c:ext>
              </c:extLst>
            </c:dLbl>
            <c:dLbl>
              <c:idx val="12"/>
              <c:layout>
                <c:manualLayout>
                  <c:x val="-6.2425876256034039E-2"/>
                  <c:y val="-0.184925666830484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9D33-4757-92AD-F0536725FDBA}"/>
                </c:ext>
              </c:extLst>
            </c:dLbl>
            <c:dLbl>
              <c:idx val="13"/>
              <c:layout>
                <c:manualLayout>
                  <c:x val="6.3137862273356563E-2"/>
                  <c:y val="-0.1005618126929432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9D33-4757-92AD-F0536725FDBA}"/>
                </c:ext>
              </c:extLst>
            </c:dLbl>
            <c:dLbl>
              <c:idx val="14"/>
              <c:delete val="1"/>
              <c:extLst>
                <c:ext xmlns:c15="http://schemas.microsoft.com/office/drawing/2012/chart" uri="{CE6537A1-D6FC-4f65-9D91-7224C49458BB}"/>
                <c:ext xmlns:c16="http://schemas.microsoft.com/office/drawing/2014/chart" uri="{C3380CC4-5D6E-409C-BE32-E72D297353CC}">
                  <c16:uniqueId val="{0000001B-9D33-4757-92AD-F0536725FDB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'TTUHSCEP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'TTUHSCEP Chts'!$D$53:$D$67</c:f>
              <c:numCache>
                <c:formatCode>"$"#,##0</c:formatCode>
                <c:ptCount val="15"/>
                <c:pt idx="0">
                  <c:v>80558351</c:v>
                </c:pt>
                <c:pt idx="1">
                  <c:v>6199293</c:v>
                </c:pt>
                <c:pt idx="3">
                  <c:v>5557572</c:v>
                </c:pt>
                <c:pt idx="4">
                  <c:v>0</c:v>
                </c:pt>
                <c:pt idx="5">
                  <c:v>13256992</c:v>
                </c:pt>
                <c:pt idx="6">
                  <c:v>4397437</c:v>
                </c:pt>
                <c:pt idx="7">
                  <c:v>5714445</c:v>
                </c:pt>
                <c:pt idx="8">
                  <c:v>69313252</c:v>
                </c:pt>
                <c:pt idx="9">
                  <c:v>30853584</c:v>
                </c:pt>
                <c:pt idx="10">
                  <c:v>358872</c:v>
                </c:pt>
                <c:pt idx="11">
                  <c:v>290446</c:v>
                </c:pt>
                <c:pt idx="12">
                  <c:v>26393915</c:v>
                </c:pt>
                <c:pt idx="13">
                  <c:v>57620664</c:v>
                </c:pt>
                <c:pt idx="14">
                  <c:v>0</c:v>
                </c:pt>
              </c:numCache>
            </c:numRef>
          </c:val>
          <c:extLst>
            <c:ext xmlns:c16="http://schemas.microsoft.com/office/drawing/2014/chart" uri="{C3380CC4-5D6E-409C-BE32-E72D297353CC}">
              <c16:uniqueId val="{0000001D-9D33-4757-92AD-F0536725FDBA}"/>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'TTUHSCEP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57D-42D9-8C01-2972EC79AB5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57D-42D9-8C01-2972EC79AB5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57D-42D9-8C01-2972EC79AB5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57D-42D9-8C01-2972EC79AB5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57D-42D9-8C01-2972EC79AB5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57D-42D9-8C01-2972EC79AB5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57D-42D9-8C01-2972EC79AB5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57D-42D9-8C01-2972EC79AB5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57D-42D9-8C01-2972EC79AB5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57D-42D9-8C01-2972EC79AB5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C57D-42D9-8C01-2972EC79AB52}"/>
              </c:ext>
            </c:extLst>
          </c:dPt>
          <c:dLbls>
            <c:dLbl>
              <c:idx val="0"/>
              <c:layout>
                <c:manualLayout>
                  <c:x val="-8.639831498732399E-2"/>
                  <c:y val="2.46708762927446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C57D-42D9-8C01-2972EC79AB52}"/>
                </c:ext>
              </c:extLst>
            </c:dLbl>
            <c:dLbl>
              <c:idx val="1"/>
              <c:layout>
                <c:manualLayout>
                  <c:x val="-0.22830864428794195"/>
                  <c:y val="-5.88527230649661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57D-42D9-8C01-2972EC79AB52}"/>
                </c:ext>
              </c:extLst>
            </c:dLbl>
            <c:dLbl>
              <c:idx val="2"/>
              <c:layout>
                <c:manualLayout>
                  <c:x val="-0.13360808053355935"/>
                  <c:y val="-0.1210865720510786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57D-42D9-8C01-2972EC79AB52}"/>
                </c:ext>
              </c:extLst>
            </c:dLbl>
            <c:dLbl>
              <c:idx val="3"/>
              <c:layout>
                <c:manualLayout>
                  <c:x val="-5.8416145722449089E-2"/>
                  <c:y val="-0.166671017380168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57D-42D9-8C01-2972EC79AB52}"/>
                </c:ext>
              </c:extLst>
            </c:dLbl>
            <c:dLbl>
              <c:idx val="4"/>
              <c:layout>
                <c:manualLayout>
                  <c:x val="9.9156816129919639E-2"/>
                  <c:y val="-0.290007840607260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C57D-42D9-8C01-2972EC79AB52}"/>
                </c:ext>
              </c:extLst>
            </c:dLbl>
            <c:dLbl>
              <c:idx val="5"/>
              <c:layout>
                <c:manualLayout>
                  <c:x val="0.16461624155029259"/>
                  <c:y val="-0.2298210023235918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57D-42D9-8C01-2972EC79AB52}"/>
                </c:ext>
              </c:extLst>
            </c:dLbl>
            <c:dLbl>
              <c:idx val="6"/>
              <c:layout>
                <c:manualLayout>
                  <c:x val="0.15900780297444198"/>
                  <c:y val="-0.167970948421359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57D-42D9-8C01-2972EC79AB52}"/>
                </c:ext>
              </c:extLst>
            </c:dLbl>
            <c:dLbl>
              <c:idx val="7"/>
              <c:layout>
                <c:manualLayout>
                  <c:x val="0.18603560631341545"/>
                  <c:y val="-2.75128245049587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57D-42D9-8C01-2972EC79AB52}"/>
                </c:ext>
              </c:extLst>
            </c:dLbl>
            <c:dLbl>
              <c:idx val="8"/>
              <c:layout>
                <c:manualLayout>
                  <c:x val="0.15013871753106547"/>
                  <c:y val="0.138292556271040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C57D-42D9-8C01-2972EC79AB52}"/>
                </c:ext>
              </c:extLst>
            </c:dLbl>
            <c:dLbl>
              <c:idx val="9"/>
              <c:layout>
                <c:manualLayout>
                  <c:x val="1.911461065429652E-2"/>
                  <c:y val="0.190599009342535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57D-42D9-8C01-2972EC79AB52}"/>
                </c:ext>
              </c:extLst>
            </c:dLbl>
            <c:dLbl>
              <c:idx val="10"/>
              <c:layout>
                <c:manualLayout>
                  <c:x val="-0.16940486634057972"/>
                  <c:y val="0.182351610369987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57D-42D9-8C01-2972EC79AB52}"/>
                </c:ext>
              </c:extLst>
            </c:dLbl>
            <c:dLbl>
              <c:idx val="11"/>
              <c:layout>
                <c:manualLayout>
                  <c:x val="-0.34956550632781541"/>
                  <c:y val="0.1136771515754399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C57D-42D9-8C01-2972EC79AB5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'TTUHSCEP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'TTUHSCEP Chts'!$D$102:$D$113</c:f>
              <c:numCache>
                <c:formatCode>"$"#,##0</c:formatCode>
                <c:ptCount val="12"/>
                <c:pt idx="0">
                  <c:v>124938128</c:v>
                </c:pt>
                <c:pt idx="1">
                  <c:v>12298760</c:v>
                </c:pt>
                <c:pt idx="2">
                  <c:v>4072558</c:v>
                </c:pt>
                <c:pt idx="3">
                  <c:v>59139062</c:v>
                </c:pt>
                <c:pt idx="4">
                  <c:v>4883544</c:v>
                </c:pt>
                <c:pt idx="5">
                  <c:v>19003714</c:v>
                </c:pt>
                <c:pt idx="6">
                  <c:v>13498709</c:v>
                </c:pt>
                <c:pt idx="7">
                  <c:v>1385087</c:v>
                </c:pt>
                <c:pt idx="8">
                  <c:v>228210</c:v>
                </c:pt>
                <c:pt idx="9">
                  <c:v>7614890</c:v>
                </c:pt>
                <c:pt idx="10">
                  <c:v>433564</c:v>
                </c:pt>
                <c:pt idx="11">
                  <c:v>24298172</c:v>
                </c:pt>
              </c:numCache>
            </c:numRef>
          </c:val>
          <c:extLst>
            <c:ext xmlns:c16="http://schemas.microsoft.com/office/drawing/2014/chart" uri="{C3380CC4-5D6E-409C-BE32-E72D297353CC}">
              <c16:uniqueId val="{00000017-C57D-42D9-8C01-2972EC79AB52}"/>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'AUSM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945-40FD-8F18-D035410CBD7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945-40FD-8F18-D035410CBD7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945-40FD-8F18-D035410CBD7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945-40FD-8F18-D035410CBD72}"/>
              </c:ext>
            </c:extLst>
          </c:dPt>
          <c:dLbls>
            <c:dLbl>
              <c:idx val="0"/>
              <c:layout>
                <c:manualLayout>
                  <c:x val="8.4500821019342268E-2"/>
                  <c:y val="-6.02073930596095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9945-40FD-8F18-D035410CBD72}"/>
                </c:ext>
              </c:extLst>
            </c:dLbl>
            <c:dLbl>
              <c:idx val="1"/>
              <c:layout>
                <c:manualLayout>
                  <c:x val="0.11314644458617187"/>
                  <c:y val="1.42385669699837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945-40FD-8F18-D035410CBD72}"/>
                </c:ext>
              </c:extLst>
            </c:dLbl>
            <c:dLbl>
              <c:idx val="2"/>
              <c:layout>
                <c:manualLayout>
                  <c:x val="4.0425489364803557E-2"/>
                  <c:y val="0.182166300896036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945-40FD-8F18-D035410CBD72}"/>
                </c:ext>
              </c:extLst>
            </c:dLbl>
            <c:dLbl>
              <c:idx val="3"/>
              <c:layout>
                <c:manualLayout>
                  <c:x val="-4.8677778842471105E-2"/>
                  <c:y val="6.411784832389197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945-40FD-8F18-D035410CBD72}"/>
                </c:ext>
              </c:extLst>
            </c:dLbl>
            <c:dLbl>
              <c:idx val="4"/>
              <c:layout>
                <c:manualLayout>
                  <c:x val="-3.3613663610680888E-3"/>
                  <c:y val="-8.945857645723034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945-40FD-8F18-D035410CBD7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'AUSM Chts'!$C$11:$C$15</c:f>
              <c:strCache>
                <c:ptCount val="5"/>
                <c:pt idx="0">
                  <c:v>State of Texas</c:v>
                </c:pt>
                <c:pt idx="1">
                  <c:v>Student &amp; Parent</c:v>
                </c:pt>
                <c:pt idx="2">
                  <c:v>Federal Government</c:v>
                </c:pt>
                <c:pt idx="3">
                  <c:v>Institutional Resources</c:v>
                </c:pt>
                <c:pt idx="4">
                  <c:v>Hospitals, Clinics, Professional Fees</c:v>
                </c:pt>
              </c:strCache>
            </c:strRef>
          </c:cat>
          <c:val>
            <c:numRef>
              <c:f>'AUSM Chts'!$D$11:$D$15</c:f>
              <c:numCache>
                <c:formatCode>"$"#,##0</c:formatCode>
                <c:ptCount val="5"/>
                <c:pt idx="0">
                  <c:v>46216168</c:v>
                </c:pt>
                <c:pt idx="1">
                  <c:v>3489213</c:v>
                </c:pt>
                <c:pt idx="2">
                  <c:v>12717100</c:v>
                </c:pt>
                <c:pt idx="3">
                  <c:v>166578519</c:v>
                </c:pt>
                <c:pt idx="4">
                  <c:v>14099224</c:v>
                </c:pt>
              </c:numCache>
            </c:numRef>
          </c:val>
          <c:extLst>
            <c:ext xmlns:c16="http://schemas.microsoft.com/office/drawing/2014/chart" uri="{C3380CC4-5D6E-409C-BE32-E72D297353CC}">
              <c16:uniqueId val="{00000009-9945-40FD-8F18-D035410CBD72}"/>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'AUSM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F98-4044-843E-D23944B705B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F98-4044-843E-D23944B705B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F98-4044-843E-D23944B705B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F98-4044-843E-D23944B705B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F98-4044-843E-D23944B705B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F98-4044-843E-D23944B705B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F98-4044-843E-D23944B705B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F98-4044-843E-D23944B705B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F98-4044-843E-D23944B705B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F98-4044-843E-D23944B705B7}"/>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F98-4044-843E-D23944B705B7}"/>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4F98-4044-843E-D23944B705B7}"/>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4F98-4044-843E-D23944B705B7}"/>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4F98-4044-843E-D23944B705B7}"/>
              </c:ext>
            </c:extLst>
          </c:dPt>
          <c:dLbls>
            <c:dLbl>
              <c:idx val="0"/>
              <c:layout>
                <c:manualLayout>
                  <c:x val="0.14630364857765343"/>
                  <c:y val="-9.32917373884371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4F98-4044-843E-D23944B705B7}"/>
                </c:ext>
              </c:extLst>
            </c:dLbl>
            <c:dLbl>
              <c:idx val="1"/>
              <c:layout>
                <c:manualLayout>
                  <c:x val="0.2191771993112539"/>
                  <c:y val="4.81754421760224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F98-4044-843E-D23944B705B7}"/>
                </c:ext>
              </c:extLst>
            </c:dLbl>
            <c:dLbl>
              <c:idx val="2"/>
              <c:delete val="1"/>
              <c:extLst>
                <c:ext xmlns:c15="http://schemas.microsoft.com/office/drawing/2012/chart" uri="{CE6537A1-D6FC-4f65-9D91-7224C49458BB}"/>
                <c:ext xmlns:c16="http://schemas.microsoft.com/office/drawing/2014/chart" uri="{C3380CC4-5D6E-409C-BE32-E72D297353CC}">
                  <c16:uniqueId val="{00000003-4F98-4044-843E-D23944B705B7}"/>
                </c:ext>
              </c:extLst>
            </c:dLbl>
            <c:dLbl>
              <c:idx val="3"/>
              <c:delete val="1"/>
              <c:extLst>
                <c:ext xmlns:c15="http://schemas.microsoft.com/office/drawing/2012/chart" uri="{CE6537A1-D6FC-4f65-9D91-7224C49458BB}"/>
                <c:ext xmlns:c16="http://schemas.microsoft.com/office/drawing/2014/chart" uri="{C3380CC4-5D6E-409C-BE32-E72D297353CC}">
                  <c16:uniqueId val="{00000005-4F98-4044-843E-D23944B705B7}"/>
                </c:ext>
              </c:extLst>
            </c:dLbl>
            <c:dLbl>
              <c:idx val="4"/>
              <c:layout>
                <c:manualLayout>
                  <c:x val="0.14100289751391581"/>
                  <c:y val="0.161420822843073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F98-4044-843E-D23944B705B7}"/>
                </c:ext>
              </c:extLst>
            </c:dLbl>
            <c:dLbl>
              <c:idx val="5"/>
              <c:layout>
                <c:manualLayout>
                  <c:x val="0.15252035183407001"/>
                  <c:y val="0.191891645408192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F98-4044-843E-D23944B705B7}"/>
                </c:ext>
              </c:extLst>
            </c:dLbl>
            <c:dLbl>
              <c:idx val="6"/>
              <c:layout>
                <c:manualLayout>
                  <c:x val="0.12128149142493784"/>
                  <c:y val="0.2938052161302878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4F98-4044-843E-D23944B705B7}"/>
                </c:ext>
              </c:extLst>
            </c:dLbl>
            <c:dLbl>
              <c:idx val="7"/>
              <c:layout>
                <c:manualLayout>
                  <c:x val="-2.1332568270616106E-2"/>
                  <c:y val="0.329224221304289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4F98-4044-843E-D23944B705B7}"/>
                </c:ext>
              </c:extLst>
            </c:dLbl>
            <c:dLbl>
              <c:idx val="8"/>
              <c:layout>
                <c:manualLayout>
                  <c:x val="-0.20145394141412826"/>
                  <c:y val="0.203068402081379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4F98-4044-843E-D23944B705B7}"/>
                </c:ext>
              </c:extLst>
            </c:dLbl>
            <c:dLbl>
              <c:idx val="9"/>
              <c:layout>
                <c:manualLayout>
                  <c:x val="-9.8718681074336873E-2"/>
                  <c:y val="9.823661459811529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F98-4044-843E-D23944B705B7}"/>
                </c:ext>
              </c:extLst>
            </c:dLbl>
            <c:dLbl>
              <c:idx val="10"/>
              <c:layout>
                <c:manualLayout>
                  <c:x val="-0.15352928303140748"/>
                  <c:y val="0.109805511813271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4F98-4044-843E-D23944B705B7}"/>
                </c:ext>
              </c:extLst>
            </c:dLbl>
            <c:dLbl>
              <c:idx val="11"/>
              <c:layout>
                <c:manualLayout>
                  <c:x val="-0.12325054221166253"/>
                  <c:y val="-5.27083464485063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4F98-4044-843E-D23944B705B7}"/>
                </c:ext>
              </c:extLst>
            </c:dLbl>
            <c:dLbl>
              <c:idx val="12"/>
              <c:layout>
                <c:manualLayout>
                  <c:x val="6.7908794136237849E-2"/>
                  <c:y val="-0.1106429797753139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4F98-4044-843E-D23944B705B7}"/>
                </c:ext>
              </c:extLst>
            </c:dLbl>
            <c:dLbl>
              <c:idx val="13"/>
              <c:delete val="1"/>
              <c:extLst>
                <c:ext xmlns:c15="http://schemas.microsoft.com/office/drawing/2012/chart" uri="{CE6537A1-D6FC-4f65-9D91-7224C49458BB}"/>
                <c:ext xmlns:c16="http://schemas.microsoft.com/office/drawing/2014/chart" uri="{C3380CC4-5D6E-409C-BE32-E72D297353CC}">
                  <c16:uniqueId val="{00000019-4F98-4044-843E-D23944B705B7}"/>
                </c:ext>
              </c:extLst>
            </c:dLbl>
            <c:dLbl>
              <c:idx val="14"/>
              <c:delete val="1"/>
              <c:extLst>
                <c:ext xmlns:c15="http://schemas.microsoft.com/office/drawing/2012/chart" uri="{CE6537A1-D6FC-4f65-9D91-7224C49458BB}"/>
                <c:ext xmlns:c16="http://schemas.microsoft.com/office/drawing/2014/chart" uri="{C3380CC4-5D6E-409C-BE32-E72D297353CC}">
                  <c16:uniqueId val="{0000001B-4F98-4044-843E-D23944B705B7}"/>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'AUSM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'AUSM Chts'!$D$53:$D$67</c:f>
              <c:numCache>
                <c:formatCode>"$"#,##0</c:formatCode>
                <c:ptCount val="15"/>
                <c:pt idx="0">
                  <c:v>16760652</c:v>
                </c:pt>
                <c:pt idx="1">
                  <c:v>4445326</c:v>
                </c:pt>
                <c:pt idx="3">
                  <c:v>0</c:v>
                </c:pt>
                <c:pt idx="4">
                  <c:v>25010190</c:v>
                </c:pt>
                <c:pt idx="5">
                  <c:v>3489213</c:v>
                </c:pt>
                <c:pt idx="6">
                  <c:v>12717100</c:v>
                </c:pt>
                <c:pt idx="7">
                  <c:v>2051180</c:v>
                </c:pt>
                <c:pt idx="8">
                  <c:v>35115904</c:v>
                </c:pt>
                <c:pt idx="9">
                  <c:v>120581706</c:v>
                </c:pt>
                <c:pt idx="10">
                  <c:v>3868656</c:v>
                </c:pt>
                <c:pt idx="11">
                  <c:v>3148117</c:v>
                </c:pt>
                <c:pt idx="12">
                  <c:v>1812956</c:v>
                </c:pt>
                <c:pt idx="13">
                  <c:v>12639757</c:v>
                </c:pt>
                <c:pt idx="14">
                  <c:v>1459467</c:v>
                </c:pt>
              </c:numCache>
            </c:numRef>
          </c:val>
          <c:extLst>
            <c:ext xmlns:c16="http://schemas.microsoft.com/office/drawing/2014/chart" uri="{C3380CC4-5D6E-409C-BE32-E72D297353CC}">
              <c16:uniqueId val="{0000001D-4F98-4044-843E-D23944B705B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'AUSM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547-460C-8308-A5400C938BB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547-460C-8308-A5400C938BB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547-460C-8308-A5400C938BB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547-460C-8308-A5400C938BB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547-460C-8308-A5400C938BB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547-460C-8308-A5400C938BB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547-460C-8308-A5400C938BB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547-460C-8308-A5400C938BB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547-460C-8308-A5400C938BB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547-460C-8308-A5400C938BB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547-460C-8308-A5400C938BBE}"/>
              </c:ext>
            </c:extLst>
          </c:dPt>
          <c:dLbls>
            <c:dLbl>
              <c:idx val="0"/>
              <c:layout>
                <c:manualLayout>
                  <c:x val="6.3880298598873161E-2"/>
                  <c:y val="9.37384531286757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4547-460C-8308-A5400C938BBE}"/>
                </c:ext>
              </c:extLst>
            </c:dLbl>
            <c:dLbl>
              <c:idx val="1"/>
              <c:layout>
                <c:manualLayout>
                  <c:x val="-4.1027905827624965E-3"/>
                  <c:y val="0.108569569307332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547-460C-8308-A5400C938BBE}"/>
                </c:ext>
              </c:extLst>
            </c:dLbl>
            <c:dLbl>
              <c:idx val="2"/>
              <c:layout>
                <c:manualLayout>
                  <c:x val="-6.5740362655234766E-2"/>
                  <c:y val="7.42760024276981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547-460C-8308-A5400C938BBE}"/>
                </c:ext>
              </c:extLst>
            </c:dLbl>
            <c:dLbl>
              <c:idx val="3"/>
              <c:layout>
                <c:manualLayout>
                  <c:x val="-4.3873063319950986E-2"/>
                  <c:y val="1.882491579038628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547-460C-8308-A5400C938BBE}"/>
                </c:ext>
              </c:extLst>
            </c:dLbl>
            <c:dLbl>
              <c:idx val="4"/>
              <c:delete val="1"/>
              <c:extLst>
                <c:ext xmlns:c15="http://schemas.microsoft.com/office/drawing/2012/chart" uri="{CE6537A1-D6FC-4f65-9D91-7224C49458BB}"/>
                <c:ext xmlns:c16="http://schemas.microsoft.com/office/drawing/2014/chart" uri="{C3380CC4-5D6E-409C-BE32-E72D297353CC}">
                  <c16:uniqueId val="{00000007-4547-460C-8308-A5400C938BBE}"/>
                </c:ext>
              </c:extLst>
            </c:dLbl>
            <c:dLbl>
              <c:idx val="5"/>
              <c:layout>
                <c:manualLayout>
                  <c:x val="-5.9589612154886881E-2"/>
                  <c:y val="2.27689929620993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547-460C-8308-A5400C938BBE}"/>
                </c:ext>
              </c:extLst>
            </c:dLbl>
            <c:dLbl>
              <c:idx val="6"/>
              <c:layout>
                <c:manualLayout>
                  <c:x val="-2.5204574123867601E-2"/>
                  <c:y val="-5.94361848220387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4547-460C-8308-A5400C938BBE}"/>
                </c:ext>
              </c:extLst>
            </c:dLbl>
            <c:dLbl>
              <c:idx val="7"/>
              <c:layout>
                <c:manualLayout>
                  <c:x val="0.20421445931653812"/>
                  <c:y val="5.14215490218197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4547-460C-8308-A5400C938BBE}"/>
                </c:ext>
              </c:extLst>
            </c:dLbl>
            <c:dLbl>
              <c:idx val="8"/>
              <c:delete val="1"/>
              <c:extLst>
                <c:ext xmlns:c15="http://schemas.microsoft.com/office/drawing/2012/chart" uri="{CE6537A1-D6FC-4f65-9D91-7224C49458BB}"/>
                <c:ext xmlns:c16="http://schemas.microsoft.com/office/drawing/2014/chart" uri="{C3380CC4-5D6E-409C-BE32-E72D297353CC}">
                  <c16:uniqueId val="{0000000F-4547-460C-8308-A5400C938BBE}"/>
                </c:ext>
              </c:extLst>
            </c:dLbl>
            <c:dLbl>
              <c:idx val="9"/>
              <c:layout>
                <c:manualLayout>
                  <c:x val="8.213472982550496E-2"/>
                  <c:y val="-6.98329916469408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547-460C-8308-A5400C938BBE}"/>
                </c:ext>
              </c:extLst>
            </c:dLbl>
            <c:dLbl>
              <c:idx val="10"/>
              <c:delete val="1"/>
              <c:extLst>
                <c:ext xmlns:c15="http://schemas.microsoft.com/office/drawing/2012/chart" uri="{CE6537A1-D6FC-4f65-9D91-7224C49458BB}"/>
                <c:ext xmlns:c16="http://schemas.microsoft.com/office/drawing/2014/chart" uri="{C3380CC4-5D6E-409C-BE32-E72D297353CC}">
                  <c16:uniqueId val="{00000013-4547-460C-8308-A5400C938BBE}"/>
                </c:ext>
              </c:extLst>
            </c:dLbl>
            <c:dLbl>
              <c:idx val="11"/>
              <c:layout>
                <c:manualLayout>
                  <c:x val="4.7479012967486384E-2"/>
                  <c:y val="6.5871356238596857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4547-460C-8308-A5400C938BBE}"/>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'AUSM Chts'!$D$102:$D$113</c:f>
              <c:numCache>
                <c:formatCode>"$"#,##0</c:formatCode>
                <c:ptCount val="12"/>
                <c:pt idx="0">
                  <c:v>8217265</c:v>
                </c:pt>
                <c:pt idx="1">
                  <c:v>40120464</c:v>
                </c:pt>
                <c:pt idx="2">
                  <c:v>4104162</c:v>
                </c:pt>
                <c:pt idx="3">
                  <c:v>38679284</c:v>
                </c:pt>
                <c:pt idx="4">
                  <c:v>15621</c:v>
                </c:pt>
                <c:pt idx="5">
                  <c:v>24622557</c:v>
                </c:pt>
                <c:pt idx="6">
                  <c:v>2570508</c:v>
                </c:pt>
                <c:pt idx="7">
                  <c:v>2454481</c:v>
                </c:pt>
                <c:pt idx="8">
                  <c:v>967543</c:v>
                </c:pt>
                <c:pt idx="9">
                  <c:v>252133</c:v>
                </c:pt>
                <c:pt idx="10">
                  <c:v>2850</c:v>
                </c:pt>
                <c:pt idx="11">
                  <c:v>126417532</c:v>
                </c:pt>
              </c:numCache>
            </c:numRef>
          </c:val>
          <c:extLst>
            <c:ext xmlns:c16="http://schemas.microsoft.com/office/drawing/2014/chart" uri="{C3380CC4-5D6E-409C-BE32-E72D297353CC}">
              <c16:uniqueId val="{00000017-4547-460C-8308-A5400C938BBE}"/>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'RGVM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E9A-4360-9CA7-7BAF6366665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E9A-4360-9CA7-7BAF6366665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E9A-4360-9CA7-7BAF6366665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E9A-4360-9CA7-7BAF63666651}"/>
              </c:ext>
            </c:extLst>
          </c:dPt>
          <c:dLbls>
            <c:dLbl>
              <c:idx val="0"/>
              <c:layout>
                <c:manualLayout>
                  <c:x val="8.4500821019342268E-2"/>
                  <c:y val="-6.02073930596095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5E9A-4360-9CA7-7BAF63666651}"/>
                </c:ext>
              </c:extLst>
            </c:dLbl>
            <c:dLbl>
              <c:idx val="1"/>
              <c:layout>
                <c:manualLayout>
                  <c:x val="0.12518348188648618"/>
                  <c:y val="6.40745323878686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E9A-4360-9CA7-7BAF63666651}"/>
                </c:ext>
              </c:extLst>
            </c:dLbl>
            <c:dLbl>
              <c:idx val="2"/>
              <c:layout>
                <c:manualLayout>
                  <c:x val="-0.1979078491814199"/>
                  <c:y val="0.1227464959747119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E9A-4360-9CA7-7BAF63666651}"/>
                </c:ext>
              </c:extLst>
            </c:dLbl>
            <c:dLbl>
              <c:idx val="3"/>
              <c:layout>
                <c:manualLayout>
                  <c:x val="-0.10043703923382268"/>
                  <c:y val="6.614811303255703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E9A-4360-9CA7-7BAF63666651}"/>
                </c:ext>
              </c:extLst>
            </c:dLbl>
            <c:dLbl>
              <c:idx val="4"/>
              <c:layout>
                <c:manualLayout>
                  <c:x val="2.3120115699623411E-2"/>
                  <c:y val="-6.26238258476000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5E9A-4360-9CA7-7BAF6366665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'RGVM Chts'!$C$11:$C$15</c:f>
              <c:strCache>
                <c:ptCount val="5"/>
                <c:pt idx="0">
                  <c:v>State of Texas</c:v>
                </c:pt>
                <c:pt idx="1">
                  <c:v>Student &amp; Parent</c:v>
                </c:pt>
                <c:pt idx="2">
                  <c:v>Federal Government</c:v>
                </c:pt>
                <c:pt idx="3">
                  <c:v>Institutional Resources</c:v>
                </c:pt>
                <c:pt idx="4">
                  <c:v>Hospitals, Clinics, Professional Fees</c:v>
                </c:pt>
              </c:strCache>
            </c:strRef>
          </c:cat>
          <c:val>
            <c:numRef>
              <c:f>'RGVM Chts'!$D$11:$D$15</c:f>
              <c:numCache>
                <c:formatCode>"$"#,##0</c:formatCode>
                <c:ptCount val="5"/>
                <c:pt idx="0">
                  <c:v>49474555</c:v>
                </c:pt>
                <c:pt idx="1">
                  <c:v>4843685</c:v>
                </c:pt>
                <c:pt idx="2">
                  <c:v>7981482</c:v>
                </c:pt>
                <c:pt idx="3">
                  <c:v>60873593</c:v>
                </c:pt>
                <c:pt idx="4">
                  <c:v>19204472</c:v>
                </c:pt>
              </c:numCache>
            </c:numRef>
          </c:val>
          <c:extLst>
            <c:ext xmlns:c16="http://schemas.microsoft.com/office/drawing/2014/chart" uri="{C3380CC4-5D6E-409C-BE32-E72D297353CC}">
              <c16:uniqueId val="{00000009-5E9A-4360-9CA7-7BAF63666651}"/>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'RGVM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DEB-4854-8E27-61B2098F601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DEB-4854-8E27-61B2098F601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DEB-4854-8E27-61B2098F601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DEB-4854-8E27-61B2098F601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DEB-4854-8E27-61B2098F601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DEB-4854-8E27-61B2098F601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DEB-4854-8E27-61B2098F601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DEB-4854-8E27-61B2098F601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DEB-4854-8E27-61B2098F601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DEB-4854-8E27-61B2098F601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CDEB-4854-8E27-61B2098F601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CDEB-4854-8E27-61B2098F6013}"/>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CDEB-4854-8E27-61B2098F6013}"/>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CDEB-4854-8E27-61B2098F6013}"/>
              </c:ext>
            </c:extLst>
          </c:dPt>
          <c:dLbls>
            <c:dLbl>
              <c:idx val="0"/>
              <c:layout>
                <c:manualLayout>
                  <c:x val="5.2242163580683079E-2"/>
                  <c:y val="-0.1351192740825330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CDEB-4854-8E27-61B2098F6013}"/>
                </c:ext>
              </c:extLst>
            </c:dLbl>
            <c:dLbl>
              <c:idx val="1"/>
              <c:layout>
                <c:manualLayout>
                  <c:x val="0.18041680184638664"/>
                  <c:y val="-0.205394750846623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DEB-4854-8E27-61B2098F6013}"/>
                </c:ext>
              </c:extLst>
            </c:dLbl>
            <c:dLbl>
              <c:idx val="2"/>
              <c:delete val="1"/>
              <c:extLst>
                <c:ext xmlns:c15="http://schemas.microsoft.com/office/drawing/2012/chart" uri="{CE6537A1-D6FC-4f65-9D91-7224C49458BB}"/>
                <c:ext xmlns:c16="http://schemas.microsoft.com/office/drawing/2014/chart" uri="{C3380CC4-5D6E-409C-BE32-E72D297353CC}">
                  <c16:uniqueId val="{00000003-CDEB-4854-8E27-61B2098F6013}"/>
                </c:ext>
              </c:extLst>
            </c:dLbl>
            <c:dLbl>
              <c:idx val="3"/>
              <c:layout>
                <c:manualLayout>
                  <c:x val="0.18320645632560054"/>
                  <c:y val="-6.35295390569917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DEB-4854-8E27-61B2098F6013}"/>
                </c:ext>
              </c:extLst>
            </c:dLbl>
            <c:dLbl>
              <c:idx val="4"/>
              <c:delete val="1"/>
              <c:extLst>
                <c:ext xmlns:c15="http://schemas.microsoft.com/office/drawing/2012/chart" uri="{CE6537A1-D6FC-4f65-9D91-7224C49458BB}"/>
                <c:ext xmlns:c16="http://schemas.microsoft.com/office/drawing/2014/chart" uri="{C3380CC4-5D6E-409C-BE32-E72D297353CC}">
                  <c16:uniqueId val="{00000007-CDEB-4854-8E27-61B2098F6013}"/>
                </c:ext>
              </c:extLst>
            </c:dLbl>
            <c:dLbl>
              <c:idx val="5"/>
              <c:layout>
                <c:manualLayout>
                  <c:x val="0.17561601433980775"/>
                  <c:y val="6.55348854713599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DEB-4854-8E27-61B2098F6013}"/>
                </c:ext>
              </c:extLst>
            </c:dLbl>
            <c:dLbl>
              <c:idx val="6"/>
              <c:layout>
                <c:manualLayout>
                  <c:x val="7.9070539787194652E-2"/>
                  <c:y val="0.1262803727436361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DEB-4854-8E27-61B2098F6013}"/>
                </c:ext>
              </c:extLst>
            </c:dLbl>
            <c:dLbl>
              <c:idx val="7"/>
              <c:layout>
                <c:manualLayout>
                  <c:x val="-0.13646502923151857"/>
                  <c:y val="0.125957541519682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DEB-4854-8E27-61B2098F6013}"/>
                </c:ext>
              </c:extLst>
            </c:dLbl>
            <c:dLbl>
              <c:idx val="8"/>
              <c:layout>
                <c:manualLayout>
                  <c:x val="-0.10748145466932316"/>
                  <c:y val="8.35378715131727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CDEB-4854-8E27-61B2098F6013}"/>
                </c:ext>
              </c:extLst>
            </c:dLbl>
            <c:dLbl>
              <c:idx val="9"/>
              <c:layout>
                <c:manualLayout>
                  <c:x val="-0.10121593980495643"/>
                  <c:y val="7.17511506375181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DEB-4854-8E27-61B2098F6013}"/>
                </c:ext>
              </c:extLst>
            </c:dLbl>
            <c:dLbl>
              <c:idx val="10"/>
              <c:layout>
                <c:manualLayout>
                  <c:x val="-0.12719745830848916"/>
                  <c:y val="1.73698193380018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DEB-4854-8E27-61B2098F6013}"/>
                </c:ext>
              </c:extLst>
            </c:dLbl>
            <c:dLbl>
              <c:idx val="11"/>
              <c:layout>
                <c:manualLayout>
                  <c:x val="-0.11832208628584324"/>
                  <c:y val="-0.117577895528522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CDEB-4854-8E27-61B2098F6013}"/>
                </c:ext>
              </c:extLst>
            </c:dLbl>
            <c:dLbl>
              <c:idx val="12"/>
              <c:layout>
                <c:manualLayout>
                  <c:x val="-5.2796246415782587E-2"/>
                  <c:y val="-0.211968100276435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CDEB-4854-8E27-61B2098F6013}"/>
                </c:ext>
              </c:extLst>
            </c:dLbl>
            <c:dLbl>
              <c:idx val="13"/>
              <c:layout>
                <c:manualLayout>
                  <c:x val="8.7211936873985207E-2"/>
                  <c:y val="-0.1078892835910592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CDEB-4854-8E27-61B2098F6013}"/>
                </c:ext>
              </c:extLst>
            </c:dLbl>
            <c:dLbl>
              <c:idx val="14"/>
              <c:delete val="1"/>
              <c:extLst>
                <c:ext xmlns:c15="http://schemas.microsoft.com/office/drawing/2012/chart" uri="{CE6537A1-D6FC-4f65-9D91-7224C49458BB}"/>
                <c:ext xmlns:c16="http://schemas.microsoft.com/office/drawing/2014/chart" uri="{C3380CC4-5D6E-409C-BE32-E72D297353CC}">
                  <c16:uniqueId val="{0000001B-CDEB-4854-8E27-61B2098F601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'RGVM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'RGVM Chts'!$D$53:$D$67</c:f>
              <c:numCache>
                <c:formatCode>"$"#,##0</c:formatCode>
                <c:ptCount val="15"/>
                <c:pt idx="0">
                  <c:v>42597486</c:v>
                </c:pt>
                <c:pt idx="1">
                  <c:v>6877069</c:v>
                </c:pt>
                <c:pt idx="3">
                  <c:v>0</c:v>
                </c:pt>
                <c:pt idx="4">
                  <c:v>0</c:v>
                </c:pt>
                <c:pt idx="5">
                  <c:v>4843685</c:v>
                </c:pt>
                <c:pt idx="6">
                  <c:v>7981482</c:v>
                </c:pt>
                <c:pt idx="7">
                  <c:v>1387858</c:v>
                </c:pt>
                <c:pt idx="8">
                  <c:v>32007401</c:v>
                </c:pt>
                <c:pt idx="9">
                  <c:v>9942824</c:v>
                </c:pt>
                <c:pt idx="10">
                  <c:v>1524703</c:v>
                </c:pt>
                <c:pt idx="11">
                  <c:v>108437</c:v>
                </c:pt>
                <c:pt idx="12">
                  <c:v>15902370</c:v>
                </c:pt>
                <c:pt idx="13">
                  <c:v>19204472</c:v>
                </c:pt>
                <c:pt idx="14">
                  <c:v>0</c:v>
                </c:pt>
              </c:numCache>
            </c:numRef>
          </c:val>
          <c:extLst>
            <c:ext xmlns:c16="http://schemas.microsoft.com/office/drawing/2014/chart" uri="{C3380CC4-5D6E-409C-BE32-E72D297353CC}">
              <c16:uniqueId val="{0000001D-CDEB-4854-8E27-61B2098F6013}"/>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'RGVM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CE6-4195-9A98-6A7C6D3BDE2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CE6-4195-9A98-6A7C6D3BDE2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CE6-4195-9A98-6A7C6D3BDE2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CE6-4195-9A98-6A7C6D3BDE2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CE6-4195-9A98-6A7C6D3BDE2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CE6-4195-9A98-6A7C6D3BDE2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CE6-4195-9A98-6A7C6D3BDE2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CE6-4195-9A98-6A7C6D3BDE2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CE6-4195-9A98-6A7C6D3BDE2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CE6-4195-9A98-6A7C6D3BDE2F}"/>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CE6-4195-9A98-6A7C6D3BDE2F}"/>
              </c:ext>
            </c:extLst>
          </c:dPt>
          <c:dLbls>
            <c:dLbl>
              <c:idx val="0"/>
              <c:layout>
                <c:manualLayout>
                  <c:x val="-5.1252437087570255E-2"/>
                  <c:y val="7.00581410706422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4CE6-4195-9A98-6A7C6D3BDE2F}"/>
                </c:ext>
              </c:extLst>
            </c:dLbl>
            <c:dLbl>
              <c:idx val="1"/>
              <c:layout>
                <c:manualLayout>
                  <c:x val="-8.4089743796502192E-2"/>
                  <c:y val="0.153956834085229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CE6-4195-9A98-6A7C6D3BDE2F}"/>
                </c:ext>
              </c:extLst>
            </c:dLbl>
            <c:dLbl>
              <c:idx val="2"/>
              <c:layout>
                <c:manualLayout>
                  <c:x val="-0.15421078060376506"/>
                  <c:y val="0.137423501249120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CE6-4195-9A98-6A7C6D3BDE2F}"/>
                </c:ext>
              </c:extLst>
            </c:dLbl>
            <c:dLbl>
              <c:idx val="3"/>
              <c:layout>
                <c:manualLayout>
                  <c:x val="-0.2062708168145134"/>
                  <c:y val="4.44785871865893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CE6-4195-9A98-6A7C6D3BDE2F}"/>
                </c:ext>
              </c:extLst>
            </c:dLbl>
            <c:dLbl>
              <c:idx val="4"/>
              <c:layout>
                <c:manualLayout>
                  <c:x val="-0.30077794993877877"/>
                  <c:y val="-0.102604274948933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CE6-4195-9A98-6A7C6D3BDE2F}"/>
                </c:ext>
              </c:extLst>
            </c:dLbl>
            <c:dLbl>
              <c:idx val="5"/>
              <c:layout>
                <c:manualLayout>
                  <c:x val="-0.14078848890216808"/>
                  <c:y val="-0.127206316738779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CE6-4195-9A98-6A7C6D3BDE2F}"/>
                </c:ext>
              </c:extLst>
            </c:dLbl>
            <c:dLbl>
              <c:idx val="6"/>
              <c:layout>
                <c:manualLayout>
                  <c:x val="2.9331984885500421E-2"/>
                  <c:y val="-0.118636964967122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4CE6-4195-9A98-6A7C6D3BDE2F}"/>
                </c:ext>
              </c:extLst>
            </c:dLbl>
            <c:dLbl>
              <c:idx val="7"/>
              <c:layout>
                <c:manualLayout>
                  <c:x val="0.19815484164883054"/>
                  <c:y val="-3.34329025194671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4CE6-4195-9A98-6A7C6D3BDE2F}"/>
                </c:ext>
              </c:extLst>
            </c:dLbl>
            <c:dLbl>
              <c:idx val="8"/>
              <c:layout>
                <c:manualLayout>
                  <c:x val="0.165893818894155"/>
                  <c:y val="8.10651354641263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4CE6-4195-9A98-6A7C6D3BDE2F}"/>
                </c:ext>
              </c:extLst>
            </c:dLbl>
            <c:dLbl>
              <c:idx val="9"/>
              <c:layout>
                <c:manualLayout>
                  <c:x val="0.18393630664299193"/>
                  <c:y val="0.1846789313280272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CE6-4195-9A98-6A7C6D3BDE2F}"/>
                </c:ext>
              </c:extLst>
            </c:dLbl>
            <c:dLbl>
              <c:idx val="10"/>
              <c:layout>
                <c:manualLayout>
                  <c:x val="0.16872179951750174"/>
                  <c:y val="0.3185134047036806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4CE6-4195-9A98-6A7C6D3BDE2F}"/>
                </c:ext>
              </c:extLst>
            </c:dLbl>
            <c:dLbl>
              <c:idx val="11"/>
              <c:layout>
                <c:manualLayout>
                  <c:x val="-1.0226916936192416E-2"/>
                  <c:y val="0.196558243778557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4CE6-4195-9A98-6A7C6D3BDE2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'RGVM Chts'!$D$102:$D$113</c:f>
              <c:numCache>
                <c:formatCode>"$"#,##0</c:formatCode>
                <c:ptCount val="12"/>
                <c:pt idx="0">
                  <c:v>45338838</c:v>
                </c:pt>
                <c:pt idx="1">
                  <c:v>14738752</c:v>
                </c:pt>
                <c:pt idx="2">
                  <c:v>3437353</c:v>
                </c:pt>
                <c:pt idx="3">
                  <c:v>21408116</c:v>
                </c:pt>
                <c:pt idx="4">
                  <c:v>3642889</c:v>
                </c:pt>
                <c:pt idx="5">
                  <c:v>20958</c:v>
                </c:pt>
                <c:pt idx="6">
                  <c:v>3627491</c:v>
                </c:pt>
                <c:pt idx="7">
                  <c:v>1273006</c:v>
                </c:pt>
                <c:pt idx="8">
                  <c:v>1836493</c:v>
                </c:pt>
                <c:pt idx="9">
                  <c:v>5628788</c:v>
                </c:pt>
                <c:pt idx="10">
                  <c:v>137842</c:v>
                </c:pt>
                <c:pt idx="11">
                  <c:v>43920874</c:v>
                </c:pt>
              </c:numCache>
            </c:numRef>
          </c:val>
          <c:extLst>
            <c:ext xmlns:c16="http://schemas.microsoft.com/office/drawing/2014/chart" uri="{C3380CC4-5D6E-409C-BE32-E72D297353CC}">
              <c16:uniqueId val="{00000017-4CE6-4195-9A98-6A7C6D3BDE2F}"/>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46E-2"/>
        </c:manualLayout>
      </c:layout>
      <c:overlay val="0"/>
      <c:spPr>
        <a:noFill/>
        <a:ln w="25400">
          <a:noFill/>
        </a:ln>
      </c:spPr>
    </c:title>
    <c:autoTitleDeleted val="0"/>
    <c:plotArea>
      <c:layout>
        <c:manualLayout>
          <c:layoutTarget val="inner"/>
          <c:xMode val="edge"/>
          <c:yMode val="edge"/>
          <c:x val="0.39717106204943076"/>
          <c:y val="0.33594813033231291"/>
          <c:w val="0.22104485482277389"/>
          <c:h val="0.34143553880192479"/>
        </c:manualLayout>
      </c:layout>
      <c:pieChart>
        <c:varyColors val="1"/>
        <c:ser>
          <c:idx val="0"/>
          <c:order val="0"/>
          <c:tx>
            <c:strRef>
              <c:f>'SWM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461-4CF4-B7F0-29201C723D0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461-4CF4-B7F0-29201C723D0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461-4CF4-B7F0-29201C723D0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461-4CF4-B7F0-29201C723D02}"/>
              </c:ext>
            </c:extLst>
          </c:dPt>
          <c:dLbls>
            <c:dLbl>
              <c:idx val="0"/>
              <c:layout>
                <c:manualLayout>
                  <c:x val="-8.2852893477233763E-2"/>
                  <c:y val="-9.046947025413140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3461-4CF4-B7F0-29201C723D02}"/>
                </c:ext>
              </c:extLst>
            </c:dLbl>
            <c:dLbl>
              <c:idx val="1"/>
              <c:layout>
                <c:manualLayout>
                  <c:x val="7.6847687553839014E-2"/>
                  <c:y val="-5.84538355141887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461-4CF4-B7F0-29201C723D02}"/>
                </c:ext>
              </c:extLst>
            </c:dLbl>
            <c:dLbl>
              <c:idx val="2"/>
              <c:layout>
                <c:manualLayout>
                  <c:x val="9.6328817011235579E-2"/>
                  <c:y val="0.1088167408717053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461-4CF4-B7F0-29201C723D02}"/>
                </c:ext>
              </c:extLst>
            </c:dLbl>
            <c:dLbl>
              <c:idx val="3"/>
              <c:layout>
                <c:manualLayout>
                  <c:x val="4.9865279949289E-2"/>
                  <c:y val="0.1632891506590680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461-4CF4-B7F0-29201C723D02}"/>
                </c:ext>
              </c:extLst>
            </c:dLbl>
            <c:dLbl>
              <c:idx val="4"/>
              <c:layout>
                <c:manualLayout>
                  <c:x val="-9.9110340825433726E-2"/>
                  <c:y val="-5.4602536765984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461-4CF4-B7F0-29201C723D0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'SWM Chts'!$C$11:$C$15</c:f>
              <c:strCache>
                <c:ptCount val="5"/>
                <c:pt idx="0">
                  <c:v>State of Texas</c:v>
                </c:pt>
                <c:pt idx="1">
                  <c:v>Student &amp; Parent</c:v>
                </c:pt>
                <c:pt idx="2">
                  <c:v>Federal Government</c:v>
                </c:pt>
                <c:pt idx="3">
                  <c:v>Institutional Resources</c:v>
                </c:pt>
                <c:pt idx="4">
                  <c:v>Hospitals, Clinics, Professional Fees</c:v>
                </c:pt>
              </c:strCache>
            </c:strRef>
          </c:cat>
          <c:val>
            <c:numRef>
              <c:f>'SWM Chts'!$D$11:$D$15</c:f>
              <c:numCache>
                <c:formatCode>"$"#,##0</c:formatCode>
                <c:ptCount val="5"/>
                <c:pt idx="0">
                  <c:v>260323607</c:v>
                </c:pt>
                <c:pt idx="1">
                  <c:v>28259863</c:v>
                </c:pt>
                <c:pt idx="2">
                  <c:v>322461621</c:v>
                </c:pt>
                <c:pt idx="3">
                  <c:v>1210663813</c:v>
                </c:pt>
                <c:pt idx="4">
                  <c:v>2907254951</c:v>
                </c:pt>
              </c:numCache>
            </c:numRef>
          </c:val>
          <c:extLst>
            <c:ext xmlns:c16="http://schemas.microsoft.com/office/drawing/2014/chart" uri="{C3380CC4-5D6E-409C-BE32-E72D297353CC}">
              <c16:uniqueId val="{00000009-3461-4CF4-B7F0-29201C723D02}"/>
            </c:ext>
          </c:extLst>
        </c:ser>
        <c:dLbls>
          <c:showLegendKey val="0"/>
          <c:showVal val="1"/>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432" r="0.75000000000001432" t="1" header="0.5" footer="0.5"/>
    <c:pageSetup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'UHM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4D6-47E3-9158-695251F9F08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4D6-47E3-9158-695251F9F08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4D6-47E3-9158-695251F9F08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24D6-47E3-9158-695251F9F08D}"/>
              </c:ext>
            </c:extLst>
          </c:dPt>
          <c:dLbls>
            <c:dLbl>
              <c:idx val="0"/>
              <c:delete val="1"/>
              <c:extLst>
                <c:ext xmlns:c15="http://schemas.microsoft.com/office/drawing/2012/chart" uri="{CE6537A1-D6FC-4f65-9D91-7224C49458BB}"/>
                <c:ext xmlns:c16="http://schemas.microsoft.com/office/drawing/2014/chart" uri="{C3380CC4-5D6E-409C-BE32-E72D297353CC}">
                  <c16:uniqueId val="{00000008-24D6-47E3-9158-695251F9F08D}"/>
                </c:ext>
              </c:extLst>
            </c:dLbl>
            <c:dLbl>
              <c:idx val="1"/>
              <c:layout>
                <c:manualLayout>
                  <c:x val="-0.17574245062137178"/>
                  <c:y val="-7.58495243623464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4D6-47E3-9158-695251F9F08D}"/>
                </c:ext>
              </c:extLst>
            </c:dLbl>
            <c:dLbl>
              <c:idx val="2"/>
              <c:layout>
                <c:manualLayout>
                  <c:x val="4.2832896824866511E-2"/>
                  <c:y val="-8.426443729957892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24D6-47E3-9158-695251F9F08D}"/>
                </c:ext>
              </c:extLst>
            </c:dLbl>
            <c:dLbl>
              <c:idx val="3"/>
              <c:layout>
                <c:manualLayout>
                  <c:x val="1.0303703929068968E-2"/>
                  <c:y val="8.711906313214665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4D6-47E3-9158-695251F9F08D}"/>
                </c:ext>
              </c:extLst>
            </c:dLbl>
            <c:dLbl>
              <c:idx val="4"/>
              <c:delete val="1"/>
              <c:extLst>
                <c:ext xmlns:c15="http://schemas.microsoft.com/office/drawing/2012/chart" uri="{CE6537A1-D6FC-4f65-9D91-7224C49458BB}"/>
                <c:ext xmlns:c16="http://schemas.microsoft.com/office/drawing/2014/chart" uri="{C3380CC4-5D6E-409C-BE32-E72D297353CC}">
                  <c16:uniqueId val="{00000007-24D6-47E3-9158-695251F9F08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'UHM Chts'!$C$11:$C$15</c:f>
              <c:strCache>
                <c:ptCount val="5"/>
                <c:pt idx="0">
                  <c:v>State of Texas</c:v>
                </c:pt>
                <c:pt idx="1">
                  <c:v>Student &amp; Parent</c:v>
                </c:pt>
                <c:pt idx="2">
                  <c:v>Federal Government</c:v>
                </c:pt>
                <c:pt idx="3">
                  <c:v>Institutional Resources</c:v>
                </c:pt>
                <c:pt idx="4">
                  <c:v>Hospitals, Clinics, Professional Fees</c:v>
                </c:pt>
              </c:strCache>
            </c:strRef>
          </c:cat>
          <c:val>
            <c:numRef>
              <c:f>'UHM Chts'!$D$11:$D$15</c:f>
              <c:numCache>
                <c:formatCode>"$"#,##0</c:formatCode>
                <c:ptCount val="5"/>
                <c:pt idx="0">
                  <c:v>14940263</c:v>
                </c:pt>
                <c:pt idx="1">
                  <c:v>1092675</c:v>
                </c:pt>
                <c:pt idx="2">
                  <c:v>531356</c:v>
                </c:pt>
                <c:pt idx="3">
                  <c:v>5609376</c:v>
                </c:pt>
                <c:pt idx="4">
                  <c:v>0</c:v>
                </c:pt>
              </c:numCache>
            </c:numRef>
          </c:val>
          <c:extLst>
            <c:ext xmlns:c16="http://schemas.microsoft.com/office/drawing/2014/chart" uri="{C3380CC4-5D6E-409C-BE32-E72D297353CC}">
              <c16:uniqueId val="{00000009-24D6-47E3-9158-695251F9F08D}"/>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'UHM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757-4D32-A74B-C66F58ED453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757-4D32-A74B-C66F58ED453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757-4D32-A74B-C66F58ED453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757-4D32-A74B-C66F58ED4534}"/>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757-4D32-A74B-C66F58ED4534}"/>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757-4D32-A74B-C66F58ED4534}"/>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757-4D32-A74B-C66F58ED4534}"/>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757-4D32-A74B-C66F58ED4534}"/>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757-4D32-A74B-C66F58ED4534}"/>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757-4D32-A74B-C66F58ED4534}"/>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E757-4D32-A74B-C66F58ED4534}"/>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E757-4D32-A74B-C66F58ED4534}"/>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E757-4D32-A74B-C66F58ED4534}"/>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E757-4D32-A74B-C66F58ED4534}"/>
              </c:ext>
            </c:extLst>
          </c:dPt>
          <c:dLbls>
            <c:dLbl>
              <c:idx val="0"/>
              <c:delete val="1"/>
              <c:extLst>
                <c:ext xmlns:c15="http://schemas.microsoft.com/office/drawing/2012/chart" uri="{CE6537A1-D6FC-4f65-9D91-7224C49458BB}"/>
                <c:ext xmlns:c16="http://schemas.microsoft.com/office/drawing/2014/chart" uri="{C3380CC4-5D6E-409C-BE32-E72D297353CC}">
                  <c16:uniqueId val="{0000001C-E757-4D32-A74B-C66F58ED4534}"/>
                </c:ext>
              </c:extLst>
            </c:dLbl>
            <c:dLbl>
              <c:idx val="1"/>
              <c:delete val="1"/>
              <c:extLst>
                <c:ext xmlns:c15="http://schemas.microsoft.com/office/drawing/2012/chart" uri="{CE6537A1-D6FC-4f65-9D91-7224C49458BB}"/>
                <c:ext xmlns:c16="http://schemas.microsoft.com/office/drawing/2014/chart" uri="{C3380CC4-5D6E-409C-BE32-E72D297353CC}">
                  <c16:uniqueId val="{00000001-E757-4D32-A74B-C66F58ED4534}"/>
                </c:ext>
              </c:extLst>
            </c:dLbl>
            <c:dLbl>
              <c:idx val="2"/>
              <c:delete val="1"/>
              <c:extLst>
                <c:ext xmlns:c15="http://schemas.microsoft.com/office/drawing/2012/chart" uri="{CE6537A1-D6FC-4f65-9D91-7224C49458BB}"/>
                <c:ext xmlns:c16="http://schemas.microsoft.com/office/drawing/2014/chart" uri="{C3380CC4-5D6E-409C-BE32-E72D297353CC}">
                  <c16:uniqueId val="{00000003-E757-4D32-A74B-C66F58ED4534}"/>
                </c:ext>
              </c:extLst>
            </c:dLbl>
            <c:dLbl>
              <c:idx val="3"/>
              <c:delete val="1"/>
              <c:extLst>
                <c:ext xmlns:c15="http://schemas.microsoft.com/office/drawing/2012/chart" uri="{CE6537A1-D6FC-4f65-9D91-7224C49458BB}"/>
                <c:ext xmlns:c16="http://schemas.microsoft.com/office/drawing/2014/chart" uri="{C3380CC4-5D6E-409C-BE32-E72D297353CC}">
                  <c16:uniqueId val="{00000005-E757-4D32-A74B-C66F58ED4534}"/>
                </c:ext>
              </c:extLst>
            </c:dLbl>
            <c:dLbl>
              <c:idx val="4"/>
              <c:delete val="1"/>
              <c:extLst>
                <c:ext xmlns:c15="http://schemas.microsoft.com/office/drawing/2012/chart" uri="{CE6537A1-D6FC-4f65-9D91-7224C49458BB}"/>
                <c:ext xmlns:c16="http://schemas.microsoft.com/office/drawing/2014/chart" uri="{C3380CC4-5D6E-409C-BE32-E72D297353CC}">
                  <c16:uniqueId val="{00000007-E757-4D32-A74B-C66F58ED4534}"/>
                </c:ext>
              </c:extLst>
            </c:dLbl>
            <c:dLbl>
              <c:idx val="5"/>
              <c:layout>
                <c:manualLayout>
                  <c:x val="-8.5506563550012318E-3"/>
                  <c:y val="-0.102496120438979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757-4D32-A74B-C66F58ED4534}"/>
                </c:ext>
              </c:extLst>
            </c:dLbl>
            <c:dLbl>
              <c:idx val="6"/>
              <c:layout>
                <c:manualLayout>
                  <c:x val="0.15610753111929568"/>
                  <c:y val="4.2264796284089093E-2"/>
                </c:manualLayout>
              </c:layout>
              <c:tx>
                <c:rich>
                  <a:bodyPr/>
                  <a:lstStyle/>
                  <a:p>
                    <a:fld id="{E0A50D33-7FB3-4D37-AC14-ADB88F3F3C38}" type="CATEGORYNAME">
                      <a:rPr lang="en-US"/>
                      <a:pPr/>
                      <a:t>[CATEGORY NAME]</a:t>
                    </a:fld>
                    <a:r>
                      <a:rPr lang="en-US" baseline="0"/>
                      <a:t>
</a:t>
                    </a:r>
                    <a:fld id="{65ADDC68-05F4-47E2-9981-DAE131E694F0}" type="VALUE">
                      <a:rPr lang="en-US" baseline="0"/>
                      <a:pPr/>
                      <a:t>[VALUE]</a:t>
                    </a:fld>
                    <a:endParaRPr lang="en-US" baseline="0"/>
                  </a:p>
                  <a:p>
                    <a:r>
                      <a:rPr lang="en-US" baseline="0"/>
                      <a:t> </a:t>
                    </a:r>
                    <a:fld id="{74765162-CC81-482D-872D-F2C05383CA4C}"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layout>
                    <c:manualLayout>
                      <c:w val="0.15030648476902486"/>
                      <c:h val="0.13422884205908692"/>
                    </c:manualLayout>
                  </c15:layout>
                  <c15:dlblFieldTable/>
                  <c15:showDataLabelsRange val="0"/>
                </c:ext>
                <c:ext xmlns:c16="http://schemas.microsoft.com/office/drawing/2014/chart" uri="{C3380CC4-5D6E-409C-BE32-E72D297353CC}">
                  <c16:uniqueId val="{0000000B-E757-4D32-A74B-C66F58ED4534}"/>
                </c:ext>
              </c:extLst>
            </c:dLbl>
            <c:dLbl>
              <c:idx val="7"/>
              <c:delete val="1"/>
              <c:extLst>
                <c:ext xmlns:c15="http://schemas.microsoft.com/office/drawing/2012/chart" uri="{CE6537A1-D6FC-4f65-9D91-7224C49458BB}"/>
                <c:ext xmlns:c16="http://schemas.microsoft.com/office/drawing/2014/chart" uri="{C3380CC4-5D6E-409C-BE32-E72D297353CC}">
                  <c16:uniqueId val="{0000000D-E757-4D32-A74B-C66F58ED4534}"/>
                </c:ext>
              </c:extLst>
            </c:dLbl>
            <c:dLbl>
              <c:idx val="8"/>
              <c:delete val="1"/>
              <c:extLst>
                <c:ext xmlns:c15="http://schemas.microsoft.com/office/drawing/2012/chart" uri="{CE6537A1-D6FC-4f65-9D91-7224C49458BB}"/>
                <c:ext xmlns:c16="http://schemas.microsoft.com/office/drawing/2014/chart" uri="{C3380CC4-5D6E-409C-BE32-E72D297353CC}">
                  <c16:uniqueId val="{0000000F-E757-4D32-A74B-C66F58ED4534}"/>
                </c:ext>
              </c:extLst>
            </c:dLbl>
            <c:dLbl>
              <c:idx val="9"/>
              <c:layout>
                <c:manualLayout>
                  <c:x val="-7.3530754014233507E-2"/>
                  <c:y val="0.1090913741731492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757-4D32-A74B-C66F58ED4534}"/>
                </c:ext>
              </c:extLst>
            </c:dLbl>
            <c:dLbl>
              <c:idx val="10"/>
              <c:delete val="1"/>
              <c:extLst>
                <c:ext xmlns:c15="http://schemas.microsoft.com/office/drawing/2012/chart" uri="{CE6537A1-D6FC-4f65-9D91-7224C49458BB}"/>
                <c:ext xmlns:c16="http://schemas.microsoft.com/office/drawing/2014/chart" uri="{C3380CC4-5D6E-409C-BE32-E72D297353CC}">
                  <c16:uniqueId val="{00000013-E757-4D32-A74B-C66F58ED4534}"/>
                </c:ext>
              </c:extLst>
            </c:dLbl>
            <c:dLbl>
              <c:idx val="11"/>
              <c:delete val="1"/>
              <c:extLst>
                <c:ext xmlns:c15="http://schemas.microsoft.com/office/drawing/2012/chart" uri="{CE6537A1-D6FC-4f65-9D91-7224C49458BB}"/>
                <c:ext xmlns:c16="http://schemas.microsoft.com/office/drawing/2014/chart" uri="{C3380CC4-5D6E-409C-BE32-E72D297353CC}">
                  <c16:uniqueId val="{00000015-E757-4D32-A74B-C66F58ED4534}"/>
                </c:ext>
              </c:extLst>
            </c:dLbl>
            <c:dLbl>
              <c:idx val="12"/>
              <c:layout>
                <c:manualLayout>
                  <c:x val="-7.5666617286379745E-2"/>
                  <c:y val="-9.6213407315978883E-2"/>
                </c:manualLayout>
              </c:layout>
              <c:tx>
                <c:rich>
                  <a:bodyPr/>
                  <a:lstStyle/>
                  <a:p>
                    <a:fld id="{CDBC7561-508D-4C4B-B74E-86747BDDBC0E}" type="CATEGORYNAME">
                      <a:rPr lang="en-US"/>
                      <a:pPr/>
                      <a:t>[CATEGORY NAME]</a:t>
                    </a:fld>
                    <a:r>
                      <a:rPr lang="en-US" baseline="0"/>
                      <a:t>
</a:t>
                    </a:r>
                    <a:fld id="{8883D2D0-3013-4CA2-B084-87D57CAEA3AD}" type="VALUE">
                      <a:rPr lang="en-US" baseline="0"/>
                      <a:pPr/>
                      <a:t>[VALUE]</a:t>
                    </a:fld>
                    <a:r>
                      <a:rPr lang="en-US" baseline="0"/>
                      <a:t>, </a:t>
                    </a:r>
                    <a:fld id="{99B0AA7D-ECDC-4267-A0DC-86DEA2F06B8E}"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7-E757-4D32-A74B-C66F58ED4534}"/>
                </c:ext>
              </c:extLst>
            </c:dLbl>
            <c:dLbl>
              <c:idx val="13"/>
              <c:delete val="1"/>
              <c:extLst>
                <c:ext xmlns:c15="http://schemas.microsoft.com/office/drawing/2012/chart" uri="{CE6537A1-D6FC-4f65-9D91-7224C49458BB}"/>
                <c:ext xmlns:c16="http://schemas.microsoft.com/office/drawing/2014/chart" uri="{C3380CC4-5D6E-409C-BE32-E72D297353CC}">
                  <c16:uniqueId val="{00000019-E757-4D32-A74B-C66F58ED4534}"/>
                </c:ext>
              </c:extLst>
            </c:dLbl>
            <c:dLbl>
              <c:idx val="14"/>
              <c:delete val="1"/>
              <c:extLst>
                <c:ext xmlns:c15="http://schemas.microsoft.com/office/drawing/2012/chart" uri="{CE6537A1-D6FC-4f65-9D91-7224C49458BB}"/>
                <c:ext xmlns:c16="http://schemas.microsoft.com/office/drawing/2014/chart" uri="{C3380CC4-5D6E-409C-BE32-E72D297353CC}">
                  <c16:uniqueId val="{0000001B-E757-4D32-A74B-C66F58ED4534}"/>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'UHM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'UHM Chts'!$D$53:$D$67</c:f>
              <c:numCache>
                <c:formatCode>"$"#,##0</c:formatCode>
                <c:ptCount val="15"/>
                <c:pt idx="0">
                  <c:v>14889291</c:v>
                </c:pt>
                <c:pt idx="1">
                  <c:v>50972</c:v>
                </c:pt>
                <c:pt idx="3">
                  <c:v>0</c:v>
                </c:pt>
                <c:pt idx="4">
                  <c:v>0</c:v>
                </c:pt>
                <c:pt idx="5">
                  <c:v>1092675</c:v>
                </c:pt>
                <c:pt idx="6">
                  <c:v>531356</c:v>
                </c:pt>
                <c:pt idx="7">
                  <c:v>0</c:v>
                </c:pt>
                <c:pt idx="8">
                  <c:v>236857</c:v>
                </c:pt>
                <c:pt idx="9">
                  <c:v>3204713</c:v>
                </c:pt>
                <c:pt idx="10">
                  <c:v>1102623</c:v>
                </c:pt>
                <c:pt idx="11">
                  <c:v>0</c:v>
                </c:pt>
                <c:pt idx="12">
                  <c:v>1065183</c:v>
                </c:pt>
                <c:pt idx="13">
                  <c:v>0</c:v>
                </c:pt>
                <c:pt idx="14">
                  <c:v>0</c:v>
                </c:pt>
              </c:numCache>
            </c:numRef>
          </c:val>
          <c:extLst>
            <c:ext xmlns:c16="http://schemas.microsoft.com/office/drawing/2014/chart" uri="{C3380CC4-5D6E-409C-BE32-E72D297353CC}">
              <c16:uniqueId val="{0000001D-E757-4D32-A74B-C66F58ED4534}"/>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'UHM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F7F-460E-98D5-FBE0D48244C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F7F-460E-98D5-FBE0D48244C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F7F-460E-98D5-FBE0D48244C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F7F-460E-98D5-FBE0D48244C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F7F-460E-98D5-FBE0D48244C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F7F-460E-98D5-FBE0D48244C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F7F-460E-98D5-FBE0D48244C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F7F-460E-98D5-FBE0D48244C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F7F-460E-98D5-FBE0D48244C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F7F-460E-98D5-FBE0D48244C7}"/>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F7F-460E-98D5-FBE0D48244C7}"/>
              </c:ext>
            </c:extLst>
          </c:dPt>
          <c:dLbls>
            <c:dLbl>
              <c:idx val="0"/>
              <c:layout>
                <c:manualLayout>
                  <c:x val="-8.8822066627357088E-2"/>
                  <c:y val="6.9106422492194357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5F7F-460E-98D5-FBE0D48244C7}"/>
                </c:ext>
              </c:extLst>
            </c:dLbl>
            <c:dLbl>
              <c:idx val="1"/>
              <c:layout>
                <c:manualLayout>
                  <c:x val="-9.620897913191731E-2"/>
                  <c:y val="-0.100606520538630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F7F-460E-98D5-FBE0D48244C7}"/>
                </c:ext>
              </c:extLst>
            </c:dLbl>
            <c:dLbl>
              <c:idx val="2"/>
              <c:layout>
                <c:manualLayout>
                  <c:x val="0.11483624384245032"/>
                  <c:y val="-7.76726666113504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F7F-460E-98D5-FBE0D48244C7}"/>
                </c:ext>
              </c:extLst>
            </c:dLbl>
            <c:dLbl>
              <c:idx val="3"/>
              <c:layout>
                <c:manualLayout>
                  <c:x val="0.1112531489733623"/>
                  <c:y val="-3.840250501652805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F7F-460E-98D5-FBE0D48244C7}"/>
                </c:ext>
              </c:extLst>
            </c:dLbl>
            <c:dLbl>
              <c:idx val="4"/>
              <c:delete val="1"/>
              <c:extLst>
                <c:ext xmlns:c15="http://schemas.microsoft.com/office/drawing/2012/chart" uri="{CE6537A1-D6FC-4f65-9D91-7224C49458BB}"/>
                <c:ext xmlns:c16="http://schemas.microsoft.com/office/drawing/2014/chart" uri="{C3380CC4-5D6E-409C-BE32-E72D297353CC}">
                  <c16:uniqueId val="{00000007-5F7F-460E-98D5-FBE0D48244C7}"/>
                </c:ext>
              </c:extLst>
            </c:dLbl>
            <c:dLbl>
              <c:idx val="5"/>
              <c:layout>
                <c:manualLayout>
                  <c:x val="0.11492737667509065"/>
                  <c:y val="-1.8671553139459396E-2"/>
                </c:manualLayout>
              </c:layout>
              <c:tx>
                <c:rich>
                  <a:bodyPr/>
                  <a:lstStyle/>
                  <a:p>
                    <a:fld id="{D453DA24-10A1-4300-A83B-6D6FA8B112CC}" type="CATEGORYNAME">
                      <a:rPr lang="en-US"/>
                      <a:pPr/>
                      <a:t>[CATEGORY NAME]</a:t>
                    </a:fld>
                    <a:r>
                      <a:rPr lang="en-US" baseline="0"/>
                      <a:t>
</a:t>
                    </a:r>
                    <a:fld id="{E2BA330B-C8F2-4D74-9EAD-E5E1752C8475}" type="VALUE">
                      <a:rPr lang="en-US" baseline="0"/>
                      <a:pPr/>
                      <a:t>[VALUE]</a:t>
                    </a:fld>
                    <a:endParaRPr lang="en-US" baseline="0"/>
                  </a:p>
                  <a:p>
                    <a:r>
                      <a:rPr lang="en-US" baseline="0"/>
                      <a:t> </a:t>
                    </a:r>
                    <a:fld id="{40F711EB-416F-4D79-B49C-A35EB8982459}"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9-5F7F-460E-98D5-FBE0D48244C7}"/>
                </c:ext>
              </c:extLst>
            </c:dLbl>
            <c:dLbl>
              <c:idx val="6"/>
              <c:delete val="1"/>
              <c:extLst>
                <c:ext xmlns:c15="http://schemas.microsoft.com/office/drawing/2012/chart" uri="{CE6537A1-D6FC-4f65-9D91-7224C49458BB}"/>
                <c:ext xmlns:c16="http://schemas.microsoft.com/office/drawing/2014/chart" uri="{C3380CC4-5D6E-409C-BE32-E72D297353CC}">
                  <c16:uniqueId val="{0000000B-5F7F-460E-98D5-FBE0D48244C7}"/>
                </c:ext>
              </c:extLst>
            </c:dLbl>
            <c:dLbl>
              <c:idx val="7"/>
              <c:layout>
                <c:manualLayout>
                  <c:x val="1.4343544441188173E-2"/>
                  <c:y val="8.4200912220315158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5F7F-460E-98D5-FBE0D48244C7}"/>
                </c:ext>
              </c:extLst>
            </c:dLbl>
            <c:dLbl>
              <c:idx val="8"/>
              <c:delete val="1"/>
              <c:extLst>
                <c:ext xmlns:c15="http://schemas.microsoft.com/office/drawing/2012/chart" uri="{CE6537A1-D6FC-4f65-9D91-7224C49458BB}"/>
                <c:ext xmlns:c16="http://schemas.microsoft.com/office/drawing/2014/chart" uri="{C3380CC4-5D6E-409C-BE32-E72D297353CC}">
                  <c16:uniqueId val="{0000000F-5F7F-460E-98D5-FBE0D48244C7}"/>
                </c:ext>
              </c:extLst>
            </c:dLbl>
            <c:dLbl>
              <c:idx val="9"/>
              <c:layout>
                <c:manualLayout>
                  <c:x val="-0.1626738239498802"/>
                  <c:y val="6.43040116996899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F7F-460E-98D5-FBE0D48244C7}"/>
                </c:ext>
              </c:extLst>
            </c:dLbl>
            <c:dLbl>
              <c:idx val="10"/>
              <c:delete val="1"/>
              <c:extLst>
                <c:ext xmlns:c15="http://schemas.microsoft.com/office/drawing/2012/chart" uri="{CE6537A1-D6FC-4f65-9D91-7224C49458BB}"/>
                <c:ext xmlns:c16="http://schemas.microsoft.com/office/drawing/2014/chart" uri="{C3380CC4-5D6E-409C-BE32-E72D297353CC}">
                  <c16:uniqueId val="{00000013-5F7F-460E-98D5-FBE0D48244C7}"/>
                </c:ext>
              </c:extLst>
            </c:dLbl>
            <c:dLbl>
              <c:idx val="11"/>
              <c:delete val="1"/>
              <c:extLst>
                <c:ext xmlns:c15="http://schemas.microsoft.com/office/drawing/2012/chart" uri="{CE6537A1-D6FC-4f65-9D91-7224C49458BB}"/>
                <c:ext xmlns:c16="http://schemas.microsoft.com/office/drawing/2014/chart" uri="{C3380CC4-5D6E-409C-BE32-E72D297353CC}">
                  <c16:uniqueId val="{00000015-5F7F-460E-98D5-FBE0D48244C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'UHM Chts'!$D$102:$D$113</c:f>
              <c:numCache>
                <c:formatCode>"$"#,##0</c:formatCode>
                <c:ptCount val="12"/>
                <c:pt idx="0">
                  <c:v>8581741</c:v>
                </c:pt>
                <c:pt idx="1">
                  <c:v>795202</c:v>
                </c:pt>
                <c:pt idx="2">
                  <c:v>2036680</c:v>
                </c:pt>
                <c:pt idx="3">
                  <c:v>9169986</c:v>
                </c:pt>
                <c:pt idx="4">
                  <c:v>0</c:v>
                </c:pt>
                <c:pt idx="5">
                  <c:v>353323</c:v>
                </c:pt>
                <c:pt idx="6">
                  <c:v>230281</c:v>
                </c:pt>
                <c:pt idx="7">
                  <c:v>933229</c:v>
                </c:pt>
                <c:pt idx="8">
                  <c:v>0</c:v>
                </c:pt>
                <c:pt idx="9">
                  <c:v>0</c:v>
                </c:pt>
                <c:pt idx="10">
                  <c:v>0</c:v>
                </c:pt>
                <c:pt idx="11">
                  <c:v>0</c:v>
                </c:pt>
              </c:numCache>
            </c:numRef>
          </c:val>
          <c:extLst>
            <c:ext xmlns:c16="http://schemas.microsoft.com/office/drawing/2014/chart" uri="{C3380CC4-5D6E-409C-BE32-E72D297353CC}">
              <c16:uniqueId val="{00000017-5F7F-460E-98D5-FBE0D48244C7}"/>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'SHNF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DCC-4C1C-B5C8-174866D04F3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DCC-4C1C-B5C8-174866D04F3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DCC-4C1C-B5C8-174866D04F3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DCC-4C1C-B5C8-174866D04F35}"/>
              </c:ext>
            </c:extLst>
          </c:dPt>
          <c:dLbls>
            <c:dLbl>
              <c:idx val="0"/>
              <c:layout>
                <c:manualLayout>
                  <c:x val="5.320455788578056E-2"/>
                  <c:y val="4.3298126683869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5DCC-4C1C-B5C8-174866D04F35}"/>
                </c:ext>
              </c:extLst>
            </c:dLbl>
            <c:dLbl>
              <c:idx val="1"/>
              <c:layout>
                <c:manualLayout>
                  <c:x val="4.9340384572915966E-2"/>
                  <c:y val="8.142882821941166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DCC-4C1C-B5C8-174866D04F35}"/>
                </c:ext>
              </c:extLst>
            </c:dLbl>
            <c:dLbl>
              <c:idx val="2"/>
              <c:layout>
                <c:manualLayout>
                  <c:x val="-5.527786647589384E-2"/>
                  <c:y val="7.674406635820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DCC-4C1C-B5C8-174866D04F35}"/>
                </c:ext>
              </c:extLst>
            </c:dLbl>
            <c:dLbl>
              <c:idx val="3"/>
              <c:layout>
                <c:manualLayout>
                  <c:x val="1.511851884919474E-2"/>
                  <c:y val="-4.32211541146290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DCC-4C1C-B5C8-174866D04F35}"/>
                </c:ext>
              </c:extLst>
            </c:dLbl>
            <c:dLbl>
              <c:idx val="4"/>
              <c:delete val="1"/>
              <c:extLst>
                <c:ext xmlns:c15="http://schemas.microsoft.com/office/drawing/2012/chart" uri="{CE6537A1-D6FC-4f65-9D91-7224C49458BB}"/>
                <c:ext xmlns:c16="http://schemas.microsoft.com/office/drawing/2014/chart" uri="{C3380CC4-5D6E-409C-BE32-E72D297353CC}">
                  <c16:uniqueId val="{00000007-5DCC-4C1C-B5C8-174866D04F3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'SHNF Chts'!$C$11:$C$15</c:f>
              <c:strCache>
                <c:ptCount val="5"/>
                <c:pt idx="0">
                  <c:v>State of Texas</c:v>
                </c:pt>
                <c:pt idx="1">
                  <c:v>Student &amp; Parent</c:v>
                </c:pt>
                <c:pt idx="2">
                  <c:v>Federal Government</c:v>
                </c:pt>
                <c:pt idx="3">
                  <c:v>Institutional Resources</c:v>
                </c:pt>
                <c:pt idx="4">
                  <c:v>Hospitals, Clinics, Professional Fees</c:v>
                </c:pt>
              </c:strCache>
            </c:strRef>
          </c:cat>
          <c:val>
            <c:numRef>
              <c:f>'SHNF Chts'!$D$11:$D$15</c:f>
              <c:numCache>
                <c:formatCode>"$"#,##0</c:formatCode>
                <c:ptCount val="5"/>
                <c:pt idx="0">
                  <c:v>1141959</c:v>
                </c:pt>
                <c:pt idx="1">
                  <c:v>10092500</c:v>
                </c:pt>
                <c:pt idx="2">
                  <c:v>277251</c:v>
                </c:pt>
                <c:pt idx="3">
                  <c:v>1645779</c:v>
                </c:pt>
                <c:pt idx="4">
                  <c:v>0</c:v>
                </c:pt>
              </c:numCache>
            </c:numRef>
          </c:val>
          <c:extLst>
            <c:ext xmlns:c16="http://schemas.microsoft.com/office/drawing/2014/chart" uri="{C3380CC4-5D6E-409C-BE32-E72D297353CC}">
              <c16:uniqueId val="{00000009-5DCC-4C1C-B5C8-174866D04F35}"/>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'SHNF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429-4814-9F99-22E23CCB9E1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429-4814-9F99-22E23CCB9E1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429-4814-9F99-22E23CCB9E1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7429-4814-9F99-22E23CCB9E1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7429-4814-9F99-22E23CCB9E1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7429-4814-9F99-22E23CCB9E1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7429-4814-9F99-22E23CCB9E1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7429-4814-9F99-22E23CCB9E1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7429-4814-9F99-22E23CCB9E1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7429-4814-9F99-22E23CCB9E1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7429-4814-9F99-22E23CCB9E1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7429-4814-9F99-22E23CCB9E1B}"/>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7429-4814-9F99-22E23CCB9E1B}"/>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7429-4814-9F99-22E23CCB9E1B}"/>
              </c:ext>
            </c:extLst>
          </c:dPt>
          <c:dLbls>
            <c:dLbl>
              <c:idx val="0"/>
              <c:delete val="1"/>
              <c:extLst>
                <c:ext xmlns:c15="http://schemas.microsoft.com/office/drawing/2012/chart" uri="{CE6537A1-D6FC-4f65-9D91-7224C49458BB}"/>
                <c:ext xmlns:c16="http://schemas.microsoft.com/office/drawing/2014/chart" uri="{C3380CC4-5D6E-409C-BE32-E72D297353CC}">
                  <c16:uniqueId val="{0000001C-7429-4814-9F99-22E23CCB9E1B}"/>
                </c:ext>
              </c:extLst>
            </c:dLbl>
            <c:dLbl>
              <c:idx val="1"/>
              <c:layout>
                <c:manualLayout>
                  <c:x val="0.17932370616776827"/>
                  <c:y val="7.4176501062285252E-2"/>
                </c:manualLayout>
              </c:layout>
              <c:tx>
                <c:rich>
                  <a:bodyPr/>
                  <a:lstStyle/>
                  <a:p>
                    <a:fld id="{D4746F4B-2E46-4F2D-9C57-D8181C0F5E23}" type="CATEGORYNAME">
                      <a:rPr lang="en-US"/>
                      <a:pPr/>
                      <a:t>[CATEGORY NAME]</a:t>
                    </a:fld>
                    <a:r>
                      <a:rPr lang="en-US" baseline="0"/>
                      <a:t>, </a:t>
                    </a:r>
                    <a:fld id="{A013BC09-77BE-46B8-BE6A-C0C4F506E398}" type="VALUE">
                      <a:rPr lang="en-US" baseline="0"/>
                      <a:pPr/>
                      <a:t>[VALUE]</a:t>
                    </a:fld>
                    <a:endParaRPr lang="en-US" baseline="0"/>
                  </a:p>
                  <a:p>
                    <a:fld id="{5073F370-FEF0-409F-82BF-12C8FE07A894}" type="PERCENTAGE">
                      <a:rPr lang="en-US" baseline="0"/>
                      <a:pPr/>
                      <a:t>[PERCENTAGE]</a:t>
                    </a:fld>
                    <a:endParaRPr lang="en-US"/>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429-4814-9F99-22E23CCB9E1B}"/>
                </c:ext>
              </c:extLst>
            </c:dLbl>
            <c:dLbl>
              <c:idx val="2"/>
              <c:delete val="1"/>
              <c:extLst>
                <c:ext xmlns:c15="http://schemas.microsoft.com/office/drawing/2012/chart" uri="{CE6537A1-D6FC-4f65-9D91-7224C49458BB}"/>
                <c:ext xmlns:c16="http://schemas.microsoft.com/office/drawing/2014/chart" uri="{C3380CC4-5D6E-409C-BE32-E72D297353CC}">
                  <c16:uniqueId val="{00000003-7429-4814-9F99-22E23CCB9E1B}"/>
                </c:ext>
              </c:extLst>
            </c:dLbl>
            <c:dLbl>
              <c:idx val="3"/>
              <c:delete val="1"/>
              <c:extLst>
                <c:ext xmlns:c15="http://schemas.microsoft.com/office/drawing/2012/chart" uri="{CE6537A1-D6FC-4f65-9D91-7224C49458BB}"/>
                <c:ext xmlns:c16="http://schemas.microsoft.com/office/drawing/2014/chart" uri="{C3380CC4-5D6E-409C-BE32-E72D297353CC}">
                  <c16:uniqueId val="{00000005-7429-4814-9F99-22E23CCB9E1B}"/>
                </c:ext>
              </c:extLst>
            </c:dLbl>
            <c:dLbl>
              <c:idx val="4"/>
              <c:delete val="1"/>
              <c:extLst>
                <c:ext xmlns:c15="http://schemas.microsoft.com/office/drawing/2012/chart" uri="{CE6537A1-D6FC-4f65-9D91-7224C49458BB}"/>
                <c:ext xmlns:c16="http://schemas.microsoft.com/office/drawing/2014/chart" uri="{C3380CC4-5D6E-409C-BE32-E72D297353CC}">
                  <c16:uniqueId val="{00000007-7429-4814-9F99-22E23CCB9E1B}"/>
                </c:ext>
              </c:extLst>
            </c:dLbl>
            <c:dLbl>
              <c:idx val="5"/>
              <c:layout>
                <c:manualLayout>
                  <c:x val="4.4517513367982937E-2"/>
                  <c:y val="0.12786189291999961"/>
                </c:manualLayout>
              </c:layout>
              <c:tx>
                <c:rich>
                  <a:bodyPr/>
                  <a:lstStyle/>
                  <a:p>
                    <a:fld id="{63E32F9C-F1B5-4D39-9D27-2ECA1D7E1211}" type="CATEGORYNAME">
                      <a:rPr lang="en-US"/>
                      <a:pPr/>
                      <a:t>[CATEGORY NAME]</a:t>
                    </a:fld>
                    <a:r>
                      <a:rPr lang="en-US" baseline="0"/>
                      <a:t>, </a:t>
                    </a:r>
                    <a:fld id="{8A0DB061-8DF4-46C2-971A-C1CE27639FCA}" type="VALUE">
                      <a:rPr lang="en-US" baseline="0"/>
                      <a:pPr/>
                      <a:t>[VALUE]</a:t>
                    </a:fld>
                    <a:endParaRPr lang="en-US" baseline="0"/>
                  </a:p>
                  <a:p>
                    <a:fld id="{2B30C26E-570B-4659-9553-35C0815A9803}" type="PERCENTAGE">
                      <a:rPr lang="en-US" baseline="0"/>
                      <a:pPr/>
                      <a:t>[PERCENTAGE]</a:t>
                    </a:fld>
                    <a:endParaRPr lang="en-US"/>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7429-4814-9F99-22E23CCB9E1B}"/>
                </c:ext>
              </c:extLst>
            </c:dLbl>
            <c:dLbl>
              <c:idx val="6"/>
              <c:layout>
                <c:manualLayout>
                  <c:x val="-0.16296669939413894"/>
                  <c:y val="0.22123112187084518"/>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429-4814-9F99-22E23CCB9E1B}"/>
                </c:ext>
              </c:extLst>
            </c:dLbl>
            <c:dLbl>
              <c:idx val="7"/>
              <c:layout>
                <c:manualLayout>
                  <c:x val="-0.15166666998396042"/>
                  <c:y val="9.4450478337084018E-2"/>
                </c:manualLayout>
              </c:layout>
              <c:tx>
                <c:rich>
                  <a:bodyPr wrap="square" lIns="38100" tIns="19050" rIns="38100" bIns="19050" anchor="ctr">
                    <a:noAutofit/>
                  </a:bodyPr>
                  <a:lstStyle/>
                  <a:p>
                    <a:pPr>
                      <a:defRPr/>
                    </a:pPr>
                    <a:fld id="{C337A89E-A3CE-415E-BA32-E3D86E6DD92E}" type="CATEGORYNAME">
                      <a:rPr lang="en-US"/>
                      <a:pPr>
                        <a:defRPr/>
                      </a:pPr>
                      <a:t>[CATEGORY NAME]</a:t>
                    </a:fld>
                    <a:r>
                      <a:rPr lang="en-US" baseline="0"/>
                      <a:t>, </a:t>
                    </a:r>
                    <a:fld id="{38E472CE-BB0C-475A-A5E7-5FAC15A94074}" type="VALUE">
                      <a:rPr lang="en-US" baseline="0"/>
                      <a:pPr>
                        <a:defRPr/>
                      </a:pPr>
                      <a:t>[VALUE]</a:t>
                    </a:fld>
                    <a:endParaRPr lang="en-US" baseline="0"/>
                  </a:p>
                  <a:p>
                    <a:pPr>
                      <a:defRPr/>
                    </a:pPr>
                    <a:fld id="{F17DDFF4-5E4D-49B7-976E-0B6673E5B305}" type="PERCENTAGE">
                      <a:rPr lang="en-US" baseline="0"/>
                      <a:pPr>
                        <a:defRPr/>
                      </a:pPr>
                      <a:t>[PERCENTAGE]</a:t>
                    </a:fld>
                    <a:endParaRPr lang="en-US"/>
                  </a:p>
                </c:rich>
              </c:tx>
              <c:spPr>
                <a:noFill/>
                <a:ln>
                  <a:noFill/>
                </a:ln>
                <a:effectLst/>
              </c:spPr>
              <c:showLegendKey val="0"/>
              <c:showVal val="1"/>
              <c:showCatName val="1"/>
              <c:showSerName val="0"/>
              <c:showPercent val="1"/>
              <c:showBubbleSize val="0"/>
              <c:extLst>
                <c:ext xmlns:c15="http://schemas.microsoft.com/office/drawing/2012/chart" uri="{CE6537A1-D6FC-4f65-9D91-7224C49458BB}">
                  <c15:layout>
                    <c:manualLayout>
                      <c:w val="0.25006944991402996"/>
                      <c:h val="0.12415624325597341"/>
                    </c:manualLayout>
                  </c15:layout>
                  <c15:dlblFieldTable/>
                  <c15:showDataLabelsRange val="0"/>
                </c:ext>
                <c:ext xmlns:c16="http://schemas.microsoft.com/office/drawing/2014/chart" uri="{C3380CC4-5D6E-409C-BE32-E72D297353CC}">
                  <c16:uniqueId val="{0000000D-7429-4814-9F99-22E23CCB9E1B}"/>
                </c:ext>
              </c:extLst>
            </c:dLbl>
            <c:dLbl>
              <c:idx val="8"/>
              <c:delete val="1"/>
              <c:extLst>
                <c:ext xmlns:c15="http://schemas.microsoft.com/office/drawing/2012/chart" uri="{CE6537A1-D6FC-4f65-9D91-7224C49458BB}"/>
                <c:ext xmlns:c16="http://schemas.microsoft.com/office/drawing/2014/chart" uri="{C3380CC4-5D6E-409C-BE32-E72D297353CC}">
                  <c16:uniqueId val="{0000000F-7429-4814-9F99-22E23CCB9E1B}"/>
                </c:ext>
              </c:extLst>
            </c:dLbl>
            <c:dLbl>
              <c:idx val="9"/>
              <c:layout>
                <c:manualLayout>
                  <c:x val="-0.20024796296838648"/>
                  <c:y val="-7.2078833150356431E-2"/>
                </c:manualLayout>
              </c:layout>
              <c:tx>
                <c:rich>
                  <a:bodyPr/>
                  <a:lstStyle/>
                  <a:p>
                    <a:fld id="{24C46EF8-4594-41CB-9D06-F796E4CEB651}" type="CATEGORYNAME">
                      <a:rPr lang="en-US"/>
                      <a:pPr/>
                      <a:t>[CATEGORY NAME]</a:t>
                    </a:fld>
                    <a:r>
                      <a:rPr lang="en-US" baseline="0"/>
                      <a:t>, </a:t>
                    </a:r>
                    <a:fld id="{36A9FB24-6A87-4176-9A4B-F1740DB632DA}" type="VALUE">
                      <a:rPr lang="en-US" baseline="0"/>
                      <a:pPr/>
                      <a:t>[VALUE]</a:t>
                    </a:fld>
                    <a:endParaRPr lang="en-US" baseline="0"/>
                  </a:p>
                  <a:p>
                    <a:fld id="{D8EE38EB-6DFC-4E77-8908-F6C49553BE5C}" type="PERCENTAGE">
                      <a:rPr lang="en-US" baseline="0"/>
                      <a:pPr/>
                      <a:t>[PERCENTAGE]</a:t>
                    </a:fld>
                    <a:endParaRPr lang="en-US"/>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7429-4814-9F99-22E23CCB9E1B}"/>
                </c:ext>
              </c:extLst>
            </c:dLbl>
            <c:dLbl>
              <c:idx val="10"/>
              <c:layout>
                <c:manualLayout>
                  <c:x val="-8.517862536844471E-3"/>
                  <c:y val="-0.12575319935151499"/>
                </c:manualLayout>
              </c:layout>
              <c:tx>
                <c:rich>
                  <a:bodyPr/>
                  <a:lstStyle/>
                  <a:p>
                    <a:fld id="{2CB66F75-7520-4564-A968-C6D6B4A554A1}" type="CATEGORYNAME">
                      <a:rPr lang="en-US"/>
                      <a:pPr/>
                      <a:t>[CATEGORY NAME]</a:t>
                    </a:fld>
                    <a:r>
                      <a:rPr lang="en-US" baseline="0"/>
                      <a:t>, </a:t>
                    </a:r>
                    <a:fld id="{F5CFFE1D-54A2-46EB-9178-711575CA10B6}" type="VALUE">
                      <a:rPr lang="en-US" baseline="0"/>
                      <a:pPr/>
                      <a:t>[VALUE]</a:t>
                    </a:fld>
                    <a:endParaRPr lang="en-US" baseline="0"/>
                  </a:p>
                  <a:p>
                    <a:fld id="{FC2DBE9E-2B8B-4C4C-AA65-32E1BEB84354}" type="PERCENTAGE">
                      <a:rPr lang="en-US" baseline="0"/>
                      <a:pPr/>
                      <a:t>[PERCENTAGE]</a:t>
                    </a:fld>
                    <a:endParaRPr lang="en-US"/>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7429-4814-9F99-22E23CCB9E1B}"/>
                </c:ext>
              </c:extLst>
            </c:dLbl>
            <c:dLbl>
              <c:idx val="11"/>
              <c:layout>
                <c:manualLayout>
                  <c:x val="8.9723981256721666E-2"/>
                  <c:y val="-8.3548015117204194E-2"/>
                </c:manualLayout>
              </c:layout>
              <c:tx>
                <c:rich>
                  <a:bodyPr/>
                  <a:lstStyle/>
                  <a:p>
                    <a:fld id="{D1217886-2159-4752-81B8-5F2EF58FE673}" type="CATEGORYNAME">
                      <a:rPr lang="en-US"/>
                      <a:pPr/>
                      <a:t>[CATEGORY NAME]</a:t>
                    </a:fld>
                    <a:r>
                      <a:rPr lang="en-US" baseline="0"/>
                      <a:t>, </a:t>
                    </a:r>
                    <a:fld id="{A1428A52-E61D-4F7A-869F-A207C03C7BBA}" type="VALUE">
                      <a:rPr lang="en-US" baseline="0"/>
                      <a:pPr/>
                      <a:t>[VALUE]</a:t>
                    </a:fld>
                    <a:endParaRPr lang="en-US" baseline="0"/>
                  </a:p>
                  <a:p>
                    <a:fld id="{6044E59B-138F-48A7-B1E2-D9AFF621B1C3}" type="PERCENTAGE">
                      <a:rPr lang="en-US" baseline="0"/>
                      <a:pPr/>
                      <a:t>[PERCENTAGE]</a:t>
                    </a:fld>
                    <a:endParaRPr lang="en-US"/>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7429-4814-9F99-22E23CCB9E1B}"/>
                </c:ext>
              </c:extLst>
            </c:dLbl>
            <c:dLbl>
              <c:idx val="12"/>
              <c:layout>
                <c:manualLayout>
                  <c:x val="0.26166765664189984"/>
                  <c:y val="-9.3175765430479854E-2"/>
                </c:manualLayout>
              </c:layout>
              <c:tx>
                <c:rich>
                  <a:bodyPr/>
                  <a:lstStyle/>
                  <a:p>
                    <a:fld id="{40EEACF2-A112-4EEF-B6A6-B325CA8B4951}" type="CATEGORYNAME">
                      <a:rPr lang="en-US"/>
                      <a:pPr/>
                      <a:t>[CATEGORY NAME]</a:t>
                    </a:fld>
                    <a:r>
                      <a:rPr lang="en-US" baseline="0"/>
                      <a:t>, </a:t>
                    </a:r>
                    <a:fld id="{4336FE5F-EB93-4F82-A08C-0748B94C48A2}" type="VALUE">
                      <a:rPr lang="en-US" baseline="0"/>
                      <a:pPr/>
                      <a:t>[VALUE]</a:t>
                    </a:fld>
                    <a:endParaRPr lang="en-US" baseline="0"/>
                  </a:p>
                  <a:p>
                    <a:fld id="{A092507A-1F82-4168-AF85-F595550274CC}" type="PERCENTAGE">
                      <a:rPr lang="en-US" baseline="0"/>
                      <a:pPr/>
                      <a:t>[PERCENTAGE]</a:t>
                    </a:fld>
                    <a:endParaRPr lang="en-US"/>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7-7429-4814-9F99-22E23CCB9E1B}"/>
                </c:ext>
              </c:extLst>
            </c:dLbl>
            <c:dLbl>
              <c:idx val="13"/>
              <c:delete val="1"/>
              <c:extLst>
                <c:ext xmlns:c15="http://schemas.microsoft.com/office/drawing/2012/chart" uri="{CE6537A1-D6FC-4f65-9D91-7224C49458BB}"/>
                <c:ext xmlns:c16="http://schemas.microsoft.com/office/drawing/2014/chart" uri="{C3380CC4-5D6E-409C-BE32-E72D297353CC}">
                  <c16:uniqueId val="{00000019-7429-4814-9F99-22E23CCB9E1B}"/>
                </c:ext>
              </c:extLst>
            </c:dLbl>
            <c:dLbl>
              <c:idx val="14"/>
              <c:delete val="1"/>
              <c:extLst>
                <c:ext xmlns:c15="http://schemas.microsoft.com/office/drawing/2012/chart" uri="{CE6537A1-D6FC-4f65-9D91-7224C49458BB}"/>
                <c:ext xmlns:c16="http://schemas.microsoft.com/office/drawing/2014/chart" uri="{C3380CC4-5D6E-409C-BE32-E72D297353CC}">
                  <c16:uniqueId val="{0000001B-7429-4814-9F99-22E23CCB9E1B}"/>
                </c:ext>
              </c:extLst>
            </c:dLbl>
            <c:spPr>
              <a:noFill/>
              <a:ln>
                <a:noFill/>
              </a:ln>
              <a:effectLst/>
            </c:spPr>
            <c:showLegendKey val="0"/>
            <c:showVal val="1"/>
            <c:showCatName val="1"/>
            <c:showSerName val="0"/>
            <c:showPercent val="1"/>
            <c:showBubbleSize val="0"/>
            <c:showLeaderLines val="1"/>
            <c:extLst>
              <c:ext xmlns:c15="http://schemas.microsoft.com/office/drawing/2012/chart" uri="{CE6537A1-D6FC-4f65-9D91-7224C49458BB}"/>
            </c:extLst>
          </c:dLbls>
          <c:cat>
            <c:strRef>
              <c:f>'SHNF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'SHNF Chts'!$D$53:$D$67</c:f>
              <c:numCache>
                <c:formatCode>"$"#,##0</c:formatCode>
                <c:ptCount val="15"/>
                <c:pt idx="0">
                  <c:v>0</c:v>
                </c:pt>
                <c:pt idx="1">
                  <c:v>1141959</c:v>
                </c:pt>
                <c:pt idx="3">
                  <c:v>0</c:v>
                </c:pt>
                <c:pt idx="4">
                  <c:v>0</c:v>
                </c:pt>
                <c:pt idx="5">
                  <c:v>10092500</c:v>
                </c:pt>
                <c:pt idx="6">
                  <c:v>277251</c:v>
                </c:pt>
                <c:pt idx="7">
                  <c:v>8121</c:v>
                </c:pt>
                <c:pt idx="8">
                  <c:v>15755</c:v>
                </c:pt>
                <c:pt idx="9">
                  <c:v>457660</c:v>
                </c:pt>
                <c:pt idx="10">
                  <c:v>146190</c:v>
                </c:pt>
                <c:pt idx="11">
                  <c:v>605605</c:v>
                </c:pt>
                <c:pt idx="12">
                  <c:v>412448</c:v>
                </c:pt>
                <c:pt idx="13">
                  <c:v>0</c:v>
                </c:pt>
                <c:pt idx="14">
                  <c:v>0</c:v>
                </c:pt>
              </c:numCache>
            </c:numRef>
          </c:val>
          <c:extLst>
            <c:ext xmlns:c16="http://schemas.microsoft.com/office/drawing/2014/chart" uri="{C3380CC4-5D6E-409C-BE32-E72D297353CC}">
              <c16:uniqueId val="{0000001D-7429-4814-9F99-22E23CCB9E1B}"/>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'SHNF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451-48C8-8BBD-32ED33999D1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451-48C8-8BBD-32ED33999D1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451-48C8-8BBD-32ED33999D1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451-48C8-8BBD-32ED33999D1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8451-48C8-8BBD-32ED33999D1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8451-48C8-8BBD-32ED33999D1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8451-48C8-8BBD-32ED33999D1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8451-48C8-8BBD-32ED33999D1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8451-48C8-8BBD-32ED33999D1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8451-48C8-8BBD-32ED33999D10}"/>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8451-48C8-8BBD-32ED33999D10}"/>
              </c:ext>
            </c:extLst>
          </c:dPt>
          <c:dLbls>
            <c:dLbl>
              <c:idx val="0"/>
              <c:layout>
                <c:manualLayout>
                  <c:x val="-6.8219366557151398E-2"/>
                  <c:y val="-6.80770126012201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8451-48C8-8BBD-32ED33999D10}"/>
                </c:ext>
              </c:extLst>
            </c:dLbl>
            <c:dLbl>
              <c:idx val="1"/>
              <c:layout>
                <c:manualLayout>
                  <c:x val="-2.8341261253592709E-2"/>
                  <c:y val="-8.67930051714445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451-48C8-8BBD-32ED33999D10}"/>
                </c:ext>
              </c:extLst>
            </c:dLbl>
            <c:dLbl>
              <c:idx val="2"/>
              <c:delete val="1"/>
              <c:extLst>
                <c:ext xmlns:c15="http://schemas.microsoft.com/office/drawing/2012/chart" uri="{CE6537A1-D6FC-4f65-9D91-7224C49458BB}"/>
                <c:ext xmlns:c16="http://schemas.microsoft.com/office/drawing/2014/chart" uri="{C3380CC4-5D6E-409C-BE32-E72D297353CC}">
                  <c16:uniqueId val="{00000003-8451-48C8-8BBD-32ED33999D10}"/>
                </c:ext>
              </c:extLst>
            </c:dLbl>
            <c:dLbl>
              <c:idx val="3"/>
              <c:layout>
                <c:manualLayout>
                  <c:x val="4.9445048762745268E-2"/>
                  <c:y val="-4.62959423692059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451-48C8-8BBD-32ED33999D10}"/>
                </c:ext>
              </c:extLst>
            </c:dLbl>
            <c:dLbl>
              <c:idx val="4"/>
              <c:layout>
                <c:manualLayout>
                  <c:x val="8.8249504328046041E-2"/>
                  <c:y val="-1.7749823407646557E-2"/>
                </c:manualLayout>
              </c:layout>
              <c:tx>
                <c:rich>
                  <a:bodyPr/>
                  <a:lstStyle/>
                  <a:p>
                    <a:fld id="{094809FB-D2AC-4044-80FE-9E3C8EA2E9E8}" type="CATEGORYNAME">
                      <a:rPr lang="en-US"/>
                      <a:pPr/>
                      <a:t>[CATEGORY NAME]</a:t>
                    </a:fld>
                    <a:r>
                      <a:rPr lang="en-US" baseline="0"/>
                      <a:t>
</a:t>
                    </a:r>
                    <a:fld id="{262704F6-E52D-48E2-BFFF-FA82628CD6B5}" type="VALUE">
                      <a:rPr lang="en-US" baseline="0"/>
                      <a:pPr/>
                      <a:t>[VALUE]</a:t>
                    </a:fld>
                    <a:endParaRPr lang="en-US" baseline="0"/>
                  </a:p>
                  <a:p>
                    <a:r>
                      <a:rPr lang="en-US" baseline="0"/>
                      <a:t> </a:t>
                    </a:r>
                    <a:fld id="{032C7B49-8C78-4053-9074-75D1F003701F}"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7-8451-48C8-8BBD-32ED33999D10}"/>
                </c:ext>
              </c:extLst>
            </c:dLbl>
            <c:dLbl>
              <c:idx val="5"/>
              <c:delete val="1"/>
              <c:extLst>
                <c:ext xmlns:c15="http://schemas.microsoft.com/office/drawing/2012/chart" uri="{CE6537A1-D6FC-4f65-9D91-7224C49458BB}"/>
                <c:ext xmlns:c16="http://schemas.microsoft.com/office/drawing/2014/chart" uri="{C3380CC4-5D6E-409C-BE32-E72D297353CC}">
                  <c16:uniqueId val="{00000009-8451-48C8-8BBD-32ED33999D10}"/>
                </c:ext>
              </c:extLst>
            </c:dLbl>
            <c:dLbl>
              <c:idx val="6"/>
              <c:layout>
                <c:manualLayout>
                  <c:x val="0.11780240283403061"/>
                  <c:y val="5.3045297453620473E-2"/>
                </c:manualLayout>
              </c:layout>
              <c:tx>
                <c:rich>
                  <a:bodyPr/>
                  <a:lstStyle/>
                  <a:p>
                    <a:fld id="{F7C4FC48-1C71-4371-837F-188EB7D5309C}" type="CATEGORYNAME">
                      <a:rPr lang="en-US"/>
                      <a:pPr/>
                      <a:t>[CATEGORY NAME]</a:t>
                    </a:fld>
                    <a:r>
                      <a:rPr lang="en-US" baseline="0"/>
                      <a:t>
</a:t>
                    </a:r>
                    <a:fld id="{67CD5DC0-573E-45E2-B05A-2CD3102C3CBB}" type="VALUE">
                      <a:rPr lang="en-US" baseline="0"/>
                      <a:pPr/>
                      <a:t>[VALUE]</a:t>
                    </a:fld>
                    <a:endParaRPr lang="en-US" baseline="0"/>
                  </a:p>
                  <a:p>
                    <a:fld id="{6CA57D4A-394A-4D40-96C3-F02A2AF41073}"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B-8451-48C8-8BBD-32ED33999D10}"/>
                </c:ext>
              </c:extLst>
            </c:dLbl>
            <c:dLbl>
              <c:idx val="7"/>
              <c:delete val="1"/>
              <c:extLst>
                <c:ext xmlns:c15="http://schemas.microsoft.com/office/drawing/2012/chart" uri="{CE6537A1-D6FC-4f65-9D91-7224C49458BB}"/>
                <c:ext xmlns:c16="http://schemas.microsoft.com/office/drawing/2014/chart" uri="{C3380CC4-5D6E-409C-BE32-E72D297353CC}">
                  <c16:uniqueId val="{0000000D-8451-48C8-8BBD-32ED33999D10}"/>
                </c:ext>
              </c:extLst>
            </c:dLbl>
            <c:dLbl>
              <c:idx val="8"/>
              <c:delete val="1"/>
              <c:extLst>
                <c:ext xmlns:c15="http://schemas.microsoft.com/office/drawing/2012/chart" uri="{CE6537A1-D6FC-4f65-9D91-7224C49458BB}"/>
                <c:ext xmlns:c16="http://schemas.microsoft.com/office/drawing/2014/chart" uri="{C3380CC4-5D6E-409C-BE32-E72D297353CC}">
                  <c16:uniqueId val="{0000000F-8451-48C8-8BBD-32ED33999D10}"/>
                </c:ext>
              </c:extLst>
            </c:dLbl>
            <c:dLbl>
              <c:idx val="9"/>
              <c:layout>
                <c:manualLayout>
                  <c:x val="-5.2388782397602716E-2"/>
                  <c:y val="0.145211744564638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8451-48C8-8BBD-32ED33999D10}"/>
                </c:ext>
              </c:extLst>
            </c:dLbl>
            <c:dLbl>
              <c:idx val="10"/>
              <c:delete val="1"/>
              <c:extLst>
                <c:ext xmlns:c15="http://schemas.microsoft.com/office/drawing/2012/chart" uri="{CE6537A1-D6FC-4f65-9D91-7224C49458BB}"/>
                <c:ext xmlns:c16="http://schemas.microsoft.com/office/drawing/2014/chart" uri="{C3380CC4-5D6E-409C-BE32-E72D297353CC}">
                  <c16:uniqueId val="{00000013-8451-48C8-8BBD-32ED33999D10}"/>
                </c:ext>
              </c:extLst>
            </c:dLbl>
            <c:dLbl>
              <c:idx val="11"/>
              <c:layout>
                <c:manualLayout>
                  <c:x val="-0.25261162364449458"/>
                  <c:y val="8.99968395174064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8451-48C8-8BBD-32ED33999D1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'SHNF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'SHNF Chts'!$D$102:$D$113</c:f>
              <c:numCache>
                <c:formatCode>"$"#,##0</c:formatCode>
                <c:ptCount val="12"/>
                <c:pt idx="0">
                  <c:v>9692998</c:v>
                </c:pt>
                <c:pt idx="1">
                  <c:v>351717</c:v>
                </c:pt>
                <c:pt idx="2">
                  <c:v>166411</c:v>
                </c:pt>
                <c:pt idx="3">
                  <c:v>4609254</c:v>
                </c:pt>
                <c:pt idx="4">
                  <c:v>1718989</c:v>
                </c:pt>
                <c:pt idx="5">
                  <c:v>0</c:v>
                </c:pt>
                <c:pt idx="6">
                  <c:v>639509</c:v>
                </c:pt>
                <c:pt idx="7">
                  <c:v>87286</c:v>
                </c:pt>
                <c:pt idx="8">
                  <c:v>0</c:v>
                </c:pt>
                <c:pt idx="9">
                  <c:v>249047</c:v>
                </c:pt>
                <c:pt idx="10">
                  <c:v>0</c:v>
                </c:pt>
                <c:pt idx="11">
                  <c:v>928264</c:v>
                </c:pt>
              </c:numCache>
            </c:numRef>
          </c:val>
          <c:extLst>
            <c:ext xmlns:c16="http://schemas.microsoft.com/office/drawing/2014/chart" uri="{C3380CC4-5D6E-409C-BE32-E72D297353CC}">
              <c16:uniqueId val="{00000017-8451-48C8-8BBD-32ED33999D10}"/>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'UNTHSCPM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F54-4E36-82C1-829C55B04B1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F54-4E36-82C1-829C55B04B1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F54-4E36-82C1-829C55B04B1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F54-4E36-82C1-829C55B04B12}"/>
              </c:ext>
            </c:extLst>
          </c:dPt>
          <c:dLbls>
            <c:delete val="1"/>
          </c:dLbls>
          <c:cat>
            <c:strRef>
              <c:f>'UNTHSCPM Chts'!$C$11:$C$15</c:f>
              <c:strCache>
                <c:ptCount val="5"/>
                <c:pt idx="0">
                  <c:v>State of Texas</c:v>
                </c:pt>
                <c:pt idx="1">
                  <c:v>Student &amp; Parent</c:v>
                </c:pt>
                <c:pt idx="2">
                  <c:v>Federal Government</c:v>
                </c:pt>
                <c:pt idx="3">
                  <c:v>Institutional Resources</c:v>
                </c:pt>
                <c:pt idx="4">
                  <c:v>Hospitals, Clinics, Professional Fees</c:v>
                </c:pt>
              </c:strCache>
            </c:strRef>
          </c:cat>
          <c:val>
            <c:numRef>
              <c:f>'UNTHSCPM Chts'!$D$11:$D$15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9-6F54-4E36-82C1-829C55B04B12}"/>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8842524179991045"/>
          <c:y val="0.34097195719810725"/>
          <c:w val="0.20857386796595917"/>
          <c:h val="0.33202142288670738"/>
        </c:manualLayout>
      </c:layout>
      <c:pieChart>
        <c:varyColors val="1"/>
        <c:ser>
          <c:idx val="0"/>
          <c:order val="0"/>
          <c:tx>
            <c:strRef>
              <c:f>'UNTHSCPM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630-4474-8235-586F14417B4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630-4474-8235-586F14417B4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630-4474-8235-586F14417B4A}"/>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630-4474-8235-586F14417B4A}"/>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630-4474-8235-586F14417B4A}"/>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630-4474-8235-586F14417B4A}"/>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630-4474-8235-586F14417B4A}"/>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630-4474-8235-586F14417B4A}"/>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630-4474-8235-586F14417B4A}"/>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630-4474-8235-586F14417B4A}"/>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1630-4474-8235-586F14417B4A}"/>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1630-4474-8235-586F14417B4A}"/>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1630-4474-8235-586F14417B4A}"/>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1630-4474-8235-586F14417B4A}"/>
              </c:ext>
            </c:extLst>
          </c:dPt>
          <c:dLbls>
            <c:delete val="1"/>
          </c:dLbls>
          <c:cat>
            <c:strRef>
              <c:f>'UNTHSCPM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'UNTHSCPM Chts'!$D$53:$D$67</c:f>
              <c:numCache>
                <c:formatCode>"$"#,##0</c:formatCode>
                <c:ptCount val="15"/>
                <c:pt idx="0">
                  <c:v>0</c:v>
                </c:pt>
                <c:pt idx="1">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D-1630-4474-8235-586F14417B4A}"/>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'UNTHSCPM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CA1-41B7-BE1C-BD2C31126F2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CA1-41B7-BE1C-BD2C31126F2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CA1-41B7-BE1C-BD2C31126F2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CA1-41B7-BE1C-BD2C31126F2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CA1-41B7-BE1C-BD2C31126F2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CA1-41B7-BE1C-BD2C31126F2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CA1-41B7-BE1C-BD2C31126F2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CA1-41B7-BE1C-BD2C31126F2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CA1-41B7-BE1C-BD2C31126F2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CA1-41B7-BE1C-BD2C31126F2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CA1-41B7-BE1C-BD2C31126F25}"/>
              </c:ext>
            </c:extLst>
          </c:dPt>
          <c:dLbls>
            <c:dLbl>
              <c:idx val="0"/>
              <c:layout>
                <c:manualLayout>
                  <c:x val="-8.9453411989397297E-2"/>
                  <c:y val="0.1020525112473713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6-9CA1-41B7-BE1C-BD2C31126F25}"/>
                </c:ext>
              </c:extLst>
            </c:dLbl>
            <c:dLbl>
              <c:idx val="1"/>
              <c:delete val="1"/>
              <c:extLst>
                <c:ext xmlns:c15="http://schemas.microsoft.com/office/drawing/2012/chart" uri="{CE6537A1-D6FC-4f65-9D91-7224C49458BB}"/>
                <c:ext xmlns:c16="http://schemas.microsoft.com/office/drawing/2014/chart" uri="{C3380CC4-5D6E-409C-BE32-E72D297353CC}">
                  <c16:uniqueId val="{00000001-9CA1-41B7-BE1C-BD2C31126F25}"/>
                </c:ext>
              </c:extLst>
            </c:dLbl>
            <c:dLbl>
              <c:idx val="2"/>
              <c:delete val="1"/>
              <c:extLst>
                <c:ext xmlns:c15="http://schemas.microsoft.com/office/drawing/2012/chart" uri="{CE6537A1-D6FC-4f65-9D91-7224C49458BB}"/>
                <c:ext xmlns:c16="http://schemas.microsoft.com/office/drawing/2014/chart" uri="{C3380CC4-5D6E-409C-BE32-E72D297353CC}">
                  <c16:uniqueId val="{00000003-9CA1-41B7-BE1C-BD2C31126F25}"/>
                </c:ext>
              </c:extLst>
            </c:dLbl>
            <c:dLbl>
              <c:idx val="3"/>
              <c:layout>
                <c:manualLayout>
                  <c:x val="5.5504666430452862E-2"/>
                  <c:y val="-8.57631291325951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CA1-41B7-BE1C-BD2C31126F25}"/>
                </c:ext>
              </c:extLst>
            </c:dLbl>
            <c:dLbl>
              <c:idx val="4"/>
              <c:delete val="1"/>
              <c:extLst>
                <c:ext xmlns:c15="http://schemas.microsoft.com/office/drawing/2012/chart" uri="{CE6537A1-D6FC-4f65-9D91-7224C49458BB}"/>
                <c:ext xmlns:c16="http://schemas.microsoft.com/office/drawing/2014/chart" uri="{C3380CC4-5D6E-409C-BE32-E72D297353CC}">
                  <c16:uniqueId val="{00000007-9CA1-41B7-BE1C-BD2C31126F25}"/>
                </c:ext>
              </c:extLst>
            </c:dLbl>
            <c:dLbl>
              <c:idx val="5"/>
              <c:layout>
                <c:manualLayout>
                  <c:x val="2.2821188125935751E-2"/>
                  <c:y val="7.40763357545053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CA1-41B7-BE1C-BD2C31126F25}"/>
                </c:ext>
              </c:extLst>
            </c:dLbl>
            <c:dLbl>
              <c:idx val="6"/>
              <c:delete val="1"/>
              <c:extLst>
                <c:ext xmlns:c15="http://schemas.microsoft.com/office/drawing/2012/chart" uri="{CE6537A1-D6FC-4f65-9D91-7224C49458BB}"/>
                <c:ext xmlns:c16="http://schemas.microsoft.com/office/drawing/2014/chart" uri="{C3380CC4-5D6E-409C-BE32-E72D297353CC}">
                  <c16:uniqueId val="{0000000B-9CA1-41B7-BE1C-BD2C31126F25}"/>
                </c:ext>
              </c:extLst>
            </c:dLbl>
            <c:dLbl>
              <c:idx val="7"/>
              <c:delete val="1"/>
              <c:extLst>
                <c:ext xmlns:c15="http://schemas.microsoft.com/office/drawing/2012/chart" uri="{CE6537A1-D6FC-4f65-9D91-7224C49458BB}"/>
                <c:ext xmlns:c16="http://schemas.microsoft.com/office/drawing/2014/chart" uri="{C3380CC4-5D6E-409C-BE32-E72D297353CC}">
                  <c16:uniqueId val="{0000000D-9CA1-41B7-BE1C-BD2C31126F25}"/>
                </c:ext>
              </c:extLst>
            </c:dLbl>
            <c:dLbl>
              <c:idx val="8"/>
              <c:delete val="1"/>
              <c:extLst>
                <c:ext xmlns:c15="http://schemas.microsoft.com/office/drawing/2012/chart" uri="{CE6537A1-D6FC-4f65-9D91-7224C49458BB}"/>
                <c:ext xmlns:c16="http://schemas.microsoft.com/office/drawing/2014/chart" uri="{C3380CC4-5D6E-409C-BE32-E72D297353CC}">
                  <c16:uniqueId val="{0000000F-9CA1-41B7-BE1C-BD2C31126F25}"/>
                </c:ext>
              </c:extLst>
            </c:dLbl>
            <c:dLbl>
              <c:idx val="9"/>
              <c:delete val="1"/>
              <c:extLst>
                <c:ext xmlns:c15="http://schemas.microsoft.com/office/drawing/2012/chart" uri="{CE6537A1-D6FC-4f65-9D91-7224C49458BB}"/>
                <c:ext xmlns:c16="http://schemas.microsoft.com/office/drawing/2014/chart" uri="{C3380CC4-5D6E-409C-BE32-E72D297353CC}">
                  <c16:uniqueId val="{00000011-9CA1-41B7-BE1C-BD2C31126F25}"/>
                </c:ext>
              </c:extLst>
            </c:dLbl>
            <c:dLbl>
              <c:idx val="10"/>
              <c:delete val="1"/>
              <c:extLst>
                <c:ext xmlns:c15="http://schemas.microsoft.com/office/drawing/2012/chart" uri="{CE6537A1-D6FC-4f65-9D91-7224C49458BB}"/>
                <c:ext xmlns:c16="http://schemas.microsoft.com/office/drawing/2014/chart" uri="{C3380CC4-5D6E-409C-BE32-E72D297353CC}">
                  <c16:uniqueId val="{00000013-9CA1-41B7-BE1C-BD2C31126F25}"/>
                </c:ext>
              </c:extLst>
            </c:dLbl>
            <c:dLbl>
              <c:idx val="11"/>
              <c:delete val="1"/>
              <c:extLst>
                <c:ext xmlns:c15="http://schemas.microsoft.com/office/drawing/2012/chart" uri="{CE6537A1-D6FC-4f65-9D91-7224C49458BB}"/>
                <c:ext xmlns:c16="http://schemas.microsoft.com/office/drawing/2014/chart" uri="{C3380CC4-5D6E-409C-BE32-E72D297353CC}">
                  <c16:uniqueId val="{00000015-9CA1-41B7-BE1C-BD2C31126F25}"/>
                </c:ext>
              </c:extLst>
            </c:dLbl>
            <c:spPr>
              <a:noFill/>
              <a:ln>
                <a:noFill/>
              </a:ln>
              <a:effectLst/>
            </c:spPr>
            <c:txPr>
              <a:bodyPr wrap="square" lIns="38100" tIns="19050" rIns="38100" bIns="19050" anchor="ctr">
                <a:spAutoFit/>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'UNTHSCPM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'UNTHSCPM Chts'!$D$102:$D$113</c:f>
              <c:numCache>
                <c:formatCode>"$"#,##0</c:formatCode>
                <c:ptCount val="12"/>
                <c:pt idx="0">
                  <c:v>21649</c:v>
                </c:pt>
                <c:pt idx="1">
                  <c:v>0</c:v>
                </c:pt>
                <c:pt idx="2">
                  <c:v>0</c:v>
                </c:pt>
                <c:pt idx="3">
                  <c:v>534571</c:v>
                </c:pt>
                <c:pt idx="4">
                  <c:v>0</c:v>
                </c:pt>
                <c:pt idx="5">
                  <c:v>181</c:v>
                </c:pt>
                <c:pt idx="6">
                  <c:v>0</c:v>
                </c:pt>
                <c:pt idx="7">
                  <c:v>0</c:v>
                </c:pt>
                <c:pt idx="8">
                  <c:v>0</c:v>
                </c:pt>
                <c:pt idx="9">
                  <c:v>0</c:v>
                </c:pt>
                <c:pt idx="10">
                  <c:v>0</c:v>
                </c:pt>
                <c:pt idx="11">
                  <c:v>0</c:v>
                </c:pt>
              </c:numCache>
            </c:numRef>
          </c:val>
          <c:extLst>
            <c:ext xmlns:c16="http://schemas.microsoft.com/office/drawing/2014/chart" uri="{C3380CC4-5D6E-409C-BE32-E72D297353CC}">
              <c16:uniqueId val="{00000017-9CA1-41B7-BE1C-BD2C31126F25}"/>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'UNTHSC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61F-4A62-9637-19AA73EB04F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61F-4A62-9637-19AA73EB04F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61F-4A62-9637-19AA73EB04F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61F-4A62-9637-19AA73EB04FC}"/>
              </c:ext>
            </c:extLst>
          </c:dPt>
          <c:dLbls>
            <c:dLbl>
              <c:idx val="0"/>
              <c:layout>
                <c:manualLayout>
                  <c:x val="4.1167520585466244E-2"/>
                  <c:y val="-9.087562636428218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361F-4A62-9637-19AA73EB04FC}"/>
                </c:ext>
              </c:extLst>
            </c:dLbl>
            <c:dLbl>
              <c:idx val="1"/>
              <c:layout>
                <c:manualLayout>
                  <c:x val="0.10712792593601471"/>
                  <c:y val="9.47428187988746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61F-4A62-9637-19AA73EB04FC}"/>
                </c:ext>
              </c:extLst>
            </c:dLbl>
            <c:dLbl>
              <c:idx val="2"/>
              <c:layout>
                <c:manualLayout>
                  <c:x val="-1.2151057425292886E-2"/>
                  <c:y val="7.09937626561392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61F-4A62-9637-19AA73EB04FC}"/>
                </c:ext>
              </c:extLst>
            </c:dLbl>
            <c:dLbl>
              <c:idx val="3"/>
              <c:layout>
                <c:manualLayout>
                  <c:x val="-9.5622224313696949E-2"/>
                  <c:y val="7.945199152939513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61F-4A62-9637-19AA73EB04FC}"/>
                </c:ext>
              </c:extLst>
            </c:dLbl>
            <c:dLbl>
              <c:idx val="4"/>
              <c:layout>
                <c:manualLayout>
                  <c:x val="1.4694189589403389E-2"/>
                  <c:y val="-7.02908974503515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61F-4A62-9637-19AA73EB04F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'UNTHSC Chts'!$C$11:$C$15</c:f>
              <c:strCache>
                <c:ptCount val="5"/>
                <c:pt idx="0">
                  <c:v>State of Texas</c:v>
                </c:pt>
                <c:pt idx="1">
                  <c:v>Student &amp; Parent</c:v>
                </c:pt>
                <c:pt idx="2">
                  <c:v>Federal Government</c:v>
                </c:pt>
                <c:pt idx="3">
                  <c:v>Institutional Resources</c:v>
                </c:pt>
                <c:pt idx="4">
                  <c:v>Hospitals, Clinics, Professional Fees</c:v>
                </c:pt>
              </c:strCache>
            </c:strRef>
          </c:cat>
          <c:val>
            <c:numRef>
              <c:f>'UNTHSC Chts'!$D$11:$D$15</c:f>
              <c:numCache>
                <c:formatCode>"$"#,##0</c:formatCode>
                <c:ptCount val="5"/>
                <c:pt idx="0">
                  <c:v>129494349</c:v>
                </c:pt>
                <c:pt idx="1">
                  <c:v>34477812</c:v>
                </c:pt>
                <c:pt idx="2">
                  <c:v>55261728</c:v>
                </c:pt>
                <c:pt idx="3">
                  <c:v>80925325</c:v>
                </c:pt>
                <c:pt idx="4">
                  <c:v>12885666</c:v>
                </c:pt>
              </c:numCache>
            </c:numRef>
          </c:val>
          <c:extLst>
            <c:ext xmlns:c16="http://schemas.microsoft.com/office/drawing/2014/chart" uri="{C3380CC4-5D6E-409C-BE32-E72D297353CC}">
              <c16:uniqueId val="{00000009-361F-4A62-9637-19AA73EB04FC}"/>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819359394779152"/>
          <c:y val="2.1530303467732811E-2"/>
        </c:manualLayout>
      </c:layout>
      <c:overlay val="0"/>
      <c:spPr>
        <a:noFill/>
        <a:ln w="25400">
          <a:noFill/>
        </a:ln>
      </c:spPr>
    </c:title>
    <c:autoTitleDeleted val="0"/>
    <c:plotArea>
      <c:layout>
        <c:manualLayout>
          <c:layoutTarget val="inner"/>
          <c:xMode val="edge"/>
          <c:yMode val="edge"/>
          <c:x val="0.39324005936665973"/>
          <c:y val="0.33858311108606193"/>
          <c:w val="0.21406396749309778"/>
          <c:h val="0.33246887876264647"/>
        </c:manualLayout>
      </c:layout>
      <c:pieChart>
        <c:varyColors val="1"/>
        <c:ser>
          <c:idx val="0"/>
          <c:order val="0"/>
          <c:tx>
            <c:strRef>
              <c:f>'SWM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3E4-4500-983B-4C8F057783A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3E4-4500-983B-4C8F057783A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3E4-4500-983B-4C8F057783A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3E4-4500-983B-4C8F057783A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3E4-4500-983B-4C8F057783A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3E4-4500-983B-4C8F057783A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3E4-4500-983B-4C8F057783A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3E4-4500-983B-4C8F057783A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3E4-4500-983B-4C8F057783A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3E4-4500-983B-4C8F057783A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3E4-4500-983B-4C8F057783A9}"/>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03E4-4500-983B-4C8F057783A9}"/>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03E4-4500-983B-4C8F057783A9}"/>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03E4-4500-983B-4C8F057783A9}"/>
              </c:ext>
            </c:extLst>
          </c:dPt>
          <c:dLbls>
            <c:dLbl>
              <c:idx val="0"/>
              <c:layout>
                <c:manualLayout>
                  <c:x val="-0.31190696260215373"/>
                  <c:y val="1.9829089826777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03E4-4500-983B-4C8F057783A9}"/>
                </c:ext>
              </c:extLst>
            </c:dLbl>
            <c:dLbl>
              <c:idx val="1"/>
              <c:layout>
                <c:manualLayout>
                  <c:x val="-0.17316966878619647"/>
                  <c:y val="-9.86155335432662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3E4-4500-983B-4C8F057783A9}"/>
                </c:ext>
              </c:extLst>
            </c:dLbl>
            <c:dLbl>
              <c:idx val="2"/>
              <c:delete val="1"/>
              <c:extLst>
                <c:ext xmlns:c15="http://schemas.microsoft.com/office/drawing/2012/chart" uri="{CE6537A1-D6FC-4f65-9D91-7224C49458BB}"/>
                <c:ext xmlns:c16="http://schemas.microsoft.com/office/drawing/2014/chart" uri="{C3380CC4-5D6E-409C-BE32-E72D297353CC}">
                  <c16:uniqueId val="{00000003-03E4-4500-983B-4C8F057783A9}"/>
                </c:ext>
              </c:extLst>
            </c:dLbl>
            <c:dLbl>
              <c:idx val="3"/>
              <c:delete val="1"/>
              <c:extLst>
                <c:ext xmlns:c15="http://schemas.microsoft.com/office/drawing/2012/chart" uri="{CE6537A1-D6FC-4f65-9D91-7224C49458BB}"/>
                <c:ext xmlns:c16="http://schemas.microsoft.com/office/drawing/2014/chart" uri="{C3380CC4-5D6E-409C-BE32-E72D297353CC}">
                  <c16:uniqueId val="{00000005-03E4-4500-983B-4C8F057783A9}"/>
                </c:ext>
              </c:extLst>
            </c:dLbl>
            <c:dLbl>
              <c:idx val="4"/>
              <c:delete val="1"/>
              <c:extLst>
                <c:ext xmlns:c15="http://schemas.microsoft.com/office/drawing/2012/chart" uri="{CE6537A1-D6FC-4f65-9D91-7224C49458BB}"/>
                <c:ext xmlns:c16="http://schemas.microsoft.com/office/drawing/2014/chart" uri="{C3380CC4-5D6E-409C-BE32-E72D297353CC}">
                  <c16:uniqueId val="{00000007-03E4-4500-983B-4C8F057783A9}"/>
                </c:ext>
              </c:extLst>
            </c:dLbl>
            <c:dLbl>
              <c:idx val="5"/>
              <c:layout>
                <c:manualLayout>
                  <c:x val="1.9288358913777653E-2"/>
                  <c:y val="-0.137519030460305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3E4-4500-983B-4C8F057783A9}"/>
                </c:ext>
              </c:extLst>
            </c:dLbl>
            <c:dLbl>
              <c:idx val="6"/>
              <c:layout>
                <c:manualLayout>
                  <c:x val="0.14206179114164952"/>
                  <c:y val="-0.1006618761415834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3E4-4500-983B-4C8F057783A9}"/>
                </c:ext>
              </c:extLst>
            </c:dLbl>
            <c:dLbl>
              <c:idx val="7"/>
              <c:layout>
                <c:manualLayout>
                  <c:x val="0.11219505537416802"/>
                  <c:y val="-1.732885581953845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3E4-4500-983B-4C8F057783A9}"/>
                </c:ext>
              </c:extLst>
            </c:dLbl>
            <c:dLbl>
              <c:idx val="8"/>
              <c:layout>
                <c:manualLayout>
                  <c:x val="0.12345869040054723"/>
                  <c:y val="5.91640915854001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03E4-4500-983B-4C8F057783A9}"/>
                </c:ext>
              </c:extLst>
            </c:dLbl>
            <c:dLbl>
              <c:idx val="9"/>
              <c:layout>
                <c:manualLayout>
                  <c:x val="0.11691727085649112"/>
                  <c:y val="0.102743075676964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3E4-4500-983B-4C8F057783A9}"/>
                </c:ext>
              </c:extLst>
            </c:dLbl>
            <c:dLbl>
              <c:idx val="10"/>
              <c:layout>
                <c:manualLayout>
                  <c:x val="0.1138581570554863"/>
                  <c:y val="0.169359340013945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3E4-4500-983B-4C8F057783A9}"/>
                </c:ext>
              </c:extLst>
            </c:dLbl>
            <c:dLbl>
              <c:idx val="11"/>
              <c:layout>
                <c:manualLayout>
                  <c:x val="-9.2204662257761704E-3"/>
                  <c:y val="0.211652824305862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03E4-4500-983B-4C8F057783A9}"/>
                </c:ext>
              </c:extLst>
            </c:dLbl>
            <c:dLbl>
              <c:idx val="12"/>
              <c:layout>
                <c:manualLayout>
                  <c:x val="-0.15558383996311928"/>
                  <c:y val="0.185022424879919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03E4-4500-983B-4C8F057783A9}"/>
                </c:ext>
              </c:extLst>
            </c:dLbl>
            <c:dLbl>
              <c:idx val="13"/>
              <c:layout>
                <c:manualLayout>
                  <c:x val="-0.24893638074498467"/>
                  <c:y val="8.61926413700458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03E4-4500-983B-4C8F057783A9}"/>
                </c:ext>
              </c:extLst>
            </c:dLbl>
            <c:dLbl>
              <c:idx val="14"/>
              <c:layout>
                <c:manualLayout>
                  <c:x val="-8.668241022833599E-2"/>
                  <c:y val="0.1097919897256173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03E4-4500-983B-4C8F057783A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'SWM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'SWM Chts'!$D$53:$D$67</c:f>
              <c:numCache>
                <c:formatCode>"$"#,##0</c:formatCode>
                <c:ptCount val="15"/>
                <c:pt idx="0">
                  <c:v>214022335</c:v>
                </c:pt>
                <c:pt idx="1">
                  <c:v>46301272</c:v>
                </c:pt>
                <c:pt idx="3">
                  <c:v>0</c:v>
                </c:pt>
                <c:pt idx="4">
                  <c:v>0</c:v>
                </c:pt>
                <c:pt idx="5">
                  <c:v>28259863</c:v>
                </c:pt>
                <c:pt idx="6">
                  <c:v>322461621</c:v>
                </c:pt>
                <c:pt idx="7">
                  <c:v>264650983</c:v>
                </c:pt>
                <c:pt idx="8">
                  <c:v>152576008</c:v>
                </c:pt>
                <c:pt idx="9">
                  <c:v>482488023</c:v>
                </c:pt>
                <c:pt idx="10">
                  <c:v>12254959</c:v>
                </c:pt>
                <c:pt idx="11">
                  <c:v>27911529</c:v>
                </c:pt>
                <c:pt idx="12">
                  <c:v>270782311</c:v>
                </c:pt>
                <c:pt idx="13">
                  <c:v>811029427</c:v>
                </c:pt>
                <c:pt idx="14">
                  <c:v>2096225524</c:v>
                </c:pt>
              </c:numCache>
            </c:numRef>
          </c:val>
          <c:extLst>
            <c:ext xmlns:c16="http://schemas.microsoft.com/office/drawing/2014/chart" uri="{C3380CC4-5D6E-409C-BE32-E72D297353CC}">
              <c16:uniqueId val="{0000001D-03E4-4500-983B-4C8F057783A9}"/>
            </c:ext>
          </c:extLst>
        </c:ser>
        <c:dLbls>
          <c:showLegendKey val="0"/>
          <c:showVal val="1"/>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432" r="0.75000000000001432" t="1" header="0.5" footer="0.5"/>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'UNTHSC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AF11-4760-94DE-0761605D911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AF11-4760-94DE-0761605D911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AF11-4760-94DE-0761605D911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AF11-4760-94DE-0761605D911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AF11-4760-94DE-0761605D911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AF11-4760-94DE-0761605D911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AF11-4760-94DE-0761605D911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AF11-4760-94DE-0761605D911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AF11-4760-94DE-0761605D911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AF11-4760-94DE-0761605D911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AF11-4760-94DE-0761605D9118}"/>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AF11-4760-94DE-0761605D9118}"/>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AF11-4760-94DE-0761605D9118}"/>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AF11-4760-94DE-0761605D9118}"/>
              </c:ext>
            </c:extLst>
          </c:dPt>
          <c:dLbls>
            <c:dLbl>
              <c:idx val="0"/>
              <c:layout>
                <c:manualLayout>
                  <c:x val="7.3908830721248847E-2"/>
                  <c:y val="-3.05666481827660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AF11-4760-94DE-0761605D9118}"/>
                </c:ext>
              </c:extLst>
            </c:dLbl>
            <c:dLbl>
              <c:idx val="1"/>
              <c:layout>
                <c:manualLayout>
                  <c:x val="0.13226865264512938"/>
                  <c:y val="-6.7780444189890682E-2"/>
                </c:manualLayout>
              </c:layout>
              <c:tx>
                <c:rich>
                  <a:bodyPr/>
                  <a:lstStyle/>
                  <a:p>
                    <a:fld id="{C6F91F26-C130-4E8E-B20D-C5BB380D10C6}" type="CATEGORYNAME">
                      <a:rPr lang="en-US"/>
                      <a:pPr/>
                      <a:t>[CATEGORY NAME]</a:t>
                    </a:fld>
                    <a:r>
                      <a:rPr lang="en-US" baseline="0"/>
                      <a:t>
</a:t>
                    </a:r>
                    <a:fld id="{3DFFC675-D778-4567-A3FB-8B16C5901428}" type="VALUE">
                      <a:rPr lang="en-US" baseline="0"/>
                      <a:pPr/>
                      <a:t>[VALUE]</a:t>
                    </a:fld>
                    <a:endParaRPr lang="en-US" baseline="0"/>
                  </a:p>
                  <a:p>
                    <a:fld id="{1672755C-D947-4FB0-A908-CBAA1D26B5A7}"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1-AF11-4760-94DE-0761605D9118}"/>
                </c:ext>
              </c:extLst>
            </c:dLbl>
            <c:dLbl>
              <c:idx val="2"/>
              <c:delete val="1"/>
              <c:extLst>
                <c:ext xmlns:c15="http://schemas.microsoft.com/office/drawing/2012/chart" uri="{CE6537A1-D6FC-4f65-9D91-7224C49458BB}"/>
                <c:ext xmlns:c16="http://schemas.microsoft.com/office/drawing/2014/chart" uri="{C3380CC4-5D6E-409C-BE32-E72D297353CC}">
                  <c16:uniqueId val="{00000003-AF11-4760-94DE-0761605D9118}"/>
                </c:ext>
              </c:extLst>
            </c:dLbl>
            <c:dLbl>
              <c:idx val="3"/>
              <c:layout>
                <c:manualLayout>
                  <c:x val="7.4873120622771586E-2"/>
                  <c:y val="6.9948235277514301E-2"/>
                </c:manualLayout>
              </c:layout>
              <c:tx>
                <c:rich>
                  <a:bodyPr/>
                  <a:lstStyle/>
                  <a:p>
                    <a:fld id="{D1A9A118-FB68-47D5-8115-1C7114C3CA76}" type="CATEGORYNAME">
                      <a:rPr lang="en-US"/>
                      <a:pPr/>
                      <a:t>[CATEGORY NAME]</a:t>
                    </a:fld>
                    <a:r>
                      <a:rPr lang="en-US" baseline="0"/>
                      <a:t>
</a:t>
                    </a:r>
                    <a:fld id="{2785B571-6619-4ED8-B0FA-11669D50AC83}" type="VALUE">
                      <a:rPr lang="en-US" baseline="0"/>
                      <a:pPr/>
                      <a:t>[VALUE]</a:t>
                    </a:fld>
                    <a:endParaRPr lang="en-US" baseline="0"/>
                  </a:p>
                  <a:p>
                    <a:fld id="{115B3979-E1CD-42B8-8BD0-D2484A617EB2}"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AF11-4760-94DE-0761605D9118}"/>
                </c:ext>
              </c:extLst>
            </c:dLbl>
            <c:dLbl>
              <c:idx val="4"/>
              <c:delete val="1"/>
              <c:extLst>
                <c:ext xmlns:c15="http://schemas.microsoft.com/office/drawing/2012/chart" uri="{CE6537A1-D6FC-4f65-9D91-7224C49458BB}"/>
                <c:ext xmlns:c16="http://schemas.microsoft.com/office/drawing/2014/chart" uri="{C3380CC4-5D6E-409C-BE32-E72D297353CC}">
                  <c16:uniqueId val="{00000007-AF11-4760-94DE-0761605D9118}"/>
                </c:ext>
              </c:extLst>
            </c:dLbl>
            <c:dLbl>
              <c:idx val="5"/>
              <c:layout>
                <c:manualLayout>
                  <c:x val="6.2402086520896754E-3"/>
                  <c:y val="0.12430780928142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AF11-4760-94DE-0761605D9118}"/>
                </c:ext>
              </c:extLst>
            </c:dLbl>
            <c:dLbl>
              <c:idx val="6"/>
              <c:layout>
                <c:manualLayout>
                  <c:x val="-7.5961287750684336E-3"/>
                  <c:y val="0.15988657392570413"/>
                </c:manualLayout>
              </c:layout>
              <c:tx>
                <c:rich>
                  <a:bodyPr/>
                  <a:lstStyle/>
                  <a:p>
                    <a:fld id="{E0A50D33-7FB3-4D37-AC14-ADB88F3F3C38}" type="CATEGORYNAME">
                      <a:rPr lang="en-US"/>
                      <a:pPr/>
                      <a:t>[CATEGORY NAME]</a:t>
                    </a:fld>
                    <a:r>
                      <a:rPr lang="en-US" baseline="0"/>
                      <a:t>
</a:t>
                    </a:r>
                    <a:fld id="{65ADDC68-05F4-47E2-9981-DAE131E694F0}" type="VALUE">
                      <a:rPr lang="en-US" baseline="0"/>
                      <a:pPr/>
                      <a:t>[VALUE]</a:t>
                    </a:fld>
                    <a:endParaRPr lang="en-US" baseline="0"/>
                  </a:p>
                  <a:p>
                    <a:fld id="{74765162-CC81-482D-872D-F2C05383CA4C}"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B-AF11-4760-94DE-0761605D9118}"/>
                </c:ext>
              </c:extLst>
            </c:dLbl>
            <c:dLbl>
              <c:idx val="7"/>
              <c:layout>
                <c:manualLayout>
                  <c:x val="-8.8316880030261322E-2"/>
                  <c:y val="0.1390266197571533"/>
                </c:manualLayout>
              </c:layout>
              <c:tx>
                <c:rich>
                  <a:bodyPr/>
                  <a:lstStyle/>
                  <a:p>
                    <a:fld id="{7BB42E0C-C8E7-4B16-B21B-39AFFF54347E}" type="CATEGORYNAME">
                      <a:rPr lang="en-US"/>
                      <a:pPr/>
                      <a:t>[CATEGORY NAME]</a:t>
                    </a:fld>
                    <a:r>
                      <a:rPr lang="en-US" baseline="0"/>
                      <a:t>
</a:t>
                    </a:r>
                    <a:fld id="{AEAEBF87-35A6-4985-AAC7-232E5106D820}" type="VALUE">
                      <a:rPr lang="en-US" baseline="0"/>
                      <a:pPr/>
                      <a:t>[VALUE]</a:t>
                    </a:fld>
                    <a:endParaRPr lang="en-US" baseline="0"/>
                  </a:p>
                  <a:p>
                    <a:fld id="{E6EA2EBD-C9A5-4C03-BC6D-B0F0215689AC}"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D-AF11-4760-94DE-0761605D9118}"/>
                </c:ext>
              </c:extLst>
            </c:dLbl>
            <c:dLbl>
              <c:idx val="8"/>
              <c:layout>
                <c:manualLayout>
                  <c:x val="-0.10868515839935458"/>
                  <c:y val="6.3000748568575765E-2"/>
                </c:manualLayout>
              </c:layout>
              <c:tx>
                <c:rich>
                  <a:bodyPr/>
                  <a:lstStyle/>
                  <a:p>
                    <a:fld id="{26A01339-7AC7-441D-9BBF-ED19F589E467}" type="CATEGORYNAME">
                      <a:rPr lang="en-US"/>
                      <a:pPr/>
                      <a:t>[CATEGORY NAME]</a:t>
                    </a:fld>
                    <a:r>
                      <a:rPr lang="en-US" baseline="0"/>
                      <a:t>
</a:t>
                    </a:r>
                    <a:fld id="{4B389EAC-0747-4F38-BEB9-93DDE6F86BD5}" type="VALUE">
                      <a:rPr lang="en-US" baseline="0"/>
                      <a:pPr/>
                      <a:t>[VALUE]</a:t>
                    </a:fld>
                    <a:endParaRPr lang="en-US" baseline="0"/>
                  </a:p>
                  <a:p>
                    <a:fld id="{F188DBCB-987F-4C2F-A20E-148F216DAED4}"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F-AF11-4760-94DE-0761605D9118}"/>
                </c:ext>
              </c:extLst>
            </c:dLbl>
            <c:dLbl>
              <c:idx val="9"/>
              <c:layout>
                <c:manualLayout>
                  <c:x val="-8.4364087584516356E-2"/>
                  <c:y val="-2.906745290868580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AF11-4760-94DE-0761605D9118}"/>
                </c:ext>
              </c:extLst>
            </c:dLbl>
            <c:dLbl>
              <c:idx val="10"/>
              <c:layout>
                <c:manualLayout>
                  <c:x val="-0.12511874726856403"/>
                  <c:y val="-2.55714377279738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AF11-4760-94DE-0761605D9118}"/>
                </c:ext>
              </c:extLst>
            </c:dLbl>
            <c:dLbl>
              <c:idx val="11"/>
              <c:layout>
                <c:manualLayout>
                  <c:x val="6.3437176948902885E-2"/>
                  <c:y val="-7.8370660816110271E-2"/>
                </c:manualLayout>
              </c:layout>
              <c:tx>
                <c:rich>
                  <a:bodyPr/>
                  <a:lstStyle/>
                  <a:p>
                    <a:fld id="{CE53D807-CC62-4A4B-8B84-8C9E9432BB37}" type="CATEGORYNAME">
                      <a:rPr lang="en-US"/>
                      <a:pPr/>
                      <a:t>[CATEGORY NAME]</a:t>
                    </a:fld>
                    <a:r>
                      <a:rPr lang="en-US" baseline="0"/>
                      <a:t>
</a:t>
                    </a:r>
                    <a:fld id="{C2F8E897-8715-4428-BBD0-066D4FA9791E}" type="VALUE">
                      <a:rPr lang="en-US" baseline="0"/>
                      <a:pPr/>
                      <a:t>[VALUE]</a:t>
                    </a:fld>
                    <a:endParaRPr lang="en-US" baseline="0"/>
                  </a:p>
                  <a:p>
                    <a:fld id="{5CC93BA6-9F21-4587-9030-AABA9B75A8FF}"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5-AF11-4760-94DE-0761605D9118}"/>
                </c:ext>
              </c:extLst>
            </c:dLbl>
            <c:dLbl>
              <c:idx val="12"/>
              <c:layout>
                <c:manualLayout>
                  <c:x val="-0.10696291426719706"/>
                  <c:y val="-9.8080418492760404E-2"/>
                </c:manualLayout>
              </c:layout>
              <c:tx>
                <c:rich>
                  <a:bodyPr/>
                  <a:lstStyle/>
                  <a:p>
                    <a:fld id="{CDBC7561-508D-4C4B-B74E-86747BDDBC0E}" type="CATEGORYNAME">
                      <a:rPr lang="en-US"/>
                      <a:pPr/>
                      <a:t>[CATEGORY NAME]</a:t>
                    </a:fld>
                    <a:r>
                      <a:rPr lang="en-US" baseline="0"/>
                      <a:t>
</a:t>
                    </a:r>
                    <a:fld id="{8883D2D0-3013-4CA2-B084-87D57CAEA3AD}" type="VALUE">
                      <a:rPr lang="en-US" baseline="0"/>
                      <a:pPr/>
                      <a:t>[VALUE]</a:t>
                    </a:fld>
                    <a:endParaRPr lang="en-US" baseline="0"/>
                  </a:p>
                  <a:p>
                    <a:fld id="{99B0AA7D-ECDC-4267-A0DC-86DEA2F06B8E}"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7-AF11-4760-94DE-0761605D9118}"/>
                </c:ext>
              </c:extLst>
            </c:dLbl>
            <c:dLbl>
              <c:idx val="13"/>
              <c:layout>
                <c:manualLayout>
                  <c:x val="0.2340637919378199"/>
                  <c:y val="-9.6687216530369935E-2"/>
                </c:manualLayout>
              </c:layout>
              <c:tx>
                <c:rich>
                  <a:bodyPr/>
                  <a:lstStyle/>
                  <a:p>
                    <a:fld id="{351BA4B1-311D-4F97-A2B8-4C80F001D66E}" type="CATEGORYNAME">
                      <a:rPr lang="en-US"/>
                      <a:pPr/>
                      <a:t>[CATEGORY NAME]</a:t>
                    </a:fld>
                    <a:r>
                      <a:rPr lang="en-US" baseline="0"/>
                      <a:t>
</a:t>
                    </a:r>
                    <a:fld id="{7FC317FE-6279-4805-A049-B890B806AD45}" type="VALUE">
                      <a:rPr lang="en-US" baseline="0"/>
                      <a:pPr/>
                      <a:t>[VALUE]</a:t>
                    </a:fld>
                    <a:endParaRPr lang="en-US" baseline="0"/>
                  </a:p>
                  <a:p>
                    <a:fld id="{23C6712E-F539-45D9-B8B9-1327E6BB2B27}"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9-AF11-4760-94DE-0761605D9118}"/>
                </c:ext>
              </c:extLst>
            </c:dLbl>
            <c:dLbl>
              <c:idx val="14"/>
              <c:delete val="1"/>
              <c:extLst>
                <c:ext xmlns:c15="http://schemas.microsoft.com/office/drawing/2012/chart" uri="{CE6537A1-D6FC-4f65-9D91-7224C49458BB}"/>
                <c:ext xmlns:c16="http://schemas.microsoft.com/office/drawing/2014/chart" uri="{C3380CC4-5D6E-409C-BE32-E72D297353CC}">
                  <c16:uniqueId val="{0000001B-AF11-4760-94DE-0761605D911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'UNTHSC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'UNTHSC Chts'!$D$53:$D$67</c:f>
              <c:numCache>
                <c:formatCode>"$"#,##0</c:formatCode>
                <c:ptCount val="15"/>
                <c:pt idx="0">
                  <c:v>112276178</c:v>
                </c:pt>
                <c:pt idx="1">
                  <c:v>2092669</c:v>
                </c:pt>
                <c:pt idx="3">
                  <c:v>15125502</c:v>
                </c:pt>
                <c:pt idx="4">
                  <c:v>0</c:v>
                </c:pt>
                <c:pt idx="5">
                  <c:v>34477812</c:v>
                </c:pt>
                <c:pt idx="6">
                  <c:v>55261728</c:v>
                </c:pt>
                <c:pt idx="7">
                  <c:v>16617179</c:v>
                </c:pt>
                <c:pt idx="8">
                  <c:v>1046856</c:v>
                </c:pt>
                <c:pt idx="9">
                  <c:v>3951843</c:v>
                </c:pt>
                <c:pt idx="10">
                  <c:v>52490499</c:v>
                </c:pt>
                <c:pt idx="11">
                  <c:v>695653</c:v>
                </c:pt>
                <c:pt idx="12">
                  <c:v>6123295</c:v>
                </c:pt>
                <c:pt idx="13">
                  <c:v>12885666</c:v>
                </c:pt>
                <c:pt idx="14">
                  <c:v>0</c:v>
                </c:pt>
              </c:numCache>
            </c:numRef>
          </c:val>
          <c:extLst>
            <c:ext xmlns:c16="http://schemas.microsoft.com/office/drawing/2014/chart" uri="{C3380CC4-5D6E-409C-BE32-E72D297353CC}">
              <c16:uniqueId val="{0000001D-AF11-4760-94DE-0761605D9118}"/>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'UNTHSC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CE7-49DA-8DAE-2D71CB92871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CE7-49DA-8DAE-2D71CB92871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CE7-49DA-8DAE-2D71CB92871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CE7-49DA-8DAE-2D71CB92871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CE7-49DA-8DAE-2D71CB92871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CE7-49DA-8DAE-2D71CB92871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CE7-49DA-8DAE-2D71CB92871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CE7-49DA-8DAE-2D71CB92871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CE7-49DA-8DAE-2D71CB92871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CE7-49DA-8DAE-2D71CB92871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CE7-49DA-8DAE-2D71CB928713}"/>
              </c:ext>
            </c:extLst>
          </c:dPt>
          <c:dLbls>
            <c:dLbl>
              <c:idx val="0"/>
              <c:layout>
                <c:manualLayout>
                  <c:x val="-9.730553136214766E-2"/>
                  <c:y val="-7.99171686302369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5CE7-49DA-8DAE-2D71CB928713}"/>
                </c:ext>
              </c:extLst>
            </c:dLbl>
            <c:dLbl>
              <c:idx val="1"/>
              <c:layout>
                <c:manualLayout>
                  <c:x val="-9.0149361464209793E-2"/>
                  <c:y val="-1.57520689973439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CE7-49DA-8DAE-2D71CB928713}"/>
                </c:ext>
              </c:extLst>
            </c:dLbl>
            <c:dLbl>
              <c:idx val="2"/>
              <c:layout>
                <c:manualLayout>
                  <c:x val="-0.15299885707022357"/>
                  <c:y val="-0.107273056683892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CE7-49DA-8DAE-2D71CB928713}"/>
                </c:ext>
              </c:extLst>
            </c:dLbl>
            <c:dLbl>
              <c:idx val="3"/>
              <c:layout>
                <c:manualLayout>
                  <c:x val="3.3919544881678633E-3"/>
                  <c:y val="-0.2258716421426269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CE7-49DA-8DAE-2D71CB928713}"/>
                </c:ext>
              </c:extLst>
            </c:dLbl>
            <c:dLbl>
              <c:idx val="4"/>
              <c:layout>
                <c:manualLayout>
                  <c:x val="0.12339528680074995"/>
                  <c:y val="-0.11049771230161134"/>
                </c:manualLayout>
              </c:layout>
              <c:tx>
                <c:rich>
                  <a:bodyPr/>
                  <a:lstStyle/>
                  <a:p>
                    <a:fld id="{094809FB-D2AC-4044-80FE-9E3C8EA2E9E8}" type="CATEGORYNAME">
                      <a:rPr lang="en-US"/>
                      <a:pPr/>
                      <a:t>[CATEGORY NAME]</a:t>
                    </a:fld>
                    <a:r>
                      <a:rPr lang="en-US" baseline="0"/>
                      <a:t>
</a:t>
                    </a:r>
                    <a:fld id="{262704F6-E52D-48E2-BFFF-FA82628CD6B5}" type="VALUE">
                      <a:rPr lang="en-US" baseline="0"/>
                      <a:pPr/>
                      <a:t>[VALUE]</a:t>
                    </a:fld>
                    <a:r>
                      <a:rPr lang="en-US" baseline="0"/>
                      <a:t>, </a:t>
                    </a:r>
                    <a:fld id="{032C7B49-8C78-4053-9074-75D1F003701F}"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7-5CE7-49DA-8DAE-2D71CB928713}"/>
                </c:ext>
              </c:extLst>
            </c:dLbl>
            <c:dLbl>
              <c:idx val="5"/>
              <c:layout>
                <c:manualLayout>
                  <c:x val="0.10886775900738301"/>
                  <c:y val="-7.9845692622712655E-2"/>
                </c:manualLayout>
              </c:layout>
              <c:tx>
                <c:rich>
                  <a:bodyPr/>
                  <a:lstStyle/>
                  <a:p>
                    <a:fld id="{D453DA24-10A1-4300-A83B-6D6FA8B112CC}" type="CATEGORYNAME">
                      <a:rPr lang="en-US"/>
                      <a:pPr/>
                      <a:t>[CATEGORY NAME]</a:t>
                    </a:fld>
                    <a:r>
                      <a:rPr lang="en-US" baseline="0"/>
                      <a:t>
</a:t>
                    </a:r>
                    <a:fld id="{E2BA330B-C8F2-4D74-9EAD-E5E1752C8475}" type="VALUE">
                      <a:rPr lang="en-US" baseline="0"/>
                      <a:pPr/>
                      <a:t>[VALUE]</a:t>
                    </a:fld>
                    <a:r>
                      <a:rPr lang="en-US" baseline="0"/>
                      <a:t>, </a:t>
                    </a:r>
                    <a:fld id="{40F711EB-416F-4D79-B49C-A35EB8982459}"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9-5CE7-49DA-8DAE-2D71CB928713}"/>
                </c:ext>
              </c:extLst>
            </c:dLbl>
            <c:dLbl>
              <c:idx val="6"/>
              <c:layout>
                <c:manualLayout>
                  <c:x val="0.13355740877007025"/>
                  <c:y val="-9.4956652909089043E-2"/>
                </c:manualLayout>
              </c:layout>
              <c:tx>
                <c:rich>
                  <a:bodyPr/>
                  <a:lstStyle/>
                  <a:p>
                    <a:fld id="{F7C4FC48-1C71-4371-837F-188EB7D5309C}" type="CATEGORYNAME">
                      <a:rPr lang="en-US"/>
                      <a:pPr/>
                      <a:t>[CATEGORY NAME]</a:t>
                    </a:fld>
                    <a:r>
                      <a:rPr lang="en-US" baseline="0"/>
                      <a:t>
</a:t>
                    </a:r>
                    <a:fld id="{67CD5DC0-573E-45E2-B05A-2CD3102C3CBB}" type="VALUE">
                      <a:rPr lang="en-US" baseline="0"/>
                      <a:pPr/>
                      <a:t>[VALUE]</a:t>
                    </a:fld>
                    <a:r>
                      <a:rPr lang="en-US" baseline="0"/>
                      <a:t>, </a:t>
                    </a:r>
                    <a:fld id="{6CA57D4A-394A-4D40-96C3-F02A2AF41073}"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B-5CE7-49DA-8DAE-2D71CB928713}"/>
                </c:ext>
              </c:extLst>
            </c:dLbl>
            <c:dLbl>
              <c:idx val="7"/>
              <c:layout>
                <c:manualLayout>
                  <c:x val="0.18118791217924923"/>
                  <c:y val="-1.7646027814111415E-2"/>
                </c:manualLayout>
              </c:layout>
              <c:tx>
                <c:rich>
                  <a:bodyPr/>
                  <a:lstStyle/>
                  <a:p>
                    <a:fld id="{8607D897-B206-48C0-AF8C-6DE771C71A81}" type="CATEGORYNAME">
                      <a:rPr lang="en-US"/>
                      <a:pPr/>
                      <a:t>[CATEGORY NAME]</a:t>
                    </a:fld>
                    <a:r>
                      <a:rPr lang="en-US" baseline="0"/>
                      <a:t>
</a:t>
                    </a:r>
                    <a:fld id="{9B3AB4AF-0C02-49E0-9709-C550A1095DAD}" type="VALUE">
                      <a:rPr lang="en-US" baseline="0"/>
                      <a:pPr/>
                      <a:t>[VALUE]</a:t>
                    </a:fld>
                    <a:r>
                      <a:rPr lang="en-US" baseline="0"/>
                      <a:t>, </a:t>
                    </a:r>
                    <a:fld id="{AD3D30D1-2546-4AE3-A39B-9BEE212AE69D}"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D-5CE7-49DA-8DAE-2D71CB928713}"/>
                </c:ext>
              </c:extLst>
            </c:dLbl>
            <c:dLbl>
              <c:idx val="8"/>
              <c:layout>
                <c:manualLayout>
                  <c:x val="0.15256266002519847"/>
                  <c:y val="0.106718806860329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CE7-49DA-8DAE-2D71CB928713}"/>
                </c:ext>
              </c:extLst>
            </c:dLbl>
            <c:dLbl>
              <c:idx val="9"/>
              <c:layout>
                <c:manualLayout>
                  <c:x val="5.7896259154674744E-2"/>
                  <c:y val="0.1511318225791464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CE7-49DA-8DAE-2D71CB928713}"/>
                </c:ext>
              </c:extLst>
            </c:dLbl>
            <c:dLbl>
              <c:idx val="10"/>
              <c:layout>
                <c:manualLayout>
                  <c:x val="-5.0636360053511763E-2"/>
                  <c:y val="0.150013999974517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CE7-49DA-8DAE-2D71CB928713}"/>
                </c:ext>
              </c:extLst>
            </c:dLbl>
            <c:dLbl>
              <c:idx val="11"/>
              <c:layout>
                <c:manualLayout>
                  <c:x val="-0.24170431184262095"/>
                  <c:y val="9.98636362082536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CE7-49DA-8DAE-2D71CB92871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'UNTHSC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'UNTHSC Chts'!$D$102:$D$113</c:f>
              <c:numCache>
                <c:formatCode>"$"#,##0</c:formatCode>
                <c:ptCount val="12"/>
                <c:pt idx="0">
                  <c:v>79560385</c:v>
                </c:pt>
                <c:pt idx="1">
                  <c:v>46416280</c:v>
                </c:pt>
                <c:pt idx="2">
                  <c:v>46516667</c:v>
                </c:pt>
                <c:pt idx="3">
                  <c:v>27944229</c:v>
                </c:pt>
                <c:pt idx="4">
                  <c:v>8018588</c:v>
                </c:pt>
                <c:pt idx="5">
                  <c:v>21860988</c:v>
                </c:pt>
                <c:pt idx="6">
                  <c:v>17048260</c:v>
                </c:pt>
                <c:pt idx="7">
                  <c:v>2612265</c:v>
                </c:pt>
                <c:pt idx="8">
                  <c:v>177508</c:v>
                </c:pt>
                <c:pt idx="9">
                  <c:v>11895376</c:v>
                </c:pt>
                <c:pt idx="10">
                  <c:v>520360</c:v>
                </c:pt>
                <c:pt idx="11">
                  <c:v>0</c:v>
                </c:pt>
              </c:numCache>
            </c:numRef>
          </c:val>
          <c:extLst>
            <c:ext xmlns:c16="http://schemas.microsoft.com/office/drawing/2014/chart" uri="{C3380CC4-5D6E-409C-BE32-E72D297353CC}">
              <c16:uniqueId val="{00000017-5CE7-49DA-8DAE-2D71CB928713}"/>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86"/>
          <c:y val="2.4423337856174877E-2"/>
        </c:manualLayout>
      </c:layout>
      <c:overlay val="0"/>
      <c:spPr>
        <a:noFill/>
        <a:ln w="25400">
          <a:noFill/>
        </a:ln>
      </c:spPr>
    </c:title>
    <c:autoTitleDeleted val="0"/>
    <c:plotArea>
      <c:layout>
        <c:manualLayout>
          <c:layoutTarget val="inner"/>
          <c:xMode val="edge"/>
          <c:yMode val="edge"/>
          <c:x val="0.39554087530968535"/>
          <c:y val="0.37449118046132973"/>
          <c:w val="0.21964252728641179"/>
          <c:h val="0.35225053082094782"/>
        </c:manualLayout>
      </c:layout>
      <c:pieChart>
        <c:varyColors val="1"/>
        <c:ser>
          <c:idx val="0"/>
          <c:order val="0"/>
          <c:tx>
            <c:strRef>
              <c:f>'SWM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901-49FA-9E63-ECE159DCE00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901-49FA-9E63-ECE159DCE00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901-49FA-9E63-ECE159DCE00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901-49FA-9E63-ECE159DCE00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901-49FA-9E63-ECE159DCE00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901-49FA-9E63-ECE159DCE00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901-49FA-9E63-ECE159DCE00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901-49FA-9E63-ECE159DCE00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901-49FA-9E63-ECE159DCE00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901-49FA-9E63-ECE159DCE00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1901-49FA-9E63-ECE159DCE005}"/>
              </c:ext>
            </c:extLst>
          </c:dPt>
          <c:dLbls>
            <c:dLbl>
              <c:idx val="0"/>
              <c:layout>
                <c:manualLayout>
                  <c:x val="2.347535046971462E-2"/>
                  <c:y val="0.144148770271294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1901-49FA-9E63-ECE159DCE005}"/>
                </c:ext>
              </c:extLst>
            </c:dLbl>
            <c:dLbl>
              <c:idx val="1"/>
              <c:layout>
                <c:manualLayout>
                  <c:x val="-0.14417252429657026"/>
                  <c:y val="0.3364550288218636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901-49FA-9E63-ECE159DCE005}"/>
                </c:ext>
              </c:extLst>
            </c:dLbl>
            <c:dLbl>
              <c:idx val="2"/>
              <c:layout>
                <c:manualLayout>
                  <c:x val="-0.21410524673604361"/>
                  <c:y val="0.274298682482345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901-49FA-9E63-ECE159DCE005}"/>
                </c:ext>
              </c:extLst>
            </c:dLbl>
            <c:dLbl>
              <c:idx val="3"/>
              <c:layout>
                <c:manualLayout>
                  <c:x val="-0.22656651851632806"/>
                  <c:y val="0.147160807235847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901-49FA-9E63-ECE159DCE005}"/>
                </c:ext>
              </c:extLst>
            </c:dLbl>
            <c:dLbl>
              <c:idx val="4"/>
              <c:layout>
                <c:manualLayout>
                  <c:x val="-0.23219625033966718"/>
                  <c:y val="2.65592634426439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901-49FA-9E63-ECE159DCE005}"/>
                </c:ext>
              </c:extLst>
            </c:dLbl>
            <c:dLbl>
              <c:idx val="5"/>
              <c:layout>
                <c:manualLayout>
                  <c:x val="-0.18607174510218166"/>
                  <c:y val="-0.1039331375012270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901-49FA-9E63-ECE159DCE005}"/>
                </c:ext>
              </c:extLst>
            </c:dLbl>
            <c:dLbl>
              <c:idx val="6"/>
              <c:layout>
                <c:manualLayout>
                  <c:x val="-5.1445823522437088E-2"/>
                  <c:y val="-0.144741019494986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901-49FA-9E63-ECE159DCE005}"/>
                </c:ext>
              </c:extLst>
            </c:dLbl>
            <c:dLbl>
              <c:idx val="7"/>
              <c:layout>
                <c:manualLayout>
                  <c:x val="8.872291678454898E-2"/>
                  <c:y val="-0.145043279392522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901-49FA-9E63-ECE159DCE005}"/>
                </c:ext>
              </c:extLst>
            </c:dLbl>
            <c:dLbl>
              <c:idx val="8"/>
              <c:layout>
                <c:manualLayout>
                  <c:x val="0.25969301384572063"/>
                  <c:y val="-0.151022309452005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901-49FA-9E63-ECE159DCE005}"/>
                </c:ext>
              </c:extLst>
            </c:dLbl>
            <c:dLbl>
              <c:idx val="9"/>
              <c:layout>
                <c:manualLayout>
                  <c:x val="0.22746986499277919"/>
                  <c:y val="-2.80801929990022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901-49FA-9E63-ECE159DCE005}"/>
                </c:ext>
              </c:extLst>
            </c:dLbl>
            <c:dLbl>
              <c:idx val="10"/>
              <c:layout>
                <c:manualLayout>
                  <c:x val="0.21365712774111537"/>
                  <c:y val="9.39276514685543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901-49FA-9E63-ECE159DCE005}"/>
                </c:ext>
              </c:extLst>
            </c:dLbl>
            <c:dLbl>
              <c:idx val="11"/>
              <c:layout>
                <c:manualLayout>
                  <c:x val="4.3309639325815968E-2"/>
                  <c:y val="0.1678486799350372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1901-49FA-9E63-ECE159DCE005}"/>
                </c:ext>
              </c:extLst>
            </c:dLbl>
            <c:spPr>
              <a:noFill/>
              <a:ln>
                <a:noFill/>
              </a:ln>
              <a:effectLst/>
            </c:spPr>
            <c:txPr>
              <a:bodyPr/>
              <a:lstStyle/>
              <a:p>
                <a:pPr>
                  <a:defRPr sz="1475"/>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'SWM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'SWM Chts'!$D$102:$D$113</c:f>
              <c:numCache>
                <c:formatCode>"$"#,##0</c:formatCode>
                <c:ptCount val="12"/>
                <c:pt idx="0">
                  <c:v>1242718341</c:v>
                </c:pt>
                <c:pt idx="1">
                  <c:v>482007838</c:v>
                </c:pt>
                <c:pt idx="2">
                  <c:v>26962684</c:v>
                </c:pt>
                <c:pt idx="3">
                  <c:v>81066106</c:v>
                </c:pt>
                <c:pt idx="4">
                  <c:v>2151420</c:v>
                </c:pt>
                <c:pt idx="5">
                  <c:v>99924687</c:v>
                </c:pt>
                <c:pt idx="6">
                  <c:v>106957127</c:v>
                </c:pt>
                <c:pt idx="7">
                  <c:v>5396963</c:v>
                </c:pt>
                <c:pt idx="8">
                  <c:v>36039161</c:v>
                </c:pt>
                <c:pt idx="9">
                  <c:v>4601955</c:v>
                </c:pt>
                <c:pt idx="10">
                  <c:v>12004333</c:v>
                </c:pt>
                <c:pt idx="11">
                  <c:v>2011784833</c:v>
                </c:pt>
              </c:numCache>
            </c:numRef>
          </c:val>
          <c:extLst>
            <c:ext xmlns:c16="http://schemas.microsoft.com/office/drawing/2014/chart" uri="{C3380CC4-5D6E-409C-BE32-E72D297353CC}">
              <c16:uniqueId val="{00000017-1901-49FA-9E63-ECE159DCE005}"/>
            </c:ext>
          </c:extLst>
        </c:ser>
        <c:dLbls>
          <c:showLegendKey val="0"/>
          <c:showVal val="1"/>
          <c:showCatName val="0"/>
          <c:showSerName val="0"/>
          <c:showPercent val="0"/>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432" r="0.75000000000001432"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599862079489585"/>
          <c:y val="2.954147192354924E-2"/>
        </c:manualLayout>
      </c:layout>
      <c:overlay val="0"/>
      <c:spPr>
        <a:noFill/>
        <a:ln w="25400">
          <a:noFill/>
        </a:ln>
      </c:spPr>
    </c:title>
    <c:autoTitleDeleted val="0"/>
    <c:plotArea>
      <c:layout>
        <c:manualLayout>
          <c:layoutTarget val="inner"/>
          <c:xMode val="edge"/>
          <c:yMode val="edge"/>
          <c:x val="0.38839051544046527"/>
          <c:y val="0.33977695614835995"/>
          <c:w val="0.21884519327621113"/>
          <c:h val="0.33803784548789634"/>
        </c:manualLayout>
      </c:layout>
      <c:pieChart>
        <c:varyColors val="1"/>
        <c:ser>
          <c:idx val="0"/>
          <c:order val="0"/>
          <c:tx>
            <c:strRef>
              <c:f>'MBG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4EA-45B0-95D1-422521ADBC5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4EA-45B0-95D1-422521ADBC5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4EA-45B0-95D1-422521ADBC5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4EA-45B0-95D1-422521ADBC5D}"/>
              </c:ext>
            </c:extLst>
          </c:dPt>
          <c:dLbls>
            <c:dLbl>
              <c:idx val="0"/>
              <c:layout>
                <c:manualLayout>
                  <c:x val="1.3141601337305367E-2"/>
                  <c:y val="-9.5289187495547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44EA-45B0-95D1-422521ADBC5D}"/>
                </c:ext>
              </c:extLst>
            </c:dLbl>
            <c:dLbl>
              <c:idx val="1"/>
              <c:layout>
                <c:manualLayout>
                  <c:x val="9.7520948473044947E-2"/>
                  <c:y val="-2.974492192263621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4EA-45B0-95D1-422521ADBC5D}"/>
                </c:ext>
              </c:extLst>
            </c:dLbl>
            <c:dLbl>
              <c:idx val="2"/>
              <c:layout>
                <c:manualLayout>
                  <c:x val="8.033092185034095E-2"/>
                  <c:y val="0.125405690779107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4EA-45B0-95D1-422521ADBC5D}"/>
                </c:ext>
              </c:extLst>
            </c:dLbl>
            <c:dLbl>
              <c:idx val="3"/>
              <c:layout>
                <c:manualLayout>
                  <c:x val="-7.8658816243631149E-2"/>
                  <c:y val="0.182682799314672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4EA-45B0-95D1-422521ADBC5D}"/>
                </c:ext>
              </c:extLst>
            </c:dLbl>
            <c:dLbl>
              <c:idx val="4"/>
              <c:layout>
                <c:manualLayout>
                  <c:x val="-7.26121479865591E-2"/>
                  <c:y val="2.34635065447824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4EA-45B0-95D1-422521ADBC5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'MBG Chts'!$C$11:$C$15</c:f>
              <c:strCache>
                <c:ptCount val="5"/>
                <c:pt idx="0">
                  <c:v>State of Texas</c:v>
                </c:pt>
                <c:pt idx="1">
                  <c:v>Student &amp; Parent</c:v>
                </c:pt>
                <c:pt idx="2">
                  <c:v>Federal Government</c:v>
                </c:pt>
                <c:pt idx="3">
                  <c:v>Institutional Resources</c:v>
                </c:pt>
                <c:pt idx="4">
                  <c:v>Hospitals, Clinics, Professional Fees</c:v>
                </c:pt>
              </c:strCache>
            </c:strRef>
          </c:cat>
          <c:val>
            <c:numRef>
              <c:f>'MBG Chts'!$D$11:$D$15</c:f>
              <c:numCache>
                <c:formatCode>"$"#,##0</c:formatCode>
                <c:ptCount val="5"/>
                <c:pt idx="0">
                  <c:v>392636564</c:v>
                </c:pt>
                <c:pt idx="1">
                  <c:v>51191427</c:v>
                </c:pt>
                <c:pt idx="2">
                  <c:v>179173759</c:v>
                </c:pt>
                <c:pt idx="3">
                  <c:v>338860128</c:v>
                </c:pt>
                <c:pt idx="4">
                  <c:v>1795592701</c:v>
                </c:pt>
              </c:numCache>
            </c:numRef>
          </c:val>
          <c:extLst>
            <c:ext xmlns:c16="http://schemas.microsoft.com/office/drawing/2014/chart" uri="{C3380CC4-5D6E-409C-BE32-E72D297353CC}">
              <c16:uniqueId val="{00000009-44EA-45B0-95D1-422521ADBC5D}"/>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430202326920333"/>
          <c:y val="0.31790076251311788"/>
          <c:w val="0.22074943536301794"/>
          <c:h val="0.34285227038500005"/>
        </c:manualLayout>
      </c:layout>
      <c:pieChart>
        <c:varyColors val="1"/>
        <c:ser>
          <c:idx val="0"/>
          <c:order val="0"/>
          <c:tx>
            <c:strRef>
              <c:f>'MBG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813-4855-935F-BF358C2AC97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813-4855-935F-BF358C2AC97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813-4855-935F-BF358C2AC97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813-4855-935F-BF358C2AC97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813-4855-935F-BF358C2AC97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813-4855-935F-BF358C2AC97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813-4855-935F-BF358C2AC97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813-4855-935F-BF358C2AC97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813-4855-935F-BF358C2AC97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813-4855-935F-BF358C2AC97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C813-4855-935F-BF358C2AC979}"/>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C813-4855-935F-BF358C2AC979}"/>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C813-4855-935F-BF358C2AC979}"/>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C813-4855-935F-BF358C2AC979}"/>
              </c:ext>
            </c:extLst>
          </c:dPt>
          <c:dLbls>
            <c:dLbl>
              <c:idx val="0"/>
              <c:layout>
                <c:manualLayout>
                  <c:x val="-0.26367869984949965"/>
                  <c:y val="-9.95509581506485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C813-4855-935F-BF358C2AC979}"/>
                </c:ext>
              </c:extLst>
            </c:dLbl>
            <c:dLbl>
              <c:idx val="1"/>
              <c:layout>
                <c:manualLayout>
                  <c:x val="-5.9090014663871093E-2"/>
                  <c:y val="-0.1261863598946675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813-4855-935F-BF358C2AC979}"/>
                </c:ext>
              </c:extLst>
            </c:dLbl>
            <c:dLbl>
              <c:idx val="2"/>
              <c:delete val="1"/>
              <c:extLst>
                <c:ext xmlns:c15="http://schemas.microsoft.com/office/drawing/2012/chart" uri="{CE6537A1-D6FC-4f65-9D91-7224C49458BB}"/>
                <c:ext xmlns:c16="http://schemas.microsoft.com/office/drawing/2014/chart" uri="{C3380CC4-5D6E-409C-BE32-E72D297353CC}">
                  <c16:uniqueId val="{00000003-C813-4855-935F-BF358C2AC979}"/>
                </c:ext>
              </c:extLst>
            </c:dLbl>
            <c:dLbl>
              <c:idx val="3"/>
              <c:delete val="1"/>
              <c:extLst>
                <c:ext xmlns:c15="http://schemas.microsoft.com/office/drawing/2012/chart" uri="{CE6537A1-D6FC-4f65-9D91-7224C49458BB}"/>
                <c:ext xmlns:c16="http://schemas.microsoft.com/office/drawing/2014/chart" uri="{C3380CC4-5D6E-409C-BE32-E72D297353CC}">
                  <c16:uniqueId val="{00000005-C813-4855-935F-BF358C2AC979}"/>
                </c:ext>
              </c:extLst>
            </c:dLbl>
            <c:dLbl>
              <c:idx val="4"/>
              <c:delete val="1"/>
              <c:extLst>
                <c:ext xmlns:c15="http://schemas.microsoft.com/office/drawing/2012/chart" uri="{CE6537A1-D6FC-4f65-9D91-7224C49458BB}"/>
                <c:ext xmlns:c16="http://schemas.microsoft.com/office/drawing/2014/chart" uri="{C3380CC4-5D6E-409C-BE32-E72D297353CC}">
                  <c16:uniqueId val="{00000007-C813-4855-935F-BF358C2AC979}"/>
                </c:ext>
              </c:extLst>
            </c:dLbl>
            <c:dLbl>
              <c:idx val="5"/>
              <c:layout>
                <c:manualLayout>
                  <c:x val="0.10383966642887833"/>
                  <c:y val="-0.15945200876525836"/>
                </c:manualLayout>
              </c:layout>
              <c:tx>
                <c:rich>
                  <a:bodyPr/>
                  <a:lstStyle/>
                  <a:p>
                    <a:r>
                      <a:rPr lang="en-US"/>
                      <a:t>Tuition &amp; Fees
$29,189,304, 2%</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C813-4855-935F-BF358C2AC979}"/>
                </c:ext>
              </c:extLst>
            </c:dLbl>
            <c:dLbl>
              <c:idx val="6"/>
              <c:layout>
                <c:manualLayout>
                  <c:x val="0.13302553054430477"/>
                  <c:y val="-0.10760655334938732"/>
                </c:manualLayout>
              </c:layout>
              <c:tx>
                <c:rich>
                  <a:bodyPr/>
                  <a:lstStyle/>
                  <a:p>
                    <a:r>
                      <a:rPr lang="en-US"/>
                      <a:t>Federal Grants &amp; Contracts
$145,564,500, 9%</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C813-4855-935F-BF358C2AC979}"/>
                </c:ext>
              </c:extLst>
            </c:dLbl>
            <c:dLbl>
              <c:idx val="7"/>
              <c:layout>
                <c:manualLayout>
                  <c:x val="0.11708759791254926"/>
                  <c:y val="-7.9541136677451621E-2"/>
                </c:manualLayout>
              </c:layout>
              <c:tx>
                <c:rich>
                  <a:bodyPr/>
                  <a:lstStyle/>
                  <a:p>
                    <a:r>
                      <a:rPr lang="en-US"/>
                      <a:t>Endowment &amp; Interest Income
$26,827,258, 2%</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D-C813-4855-935F-BF358C2AC979}"/>
                </c:ext>
              </c:extLst>
            </c:dLbl>
            <c:dLbl>
              <c:idx val="8"/>
              <c:layout>
                <c:manualLayout>
                  <c:x val="0.14497876705930279"/>
                  <c:y val="2.64101883181674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C813-4855-935F-BF358C2AC979}"/>
                </c:ext>
              </c:extLst>
            </c:dLbl>
            <c:dLbl>
              <c:idx val="9"/>
              <c:layout>
                <c:manualLayout>
                  <c:x val="0.1200807577699443"/>
                  <c:y val="0.136079341365142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813-4855-935F-BF358C2AC979}"/>
                </c:ext>
              </c:extLst>
            </c:dLbl>
            <c:dLbl>
              <c:idx val="10"/>
              <c:layout>
                <c:manualLayout>
                  <c:x val="0.14141317389753341"/>
                  <c:y val="0.218785208415756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813-4855-935F-BF358C2AC979}"/>
                </c:ext>
              </c:extLst>
            </c:dLbl>
            <c:dLbl>
              <c:idx val="11"/>
              <c:layout>
                <c:manualLayout>
                  <c:x val="5.7441050869425671E-2"/>
                  <c:y val="0.3094900662211776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C813-4855-935F-BF358C2AC979}"/>
                </c:ext>
              </c:extLst>
            </c:dLbl>
            <c:dLbl>
              <c:idx val="12"/>
              <c:layout>
                <c:manualLayout>
                  <c:x val="-8.6658338241639737E-2"/>
                  <c:y val="0.293439695492178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C813-4855-935F-BF358C2AC979}"/>
                </c:ext>
              </c:extLst>
            </c:dLbl>
            <c:dLbl>
              <c:idx val="13"/>
              <c:layout>
                <c:manualLayout>
                  <c:x val="-0.24110402394679323"/>
                  <c:y val="0.2005898905667489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C813-4855-935F-BF358C2AC979}"/>
                </c:ext>
              </c:extLst>
            </c:dLbl>
            <c:dLbl>
              <c:idx val="14"/>
              <c:layout>
                <c:manualLayout>
                  <c:x val="-9.9260957180796264E-2"/>
                  <c:y val="-3.86489422496172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C813-4855-935F-BF358C2AC97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'MBG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'MBG Chts'!$D$53:$D$67</c:f>
              <c:numCache>
                <c:formatCode>"$"#,##0</c:formatCode>
                <c:ptCount val="15"/>
                <c:pt idx="0">
                  <c:v>379544163</c:v>
                </c:pt>
                <c:pt idx="1">
                  <c:v>13092401</c:v>
                </c:pt>
                <c:pt idx="3">
                  <c:v>0</c:v>
                </c:pt>
                <c:pt idx="4">
                  <c:v>0</c:v>
                </c:pt>
                <c:pt idx="5">
                  <c:v>51191427</c:v>
                </c:pt>
                <c:pt idx="6">
                  <c:v>179173759</c:v>
                </c:pt>
                <c:pt idx="7">
                  <c:v>70672961</c:v>
                </c:pt>
                <c:pt idx="8">
                  <c:v>740330</c:v>
                </c:pt>
                <c:pt idx="9">
                  <c:v>128646634</c:v>
                </c:pt>
                <c:pt idx="10">
                  <c:v>11810769</c:v>
                </c:pt>
                <c:pt idx="11">
                  <c:v>13321025</c:v>
                </c:pt>
                <c:pt idx="12">
                  <c:v>113668409</c:v>
                </c:pt>
                <c:pt idx="13">
                  <c:v>256863176</c:v>
                </c:pt>
                <c:pt idx="14">
                  <c:v>1538729525</c:v>
                </c:pt>
              </c:numCache>
            </c:numRef>
          </c:val>
          <c:extLst>
            <c:ext xmlns:c16="http://schemas.microsoft.com/office/drawing/2014/chart" uri="{C3380CC4-5D6E-409C-BE32-E72D297353CC}">
              <c16:uniqueId val="{0000001D-C813-4855-935F-BF358C2AC979}"/>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691273778103517"/>
          <c:y val="6.7848416870273124E-3"/>
        </c:manualLayout>
      </c:layout>
      <c:overlay val="0"/>
      <c:spPr>
        <a:noFill/>
        <a:ln w="25400">
          <a:noFill/>
        </a:ln>
      </c:spPr>
    </c:title>
    <c:autoTitleDeleted val="0"/>
    <c:plotArea>
      <c:layout>
        <c:manualLayout>
          <c:layoutTarget val="inner"/>
          <c:xMode val="edge"/>
          <c:yMode val="edge"/>
          <c:x val="0.39110536543350038"/>
          <c:y val="0.33365096481083362"/>
          <c:w val="0.21752245191942945"/>
          <c:h val="0.34885047126679003"/>
        </c:manualLayout>
      </c:layout>
      <c:pieChart>
        <c:varyColors val="1"/>
        <c:ser>
          <c:idx val="0"/>
          <c:order val="0"/>
          <c:tx>
            <c:strRef>
              <c:f>'MBG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79D-4F1B-BF4C-16B094FF823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79D-4F1B-BF4C-16B094FF823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79D-4F1B-BF4C-16B094FF823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79D-4F1B-BF4C-16B094FF823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79D-4F1B-BF4C-16B094FF823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79D-4F1B-BF4C-16B094FF823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79D-4F1B-BF4C-16B094FF823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79D-4F1B-BF4C-16B094FF823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79D-4F1B-BF4C-16B094FF823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79D-4F1B-BF4C-16B094FF823F}"/>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79D-4F1B-BF4C-16B094FF823F}"/>
              </c:ext>
            </c:extLst>
          </c:dPt>
          <c:dLbls>
            <c:dLbl>
              <c:idx val="0"/>
              <c:layout>
                <c:manualLayout>
                  <c:x val="0.24433915670033152"/>
                  <c:y val="0.145316959731401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979D-4F1B-BF4C-16B094FF823F}"/>
                </c:ext>
              </c:extLst>
            </c:dLbl>
            <c:dLbl>
              <c:idx val="1"/>
              <c:layout>
                <c:manualLayout>
                  <c:x val="0.1626441636623833"/>
                  <c:y val="0.2839251787154358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79D-4F1B-BF4C-16B094FF823F}"/>
                </c:ext>
              </c:extLst>
            </c:dLbl>
            <c:dLbl>
              <c:idx val="2"/>
              <c:layout>
                <c:manualLayout>
                  <c:x val="2.9975824510990619E-2"/>
                  <c:y val="0.3336017326668083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79D-4F1B-BF4C-16B094FF823F}"/>
                </c:ext>
              </c:extLst>
            </c:dLbl>
            <c:dLbl>
              <c:idx val="3"/>
              <c:layout>
                <c:manualLayout>
                  <c:x val="-0.12337858975018789"/>
                  <c:y val="0.298776142529986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79D-4F1B-BF4C-16B094FF823F}"/>
                </c:ext>
              </c:extLst>
            </c:dLbl>
            <c:dLbl>
              <c:idx val="4"/>
              <c:layout>
                <c:manualLayout>
                  <c:x val="-0.16465842442385006"/>
                  <c:y val="0.1999508245202671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79D-4F1B-BF4C-16B094FF823F}"/>
                </c:ext>
              </c:extLst>
            </c:dLbl>
            <c:dLbl>
              <c:idx val="5"/>
              <c:layout>
                <c:manualLayout>
                  <c:x val="-0.15552221833309021"/>
                  <c:y val="0.1128845969847322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79D-4F1B-BF4C-16B094FF823F}"/>
                </c:ext>
              </c:extLst>
            </c:dLbl>
            <c:dLbl>
              <c:idx val="6"/>
              <c:layout>
                <c:manualLayout>
                  <c:x val="-0.15695462577182762"/>
                  <c:y val="2.835371801419285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79D-4F1B-BF4C-16B094FF823F}"/>
                </c:ext>
              </c:extLst>
            </c:dLbl>
            <c:dLbl>
              <c:idx val="7"/>
              <c:layout>
                <c:manualLayout>
                  <c:x val="-0.17942047636527725"/>
                  <c:y val="-9.44504710035525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79D-4F1B-BF4C-16B094FF823F}"/>
                </c:ext>
              </c:extLst>
            </c:dLbl>
            <c:dLbl>
              <c:idx val="8"/>
              <c:layout>
                <c:manualLayout>
                  <c:x val="-0.13737377815778168"/>
                  <c:y val="-0.2256444690477166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79D-4F1B-BF4C-16B094FF823F}"/>
                </c:ext>
              </c:extLst>
            </c:dLbl>
            <c:dLbl>
              <c:idx val="9"/>
              <c:layout>
                <c:manualLayout>
                  <c:x val="-6.5846385225570257E-3"/>
                  <c:y val="-0.254438685042080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79D-4F1B-BF4C-16B094FF823F}"/>
                </c:ext>
              </c:extLst>
            </c:dLbl>
            <c:dLbl>
              <c:idx val="10"/>
              <c:layout>
                <c:manualLayout>
                  <c:x val="0.14962909338646302"/>
                  <c:y val="-0.255759402364150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79D-4F1B-BF4C-16B094FF823F}"/>
                </c:ext>
              </c:extLst>
            </c:dLbl>
            <c:dLbl>
              <c:idx val="11"/>
              <c:layout>
                <c:manualLayout>
                  <c:x val="8.2762213825361919E-2"/>
                  <c:y val="2.55210838737174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79D-4F1B-BF4C-16B094FF823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'MBG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'MBG Chts'!$D$102:$D$113</c:f>
              <c:numCache>
                <c:formatCode>_("$"* #,##0_);_("$"* \(#,##0\);_("$"* "-"_);_(@_)</c:formatCode>
                <c:ptCount val="12"/>
                <c:pt idx="0">
                  <c:v>430094314</c:v>
                </c:pt>
                <c:pt idx="1">
                  <c:v>127926683</c:v>
                </c:pt>
                <c:pt idx="2">
                  <c:v>23661247</c:v>
                </c:pt>
                <c:pt idx="3">
                  <c:v>40298926</c:v>
                </c:pt>
                <c:pt idx="4">
                  <c:v>7233707</c:v>
                </c:pt>
                <c:pt idx="5">
                  <c:v>102842448</c:v>
                </c:pt>
                <c:pt idx="6">
                  <c:v>68279938</c:v>
                </c:pt>
                <c:pt idx="7">
                  <c:v>11477605</c:v>
                </c:pt>
                <c:pt idx="8">
                  <c:v>10792867</c:v>
                </c:pt>
                <c:pt idx="9">
                  <c:v>15092746</c:v>
                </c:pt>
                <c:pt idx="10">
                  <c:v>4086792</c:v>
                </c:pt>
                <c:pt idx="11">
                  <c:v>1620876652</c:v>
                </c:pt>
              </c:numCache>
            </c:numRef>
          </c:val>
          <c:extLst>
            <c:ext xmlns:c16="http://schemas.microsoft.com/office/drawing/2014/chart" uri="{C3380CC4-5D6E-409C-BE32-E72D297353CC}">
              <c16:uniqueId val="{00000017-979D-4F1B-BF4C-16B094FF823F}"/>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chart" Target="../charts/chart4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85725</xdr:rowOff>
    </xdr:from>
    <xdr:to>
      <xdr:col>1</xdr:col>
      <xdr:colOff>0</xdr:colOff>
      <xdr:row>46</xdr:row>
      <xdr:rowOff>0</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49</xdr:row>
      <xdr:rowOff>118696</xdr:rowOff>
    </xdr:from>
    <xdr:to>
      <xdr:col>1</xdr:col>
      <xdr:colOff>1</xdr:colOff>
      <xdr:row>90</xdr:row>
      <xdr:rowOff>161192</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57882</xdr:rowOff>
    </xdr:from>
    <xdr:to>
      <xdr:col>1</xdr:col>
      <xdr:colOff>0</xdr:colOff>
      <xdr:row>135</xdr:row>
      <xdr:rowOff>48357</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523875</xdr:colOff>
      <xdr:row>34</xdr:row>
      <xdr:rowOff>28575</xdr:rowOff>
    </xdr:from>
    <xdr:ext cx="110637" cy="237393"/>
    <xdr:sp macro="" textlink="">
      <xdr:nvSpPr>
        <xdr:cNvPr id="5" name="Text Box 5">
          <a:extLst>
            <a:ext uri="{FF2B5EF4-FFF2-40B4-BE49-F238E27FC236}">
              <a16:creationId xmlns:a16="http://schemas.microsoft.com/office/drawing/2014/main" id="{00000000-0008-0000-1200-000005000000}"/>
            </a:ext>
          </a:extLst>
        </xdr:cNvPr>
        <xdr:cNvSpPr txBox="1">
          <a:spLocks noChangeArrowheads="1"/>
        </xdr:cNvSpPr>
      </xdr:nvSpPr>
      <xdr:spPr bwMode="auto">
        <a:xfrm>
          <a:off x="11106150" y="6105525"/>
          <a:ext cx="110637" cy="237393"/>
        </a:xfrm>
        <a:prstGeom prst="rect">
          <a:avLst/>
        </a:prstGeom>
        <a:noFill/>
        <a:ln w="9525" algn="ctr">
          <a:noFill/>
          <a:miter lim="800000"/>
          <a:headEnd/>
          <a:tailEnd/>
        </a:ln>
        <a:effectLst/>
      </xdr:spPr>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4</xdr:row>
      <xdr:rowOff>85725</xdr:rowOff>
    </xdr:from>
    <xdr:to>
      <xdr:col>1</xdr:col>
      <xdr:colOff>0</xdr:colOff>
      <xdr:row>46</xdr:row>
      <xdr:rowOff>0</xdr:rowOff>
    </xdr:to>
    <xdr:graphicFrame macro="">
      <xdr:nvGraphicFramePr>
        <xdr:cNvPr id="2" name="Chart 13">
          <a:extLst>
            <a:ext uri="{FF2B5EF4-FFF2-40B4-BE49-F238E27FC236}">
              <a16:creationId xmlns:a16="http://schemas.microsoft.com/office/drawing/2014/main" id="{00000000-0008-0000-2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49</xdr:row>
      <xdr:rowOff>133351</xdr:rowOff>
    </xdr:from>
    <xdr:to>
      <xdr:col>1</xdr:col>
      <xdr:colOff>0</xdr:colOff>
      <xdr:row>91</xdr:row>
      <xdr:rowOff>19051</xdr:rowOff>
    </xdr:to>
    <xdr:graphicFrame macro="">
      <xdr:nvGraphicFramePr>
        <xdr:cNvPr id="3" name="Chart 15">
          <a:extLst>
            <a:ext uri="{FF2B5EF4-FFF2-40B4-BE49-F238E27FC236}">
              <a16:creationId xmlns:a16="http://schemas.microsoft.com/office/drawing/2014/main" id="{00000000-0008-0000-2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94</xdr:row>
      <xdr:rowOff>145806</xdr:rowOff>
    </xdr:from>
    <xdr:to>
      <xdr:col>1</xdr:col>
      <xdr:colOff>0</xdr:colOff>
      <xdr:row>134</xdr:row>
      <xdr:rowOff>136282</xdr:rowOff>
    </xdr:to>
    <xdr:graphicFrame macro="">
      <xdr:nvGraphicFramePr>
        <xdr:cNvPr id="4" name="Chart 18">
          <a:extLst>
            <a:ext uri="{FF2B5EF4-FFF2-40B4-BE49-F238E27FC236}">
              <a16:creationId xmlns:a16="http://schemas.microsoft.com/office/drawing/2014/main" id="{00000000-0008-0000-2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1</xdr:col>
      <xdr:colOff>644036</xdr:colOff>
      <xdr:row>36</xdr:row>
      <xdr:rowOff>95250</xdr:rowOff>
    </xdr:to>
    <xdr:sp macro="" textlink="">
      <xdr:nvSpPr>
        <xdr:cNvPr id="5" name="Text Box 28">
          <a:extLst>
            <a:ext uri="{FF2B5EF4-FFF2-40B4-BE49-F238E27FC236}">
              <a16:creationId xmlns:a16="http://schemas.microsoft.com/office/drawing/2014/main" id="{00000000-0008-0000-2A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4</xdr:row>
      <xdr:rowOff>129686</xdr:rowOff>
    </xdr:from>
    <xdr:to>
      <xdr:col>1</xdr:col>
      <xdr:colOff>0</xdr:colOff>
      <xdr:row>46</xdr:row>
      <xdr:rowOff>0</xdr:rowOff>
    </xdr:to>
    <xdr:graphicFrame macro="">
      <xdr:nvGraphicFramePr>
        <xdr:cNvPr id="2" name="Chart 13">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2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29307</xdr:colOff>
      <xdr:row>95</xdr:row>
      <xdr:rowOff>57882</xdr:rowOff>
    </xdr:from>
    <xdr:to>
      <xdr:col>1</xdr:col>
      <xdr:colOff>0</xdr:colOff>
      <xdr:row>135</xdr:row>
      <xdr:rowOff>48357</xdr:rowOff>
    </xdr:to>
    <xdr:graphicFrame macro="">
      <xdr:nvGraphicFramePr>
        <xdr:cNvPr id="4" name="Chart 18">
          <a:extLst>
            <a:ext uri="{FF2B5EF4-FFF2-40B4-BE49-F238E27FC236}">
              <a16:creationId xmlns:a16="http://schemas.microsoft.com/office/drawing/2014/main" id="{00000000-0008-0000-2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1</xdr:col>
      <xdr:colOff>644036</xdr:colOff>
      <xdr:row>36</xdr:row>
      <xdr:rowOff>95250</xdr:rowOff>
    </xdr:to>
    <xdr:sp macro="" textlink="">
      <xdr:nvSpPr>
        <xdr:cNvPr id="5" name="Text Box 28">
          <a:extLst>
            <a:ext uri="{FF2B5EF4-FFF2-40B4-BE49-F238E27FC236}">
              <a16:creationId xmlns:a16="http://schemas.microsoft.com/office/drawing/2014/main" id="{00000000-0008-0000-2E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85725</xdr:rowOff>
    </xdr:from>
    <xdr:to>
      <xdr:col>1</xdr:col>
      <xdr:colOff>0</xdr:colOff>
      <xdr:row>45</xdr:row>
      <xdr:rowOff>131885</xdr:rowOff>
    </xdr:to>
    <xdr:graphicFrame macro="">
      <xdr:nvGraphicFramePr>
        <xdr:cNvPr id="2" name="Chart 13">
          <a:extLst>
            <a:ext uri="{FF2B5EF4-FFF2-40B4-BE49-F238E27FC236}">
              <a16:creationId xmlns:a16="http://schemas.microsoft.com/office/drawing/2014/main" id="{00000000-0008-0000-3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33704</xdr:colOff>
      <xdr:row>95</xdr:row>
      <xdr:rowOff>13920</xdr:rowOff>
    </xdr:from>
    <xdr:to>
      <xdr:col>0</xdr:col>
      <xdr:colOff>10536116</xdr:colOff>
      <xdr:row>135</xdr:row>
      <xdr:rowOff>4395</xdr:rowOff>
    </xdr:to>
    <xdr:graphicFrame macro="">
      <xdr:nvGraphicFramePr>
        <xdr:cNvPr id="4" name="Chart 18">
          <a:extLst>
            <a:ext uri="{FF2B5EF4-FFF2-40B4-BE49-F238E27FC236}">
              <a16:creationId xmlns:a16="http://schemas.microsoft.com/office/drawing/2014/main" id="{00000000-0008-0000-3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523875</xdr:colOff>
      <xdr:row>35</xdr:row>
      <xdr:rowOff>28575</xdr:rowOff>
    </xdr:from>
    <xdr:ext cx="76200" cy="200025"/>
    <xdr:sp macro="" textlink="">
      <xdr:nvSpPr>
        <xdr:cNvPr id="5" name="Text Box 28">
          <a:extLst>
            <a:ext uri="{FF2B5EF4-FFF2-40B4-BE49-F238E27FC236}">
              <a16:creationId xmlns:a16="http://schemas.microsoft.com/office/drawing/2014/main" id="{00000000-0008-0000-3200-000005000000}"/>
            </a:ext>
          </a:extLst>
        </xdr:cNvPr>
        <xdr:cNvSpPr txBox="1">
          <a:spLocks noChangeArrowheads="1"/>
        </xdr:cNvSpPr>
      </xdr:nvSpPr>
      <xdr:spPr bwMode="auto">
        <a:xfrm>
          <a:off x="12058650" y="6562725"/>
          <a:ext cx="76200" cy="200025"/>
        </a:xfrm>
        <a:prstGeom prst="rect">
          <a:avLst/>
        </a:prstGeom>
        <a:noFill/>
        <a:ln w="9525" algn="ctr">
          <a:noFill/>
          <a:miter lim="800000"/>
          <a:headEnd/>
          <a:tailEnd/>
        </a:ln>
        <a:effectLst/>
      </xdr:spPr>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3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76445</xdr:colOff>
      <xdr:row>95</xdr:row>
      <xdr:rowOff>2931</xdr:rowOff>
    </xdr:from>
    <xdr:to>
      <xdr:col>0</xdr:col>
      <xdr:colOff>10555654</xdr:colOff>
      <xdr:row>134</xdr:row>
      <xdr:rowOff>152157</xdr:rowOff>
    </xdr:to>
    <xdr:graphicFrame macro="">
      <xdr:nvGraphicFramePr>
        <xdr:cNvPr id="4" name="Chart 18">
          <a:extLst>
            <a:ext uri="{FF2B5EF4-FFF2-40B4-BE49-F238E27FC236}">
              <a16:creationId xmlns:a16="http://schemas.microsoft.com/office/drawing/2014/main" id="{00000000-0008-0000-3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53340</xdr:rowOff>
    </xdr:to>
    <xdr:sp macro="" textlink="">
      <xdr:nvSpPr>
        <xdr:cNvPr id="5" name="Text Box 28">
          <a:extLst>
            <a:ext uri="{FF2B5EF4-FFF2-40B4-BE49-F238E27FC236}">
              <a16:creationId xmlns:a16="http://schemas.microsoft.com/office/drawing/2014/main" id="{00000000-0008-0000-36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3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3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76445</xdr:colOff>
      <xdr:row>95</xdr:row>
      <xdr:rowOff>2931</xdr:rowOff>
    </xdr:from>
    <xdr:to>
      <xdr:col>0</xdr:col>
      <xdr:colOff>10555654</xdr:colOff>
      <xdr:row>134</xdr:row>
      <xdr:rowOff>152157</xdr:rowOff>
    </xdr:to>
    <xdr:graphicFrame macro="">
      <xdr:nvGraphicFramePr>
        <xdr:cNvPr id="4" name="Chart 18">
          <a:extLst>
            <a:ext uri="{FF2B5EF4-FFF2-40B4-BE49-F238E27FC236}">
              <a16:creationId xmlns:a16="http://schemas.microsoft.com/office/drawing/2014/main" id="{00000000-0008-0000-3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53340</xdr:rowOff>
    </xdr:to>
    <xdr:sp macro="" textlink="">
      <xdr:nvSpPr>
        <xdr:cNvPr id="5" name="Text Box 28">
          <a:extLst>
            <a:ext uri="{FF2B5EF4-FFF2-40B4-BE49-F238E27FC236}">
              <a16:creationId xmlns:a16="http://schemas.microsoft.com/office/drawing/2014/main" id="{00000000-0008-0000-3A00-000005000000}"/>
            </a:ext>
          </a:extLst>
        </xdr:cNvPr>
        <xdr:cNvSpPr txBox="1">
          <a:spLocks noChangeArrowheads="1"/>
        </xdr:cNvSpPr>
      </xdr:nvSpPr>
      <xdr:spPr bwMode="auto">
        <a:xfrm>
          <a:off x="11077575" y="6391275"/>
          <a:ext cx="120161" cy="219075"/>
        </a:xfrm>
        <a:prstGeom prst="rect">
          <a:avLst/>
        </a:prstGeom>
        <a:noFill/>
        <a:ln w="9525" algn="ctr">
          <a:no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3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76445</xdr:colOff>
      <xdr:row>95</xdr:row>
      <xdr:rowOff>2931</xdr:rowOff>
    </xdr:from>
    <xdr:to>
      <xdr:col>0</xdr:col>
      <xdr:colOff>10555654</xdr:colOff>
      <xdr:row>134</xdr:row>
      <xdr:rowOff>152157</xdr:rowOff>
    </xdr:to>
    <xdr:graphicFrame macro="">
      <xdr:nvGraphicFramePr>
        <xdr:cNvPr id="4" name="Chart 18">
          <a:extLst>
            <a:ext uri="{FF2B5EF4-FFF2-40B4-BE49-F238E27FC236}">
              <a16:creationId xmlns:a16="http://schemas.microsoft.com/office/drawing/2014/main" id="{00000000-0008-0000-3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53340</xdr:rowOff>
    </xdr:to>
    <xdr:sp macro="" textlink="">
      <xdr:nvSpPr>
        <xdr:cNvPr id="5" name="Text Box 28">
          <a:extLst>
            <a:ext uri="{FF2B5EF4-FFF2-40B4-BE49-F238E27FC236}">
              <a16:creationId xmlns:a16="http://schemas.microsoft.com/office/drawing/2014/main" id="{00000000-0008-0000-3E00-000005000000}"/>
            </a:ext>
          </a:extLst>
        </xdr:cNvPr>
        <xdr:cNvSpPr txBox="1">
          <a:spLocks noChangeArrowheads="1"/>
        </xdr:cNvSpPr>
      </xdr:nvSpPr>
      <xdr:spPr bwMode="auto">
        <a:xfrm>
          <a:off x="11077575" y="6391275"/>
          <a:ext cx="120161" cy="219075"/>
        </a:xfrm>
        <a:prstGeom prst="rect">
          <a:avLst/>
        </a:prstGeom>
        <a:noFill/>
        <a:ln w="9525" algn="ctr">
          <a:noFill/>
          <a:miter lim="800000"/>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4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17829</xdr:colOff>
      <xdr:row>95</xdr:row>
      <xdr:rowOff>32239</xdr:rowOff>
    </xdr:from>
    <xdr:to>
      <xdr:col>0</xdr:col>
      <xdr:colOff>10497038</xdr:colOff>
      <xdr:row>135</xdr:row>
      <xdr:rowOff>20273</xdr:rowOff>
    </xdr:to>
    <xdr:graphicFrame macro="">
      <xdr:nvGraphicFramePr>
        <xdr:cNvPr id="4" name="Chart 18">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53340</xdr:rowOff>
    </xdr:to>
    <xdr:sp macro="" textlink="">
      <xdr:nvSpPr>
        <xdr:cNvPr id="5" name="Text Box 28">
          <a:extLst>
            <a:ext uri="{FF2B5EF4-FFF2-40B4-BE49-F238E27FC236}">
              <a16:creationId xmlns:a16="http://schemas.microsoft.com/office/drawing/2014/main" id="{00000000-0008-0000-4200-000005000000}"/>
            </a:ext>
          </a:extLst>
        </xdr:cNvPr>
        <xdr:cNvSpPr txBox="1">
          <a:spLocks noChangeArrowheads="1"/>
        </xdr:cNvSpPr>
      </xdr:nvSpPr>
      <xdr:spPr bwMode="auto">
        <a:xfrm>
          <a:off x="11077575" y="6391275"/>
          <a:ext cx="120161" cy="219075"/>
        </a:xfrm>
        <a:prstGeom prst="rect">
          <a:avLst/>
        </a:prstGeom>
        <a:noFill/>
        <a:ln w="9525" algn="ctr">
          <a:noFill/>
          <a:miter lim="800000"/>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14654</xdr:colOff>
      <xdr:row>49</xdr:row>
      <xdr:rowOff>133349</xdr:rowOff>
    </xdr:from>
    <xdr:to>
      <xdr:col>1</xdr:col>
      <xdr:colOff>14654</xdr:colOff>
      <xdr:row>91</xdr:row>
      <xdr:rowOff>19049</xdr:rowOff>
    </xdr:to>
    <xdr:graphicFrame macro="">
      <xdr:nvGraphicFramePr>
        <xdr:cNvPr id="3" name="Chart 15">
          <a:extLst>
            <a:ext uri="{FF2B5EF4-FFF2-40B4-BE49-F238E27FC236}">
              <a16:creationId xmlns:a16="http://schemas.microsoft.com/office/drawing/2014/main" id="{00000000-0008-0000-4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61790</xdr:colOff>
      <xdr:row>95</xdr:row>
      <xdr:rowOff>17585</xdr:rowOff>
    </xdr:from>
    <xdr:to>
      <xdr:col>0</xdr:col>
      <xdr:colOff>10540999</xdr:colOff>
      <xdr:row>135</xdr:row>
      <xdr:rowOff>5619</xdr:rowOff>
    </xdr:to>
    <xdr:graphicFrame macro="">
      <xdr:nvGraphicFramePr>
        <xdr:cNvPr id="4" name="Chart 18">
          <a:extLst>
            <a:ext uri="{FF2B5EF4-FFF2-40B4-BE49-F238E27FC236}">
              <a16:creationId xmlns:a16="http://schemas.microsoft.com/office/drawing/2014/main" id="{00000000-0008-0000-4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53340</xdr:rowOff>
    </xdr:to>
    <xdr:sp macro="" textlink="">
      <xdr:nvSpPr>
        <xdr:cNvPr id="5" name="Text Box 28">
          <a:extLst>
            <a:ext uri="{FF2B5EF4-FFF2-40B4-BE49-F238E27FC236}">
              <a16:creationId xmlns:a16="http://schemas.microsoft.com/office/drawing/2014/main" id="{00000000-0008-0000-4600-000005000000}"/>
            </a:ext>
          </a:extLst>
        </xdr:cNvPr>
        <xdr:cNvSpPr txBox="1">
          <a:spLocks noChangeArrowheads="1"/>
        </xdr:cNvSpPr>
      </xdr:nvSpPr>
      <xdr:spPr bwMode="auto">
        <a:xfrm>
          <a:off x="11077575" y="6391275"/>
          <a:ext cx="120161" cy="219075"/>
        </a:xfrm>
        <a:prstGeom prst="rect">
          <a:avLst/>
        </a:prstGeom>
        <a:noFill/>
        <a:ln w="9525" algn="ctr">
          <a:noFill/>
          <a:miter lim="800000"/>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133348</xdr:rowOff>
    </xdr:from>
    <xdr:to>
      <xdr:col>1</xdr:col>
      <xdr:colOff>0</xdr:colOff>
      <xdr:row>91</xdr:row>
      <xdr:rowOff>19048</xdr:rowOff>
    </xdr:to>
    <xdr:graphicFrame macro="">
      <xdr:nvGraphicFramePr>
        <xdr:cNvPr id="3" name="Chart 15">
          <a:extLst>
            <a:ext uri="{FF2B5EF4-FFF2-40B4-BE49-F238E27FC236}">
              <a16:creationId xmlns:a16="http://schemas.microsoft.com/office/drawing/2014/main" id="{00000000-0008-0000-4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76444</xdr:colOff>
      <xdr:row>95</xdr:row>
      <xdr:rowOff>61547</xdr:rowOff>
    </xdr:from>
    <xdr:to>
      <xdr:col>1</xdr:col>
      <xdr:colOff>4884</xdr:colOff>
      <xdr:row>135</xdr:row>
      <xdr:rowOff>49581</xdr:rowOff>
    </xdr:to>
    <xdr:graphicFrame macro="">
      <xdr:nvGraphicFramePr>
        <xdr:cNvPr id="4" name="Chart 18">
          <a:extLst>
            <a:ext uri="{FF2B5EF4-FFF2-40B4-BE49-F238E27FC236}">
              <a16:creationId xmlns:a16="http://schemas.microsoft.com/office/drawing/2014/main" id="{00000000-0008-0000-4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53340</xdr:rowOff>
    </xdr:to>
    <xdr:sp macro="" textlink="">
      <xdr:nvSpPr>
        <xdr:cNvPr id="5" name="Text Box 28">
          <a:extLst>
            <a:ext uri="{FF2B5EF4-FFF2-40B4-BE49-F238E27FC236}">
              <a16:creationId xmlns:a16="http://schemas.microsoft.com/office/drawing/2014/main" id="{00000000-0008-0000-4A00-000005000000}"/>
            </a:ext>
          </a:extLst>
        </xdr:cNvPr>
        <xdr:cNvSpPr txBox="1">
          <a:spLocks noChangeArrowheads="1"/>
        </xdr:cNvSpPr>
      </xdr:nvSpPr>
      <xdr:spPr bwMode="auto">
        <a:xfrm>
          <a:off x="11077575" y="6391275"/>
          <a:ext cx="120161" cy="219075"/>
        </a:xfrm>
        <a:prstGeom prst="rect">
          <a:avLst/>
        </a:prstGeom>
        <a:noFill/>
        <a:ln w="9525" algn="ctr">
          <a:noFill/>
          <a:miter lim="800000"/>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4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148002</xdr:rowOff>
    </xdr:from>
    <xdr:to>
      <xdr:col>1</xdr:col>
      <xdr:colOff>0</xdr:colOff>
      <xdr:row>91</xdr:row>
      <xdr:rowOff>33702</xdr:rowOff>
    </xdr:to>
    <xdr:graphicFrame macro="">
      <xdr:nvGraphicFramePr>
        <xdr:cNvPr id="3" name="Chart 15">
          <a:extLst>
            <a:ext uri="{FF2B5EF4-FFF2-40B4-BE49-F238E27FC236}">
              <a16:creationId xmlns:a16="http://schemas.microsoft.com/office/drawing/2014/main" id="{00000000-0008-0000-4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135059</xdr:colOff>
      <xdr:row>95</xdr:row>
      <xdr:rowOff>61547</xdr:rowOff>
    </xdr:from>
    <xdr:to>
      <xdr:col>1</xdr:col>
      <xdr:colOff>63499</xdr:colOff>
      <xdr:row>135</xdr:row>
      <xdr:rowOff>49581</xdr:rowOff>
    </xdr:to>
    <xdr:graphicFrame macro="">
      <xdr:nvGraphicFramePr>
        <xdr:cNvPr id="4" name="Chart 18">
          <a:extLst>
            <a:ext uri="{FF2B5EF4-FFF2-40B4-BE49-F238E27FC236}">
              <a16:creationId xmlns:a16="http://schemas.microsoft.com/office/drawing/2014/main" id="{00000000-0008-0000-4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53340</xdr:rowOff>
    </xdr:to>
    <xdr:sp macro="" textlink="">
      <xdr:nvSpPr>
        <xdr:cNvPr id="5" name="Text Box 28">
          <a:extLst>
            <a:ext uri="{FF2B5EF4-FFF2-40B4-BE49-F238E27FC236}">
              <a16:creationId xmlns:a16="http://schemas.microsoft.com/office/drawing/2014/main" id="{00000000-0008-0000-4E00-000005000000}"/>
            </a:ext>
          </a:extLst>
        </xdr:cNvPr>
        <xdr:cNvSpPr txBox="1">
          <a:spLocks noChangeArrowheads="1"/>
        </xdr:cNvSpPr>
      </xdr:nvSpPr>
      <xdr:spPr bwMode="auto">
        <a:xfrm>
          <a:off x="11077575" y="6477000"/>
          <a:ext cx="120161" cy="219075"/>
        </a:xfrm>
        <a:prstGeom prst="rect">
          <a:avLst/>
        </a:prstGeom>
        <a:noFill/>
        <a:ln w="9525" algn="ctr">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41763</xdr:rowOff>
    </xdr:from>
    <xdr:to>
      <xdr:col>0</xdr:col>
      <xdr:colOff>10550768</xdr:colOff>
      <xdr:row>45</xdr:row>
      <xdr:rowOff>131884</xdr:rowOff>
    </xdr:to>
    <xdr:graphicFrame macro="">
      <xdr:nvGraphicFramePr>
        <xdr:cNvPr id="6187" name="Chart 13">
          <a:extLst>
            <a:ext uri="{FF2B5EF4-FFF2-40B4-BE49-F238E27FC236}">
              <a16:creationId xmlns:a16="http://schemas.microsoft.com/office/drawing/2014/main" id="{00000000-0008-0000-1600-00002B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148004</xdr:rowOff>
    </xdr:from>
    <xdr:to>
      <xdr:col>0</xdr:col>
      <xdr:colOff>10550768</xdr:colOff>
      <xdr:row>91</xdr:row>
      <xdr:rowOff>33704</xdr:rowOff>
    </xdr:to>
    <xdr:graphicFrame macro="">
      <xdr:nvGraphicFramePr>
        <xdr:cNvPr id="6188" name="Chart 15">
          <a:extLst>
            <a:ext uri="{FF2B5EF4-FFF2-40B4-BE49-F238E27FC236}">
              <a16:creationId xmlns:a16="http://schemas.microsoft.com/office/drawing/2014/main" id="{00000000-0008-0000-1600-00002C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12700</xdr:rowOff>
    </xdr:from>
    <xdr:to>
      <xdr:col>1</xdr:col>
      <xdr:colOff>0</xdr:colOff>
      <xdr:row>135</xdr:row>
      <xdr:rowOff>3175</xdr:rowOff>
    </xdr:to>
    <xdr:graphicFrame macro="">
      <xdr:nvGraphicFramePr>
        <xdr:cNvPr id="6189" name="Chart 18">
          <a:extLst>
            <a:ext uri="{FF2B5EF4-FFF2-40B4-BE49-F238E27FC236}">
              <a16:creationId xmlns:a16="http://schemas.microsoft.com/office/drawing/2014/main" id="{00000000-0008-0000-1600-00002D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2</xdr:col>
      <xdr:colOff>19049</xdr:colOff>
      <xdr:row>36</xdr:row>
      <xdr:rowOff>96569</xdr:rowOff>
    </xdr:to>
    <xdr:sp macro="" textlink="">
      <xdr:nvSpPr>
        <xdr:cNvPr id="6190" name="Text Box 28">
          <a:extLst>
            <a:ext uri="{FF2B5EF4-FFF2-40B4-BE49-F238E27FC236}">
              <a16:creationId xmlns:a16="http://schemas.microsoft.com/office/drawing/2014/main" id="{00000000-0008-0000-1600-00002E18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5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148002</xdr:rowOff>
    </xdr:from>
    <xdr:to>
      <xdr:col>1</xdr:col>
      <xdr:colOff>0</xdr:colOff>
      <xdr:row>91</xdr:row>
      <xdr:rowOff>33702</xdr:rowOff>
    </xdr:to>
    <xdr:graphicFrame macro="">
      <xdr:nvGraphicFramePr>
        <xdr:cNvPr id="3" name="Chart 15">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76444</xdr:colOff>
      <xdr:row>95</xdr:row>
      <xdr:rowOff>61547</xdr:rowOff>
    </xdr:from>
    <xdr:to>
      <xdr:col>1</xdr:col>
      <xdr:colOff>4884</xdr:colOff>
      <xdr:row>135</xdr:row>
      <xdr:rowOff>49581</xdr:rowOff>
    </xdr:to>
    <xdr:graphicFrame macro="">
      <xdr:nvGraphicFramePr>
        <xdr:cNvPr id="4" name="Chart 18">
          <a:extLst>
            <a:ext uri="{FF2B5EF4-FFF2-40B4-BE49-F238E27FC236}">
              <a16:creationId xmlns:a16="http://schemas.microsoft.com/office/drawing/2014/main" id="{00000000-0008-0000-5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53340</xdr:rowOff>
    </xdr:to>
    <xdr:sp macro="" textlink="">
      <xdr:nvSpPr>
        <xdr:cNvPr id="5" name="Text Box 28">
          <a:extLst>
            <a:ext uri="{FF2B5EF4-FFF2-40B4-BE49-F238E27FC236}">
              <a16:creationId xmlns:a16="http://schemas.microsoft.com/office/drawing/2014/main" id="{00000000-0008-0000-5200-000005000000}"/>
            </a:ext>
          </a:extLst>
        </xdr:cNvPr>
        <xdr:cNvSpPr txBox="1">
          <a:spLocks noChangeArrowheads="1"/>
        </xdr:cNvSpPr>
      </xdr:nvSpPr>
      <xdr:spPr bwMode="auto">
        <a:xfrm>
          <a:off x="11077575" y="6477000"/>
          <a:ext cx="120161" cy="219075"/>
        </a:xfrm>
        <a:prstGeom prst="rect">
          <a:avLst/>
        </a:prstGeom>
        <a:noFill/>
        <a:ln w="9525" algn="ctr">
          <a:noFill/>
          <a:miter lim="800000"/>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403411</xdr:colOff>
      <xdr:row>1</xdr:row>
      <xdr:rowOff>56030</xdr:rowOff>
    </xdr:from>
    <xdr:to>
      <xdr:col>14</xdr:col>
      <xdr:colOff>515469</xdr:colOff>
      <xdr:row>6</xdr:row>
      <xdr:rowOff>100853</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7743264" y="224118"/>
          <a:ext cx="3339352" cy="82923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Currently HRIs are not included in the Almanac Publication.  Retain this tab for possible future use.            Professional Fee and H&amp; C revenue columns are not added below.</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254482</xdr:colOff>
      <xdr:row>50</xdr:row>
      <xdr:rowOff>35528</xdr:rowOff>
    </xdr:from>
    <xdr:to>
      <xdr:col>20</xdr:col>
      <xdr:colOff>1387837</xdr:colOff>
      <xdr:row>56</xdr:row>
      <xdr:rowOff>139700</xdr:rowOff>
    </xdr:to>
    <xdr:sp macro="" textlink="">
      <xdr:nvSpPr>
        <xdr:cNvPr id="4" name="TextBox 3">
          <a:extLst>
            <a:ext uri="{FF2B5EF4-FFF2-40B4-BE49-F238E27FC236}">
              <a16:creationId xmlns:a16="http://schemas.microsoft.com/office/drawing/2014/main" id="{00000000-0008-0000-1800-000004000000}"/>
            </a:ext>
          </a:extLst>
        </xdr:cNvPr>
        <xdr:cNvSpPr txBox="1"/>
      </xdr:nvSpPr>
      <xdr:spPr>
        <a:xfrm>
          <a:off x="16231082" y="8862028"/>
          <a:ext cx="6048255" cy="10947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latin typeface="+mn-lt"/>
              <a:ea typeface="+mn-ea"/>
              <a:cs typeface="+mn-cs"/>
            </a:rPr>
            <a:t>All of our waivers, remissions &amp; exemptions are recorded in our E&amp;G fund group therefore Designated and Auxiliary will remain at zero for both tuition and fees as it relates to waivers/remissions/exemptions.  This will keep the Sources and Uses submission in-line with our AFR.  </a:t>
          </a:r>
        </a:p>
        <a:p>
          <a:endParaRPr lang="en-US" sz="1100"/>
        </a:p>
        <a:p>
          <a:r>
            <a:rPr lang="en-US" sz="1100"/>
            <a:t>Chuck Fox email 1-15-2010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146538</xdr:rowOff>
    </xdr:to>
    <xdr:graphicFrame macro="">
      <xdr:nvGraphicFramePr>
        <xdr:cNvPr id="2" name="Chart 13">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146539</xdr:rowOff>
    </xdr:from>
    <xdr:to>
      <xdr:col>1</xdr:col>
      <xdr:colOff>14654</xdr:colOff>
      <xdr:row>91</xdr:row>
      <xdr:rowOff>19050</xdr:rowOff>
    </xdr:to>
    <xdr:graphicFrame macro="">
      <xdr:nvGraphicFramePr>
        <xdr:cNvPr id="3" name="Chart 15">
          <a:extLst>
            <a:ext uri="{FF2B5EF4-FFF2-40B4-BE49-F238E27FC236}">
              <a16:creationId xmlns:a16="http://schemas.microsoft.com/office/drawing/2014/main" id="{00000000-0008-0000-1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28575</xdr:rowOff>
    </xdr:from>
    <xdr:to>
      <xdr:col>1</xdr:col>
      <xdr:colOff>0</xdr:colOff>
      <xdr:row>135</xdr:row>
      <xdr:rowOff>19050</xdr:rowOff>
    </xdr:to>
    <xdr:graphicFrame macro="">
      <xdr:nvGraphicFramePr>
        <xdr:cNvPr id="4" name="Chart 18">
          <a:extLst>
            <a:ext uri="{FF2B5EF4-FFF2-40B4-BE49-F238E27FC236}">
              <a16:creationId xmlns:a16="http://schemas.microsoft.com/office/drawing/2014/main" id="{00000000-0008-0000-1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1</xdr:col>
      <xdr:colOff>644036</xdr:colOff>
      <xdr:row>36</xdr:row>
      <xdr:rowOff>91441</xdr:rowOff>
    </xdr:to>
    <xdr:sp macro="" textlink="">
      <xdr:nvSpPr>
        <xdr:cNvPr id="5" name="Text Box 28">
          <a:extLst>
            <a:ext uri="{FF2B5EF4-FFF2-40B4-BE49-F238E27FC236}">
              <a16:creationId xmlns:a16="http://schemas.microsoft.com/office/drawing/2014/main" id="{00000000-0008-0000-1A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431800</xdr:colOff>
      <xdr:row>51</xdr:row>
      <xdr:rowOff>38100</xdr:rowOff>
    </xdr:from>
    <xdr:to>
      <xdr:col>22</xdr:col>
      <xdr:colOff>495300</xdr:colOff>
      <xdr:row>56</xdr:row>
      <xdr:rowOff>12700</xdr:rowOff>
    </xdr:to>
    <xdr:sp macro="" textlink="">
      <xdr:nvSpPr>
        <xdr:cNvPr id="4" name="TextBox 3">
          <a:extLst>
            <a:ext uri="{FF2B5EF4-FFF2-40B4-BE49-F238E27FC236}">
              <a16:creationId xmlns:a16="http://schemas.microsoft.com/office/drawing/2014/main" id="{00000000-0008-0000-1C00-000004000000}"/>
            </a:ext>
          </a:extLst>
        </xdr:cNvPr>
        <xdr:cNvSpPr txBox="1"/>
      </xdr:nvSpPr>
      <xdr:spPr>
        <a:xfrm>
          <a:off x="15354300" y="6350000"/>
          <a:ext cx="8509000" cy="80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latin typeface="+mn-lt"/>
              <a:ea typeface="+mn-ea"/>
              <a:cs typeface="+mn-cs"/>
            </a:rPr>
            <a:t>Waivers, remissions and exemptions are not broken out in Designated and Auxiliary because waivers, remissions and exemptions are all recorded in the E&amp;G fund group for UTMB.</a:t>
          </a:r>
        </a:p>
        <a:p>
          <a:r>
            <a:rPr lang="en-US" sz="1100"/>
            <a:t>Dana Malone email of 1-15-2010.</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129685</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1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43229</xdr:rowOff>
    </xdr:from>
    <xdr:to>
      <xdr:col>0</xdr:col>
      <xdr:colOff>10536115</xdr:colOff>
      <xdr:row>135</xdr:row>
      <xdr:rowOff>33704</xdr:rowOff>
    </xdr:to>
    <xdr:graphicFrame macro="">
      <xdr:nvGraphicFramePr>
        <xdr:cNvPr id="4" name="Chart 18">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2</xdr:col>
      <xdr:colOff>98033</xdr:colOff>
      <xdr:row>36</xdr:row>
      <xdr:rowOff>95250</xdr:rowOff>
    </xdr:to>
    <xdr:sp macro="" textlink="">
      <xdr:nvSpPr>
        <xdr:cNvPr id="5" name="Text Box 28">
          <a:extLst>
            <a:ext uri="{FF2B5EF4-FFF2-40B4-BE49-F238E27FC236}">
              <a16:creationId xmlns:a16="http://schemas.microsoft.com/office/drawing/2014/main" id="{00000000-0008-0000-1E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4</xdr:row>
      <xdr:rowOff>115032</xdr:rowOff>
    </xdr:from>
    <xdr:to>
      <xdr:col>1</xdr:col>
      <xdr:colOff>0</xdr:colOff>
      <xdr:row>45</xdr:row>
      <xdr:rowOff>146538</xdr:rowOff>
    </xdr:to>
    <xdr:graphicFrame macro="">
      <xdr:nvGraphicFramePr>
        <xdr:cNvPr id="2" name="Chart 13">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51</xdr:row>
      <xdr:rowOff>73269</xdr:rowOff>
    </xdr:from>
    <xdr:to>
      <xdr:col>1</xdr:col>
      <xdr:colOff>0</xdr:colOff>
      <xdr:row>90</xdr:row>
      <xdr:rowOff>131884</xdr:rowOff>
    </xdr:to>
    <xdr:graphicFrame macro="">
      <xdr:nvGraphicFramePr>
        <xdr:cNvPr id="3" name="Chart 15">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94</xdr:row>
      <xdr:rowOff>145805</xdr:rowOff>
    </xdr:from>
    <xdr:to>
      <xdr:col>1</xdr:col>
      <xdr:colOff>0</xdr:colOff>
      <xdr:row>134</xdr:row>
      <xdr:rowOff>136281</xdr:rowOff>
    </xdr:to>
    <xdr:graphicFrame macro="">
      <xdr:nvGraphicFramePr>
        <xdr:cNvPr id="4" name="Chart 18">
          <a:extLst>
            <a:ext uri="{FF2B5EF4-FFF2-40B4-BE49-F238E27FC236}">
              <a16:creationId xmlns:a16="http://schemas.microsoft.com/office/drawing/2014/main" id="{00000000-0008-0000-2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2</xdr:col>
      <xdr:colOff>17730</xdr:colOff>
      <xdr:row>36</xdr:row>
      <xdr:rowOff>95250</xdr:rowOff>
    </xdr:to>
    <xdr:sp macro="" textlink="">
      <xdr:nvSpPr>
        <xdr:cNvPr id="5" name="Text Box 28">
          <a:extLst>
            <a:ext uri="{FF2B5EF4-FFF2-40B4-BE49-F238E27FC236}">
              <a16:creationId xmlns:a16="http://schemas.microsoft.com/office/drawing/2014/main" id="{00000000-0008-0000-22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101600</xdr:colOff>
      <xdr:row>49</xdr:row>
      <xdr:rowOff>139700</xdr:rowOff>
    </xdr:from>
    <xdr:to>
      <xdr:col>21</xdr:col>
      <xdr:colOff>76200</xdr:colOff>
      <xdr:row>56</xdr:row>
      <xdr:rowOff>139700</xdr:rowOff>
    </xdr:to>
    <xdr:sp macro="" textlink="">
      <xdr:nvSpPr>
        <xdr:cNvPr id="4" name="TextBox 3">
          <a:extLst>
            <a:ext uri="{FF2B5EF4-FFF2-40B4-BE49-F238E27FC236}">
              <a16:creationId xmlns:a16="http://schemas.microsoft.com/office/drawing/2014/main" id="{00000000-0008-0000-2400-000004000000}"/>
            </a:ext>
          </a:extLst>
        </xdr:cNvPr>
        <xdr:cNvSpPr txBox="1"/>
      </xdr:nvSpPr>
      <xdr:spPr>
        <a:xfrm>
          <a:off x="15011400" y="8801100"/>
          <a:ext cx="7556500" cy="1155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Ed, </a:t>
          </a:r>
        </a:p>
        <a:p>
          <a:r>
            <a:rPr lang="en-US" sz="1100">
              <a:solidFill>
                <a:schemeClr val="dk1"/>
              </a:solidFill>
              <a:latin typeface="+mn-lt"/>
              <a:ea typeface="+mn-ea"/>
              <a:cs typeface="+mn-cs"/>
            </a:rPr>
            <a:t>  The report that UTHSCSA sent is correct.  Attached is the email where they confirm that no waivers, remissions and exemptions are broken out in designated because they are all recorded in E&amp;G.  We agree with that statement. </a:t>
          </a:r>
        </a:p>
        <a:p>
          <a:r>
            <a:rPr lang="en-US" sz="1100">
              <a:solidFill>
                <a:schemeClr val="dk1"/>
              </a:solidFill>
              <a:latin typeface="+mn-lt"/>
              <a:ea typeface="+mn-ea"/>
              <a:cs typeface="+mn-cs"/>
            </a:rPr>
            <a:t>  Thank you, </a:t>
          </a:r>
        </a:p>
        <a:p>
          <a:r>
            <a:rPr lang="en-US" sz="1100">
              <a:solidFill>
                <a:schemeClr val="dk1"/>
              </a:solidFill>
              <a:latin typeface="+mn-lt"/>
              <a:ea typeface="+mn-ea"/>
              <a:cs typeface="+mn-cs"/>
            </a:rPr>
            <a:t>Kristen </a:t>
          </a:r>
        </a:p>
        <a:p>
          <a:r>
            <a:rPr lang="en-US" sz="1100"/>
            <a:t>Email</a:t>
          </a:r>
          <a:r>
            <a:rPr lang="en-US" sz="1100" baseline="0"/>
            <a:t> of 1-21-10</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4</xdr:row>
      <xdr:rowOff>85725</xdr:rowOff>
    </xdr:from>
    <xdr:to>
      <xdr:col>1</xdr:col>
      <xdr:colOff>0</xdr:colOff>
      <xdr:row>45</xdr:row>
      <xdr:rowOff>146538</xdr:rowOff>
    </xdr:to>
    <xdr:graphicFrame macro="">
      <xdr:nvGraphicFramePr>
        <xdr:cNvPr id="2" name="Chart 13">
          <a:extLst>
            <a:ext uri="{FF2B5EF4-FFF2-40B4-BE49-F238E27FC236}">
              <a16:creationId xmlns:a16="http://schemas.microsoft.com/office/drawing/2014/main" id="{00000000-0008-0000-2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15876</xdr:colOff>
      <xdr:row>94</xdr:row>
      <xdr:rowOff>155575</xdr:rowOff>
    </xdr:from>
    <xdr:to>
      <xdr:col>0</xdr:col>
      <xdr:colOff>10537338</xdr:colOff>
      <xdr:row>134</xdr:row>
      <xdr:rowOff>146050</xdr:rowOff>
    </xdr:to>
    <xdr:graphicFrame macro="">
      <xdr:nvGraphicFramePr>
        <xdr:cNvPr id="4" name="Chart 18">
          <a:extLst>
            <a:ext uri="{FF2B5EF4-FFF2-40B4-BE49-F238E27FC236}">
              <a16:creationId xmlns:a16="http://schemas.microsoft.com/office/drawing/2014/main" id="{00000000-0008-0000-2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1</xdr:col>
      <xdr:colOff>644036</xdr:colOff>
      <xdr:row>36</xdr:row>
      <xdr:rowOff>95250</xdr:rowOff>
    </xdr:to>
    <xdr:sp macro="" textlink="">
      <xdr:nvSpPr>
        <xdr:cNvPr id="5" name="Text Box 28">
          <a:extLst>
            <a:ext uri="{FF2B5EF4-FFF2-40B4-BE49-F238E27FC236}">
              <a16:creationId xmlns:a16="http://schemas.microsoft.com/office/drawing/2014/main" id="{00000000-0008-0000-26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Doc$\FIN\AFRJEFF\PubInfo_Big%205_FY%202003_5%2027%2004_Finalredorev.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H:\APP\PA\Resource\FinanceFiles\Sources%20and%20Uses\2%20-%20HRIs\HRI%20-%20Sources%20&amp;%20Uses%20FY%202022\0%20-%20HRI%20-%20Research%20-%20FY%202022-%20Final.xlsx" TargetMode="External"/><Relationship Id="rId1" Type="http://schemas.openxmlformats.org/officeDocument/2006/relationships/externalLinkPath" Target="/APP/PA/Resource/FinanceFiles/Sources%20and%20Uses/2%20-%20HRIs/HRI%20-%20Sources%20&amp;%20Uses%20FY%202022/0%20-%20HRI%20-%20Research%20-%20FY%202022-%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HECB-AUVFS41\UserDoc$\Sources%20&amp;%20Uses\Univ%20-%20Sources%20&amp;%20Uses%20FY%202016\0%20-%20Univ%20-%20S%20&amp;%20U%20-%20FY%202016%20-%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amp;%20Uses\HRI%20-%20Sources%20&amp;%20Uses%20FY%202020\0%20-%20HRI%20-%20S%20&amp;%20U%20-%20FY%202020%20-%201%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amp;%20Uses\Univ%20-%20Sources%20&amp;%20Uses%20FY%202010\0%20-%20Univ%20-%20S%20&amp;%20U%20-%20FY%202010%20-%2031%20-%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HECB-AUVFS41\UserDoc$\Sources%20&amp;%20Uses\Univ%20-%20Sources%20&amp;%20Uses%20FY%202016\0%20-%20Univ%20-%20Research%20-%20FY%202016%20-%20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HECB-AUVFS41\UserDoc$\mciverje\My%20Documents\MyFiles\SCH-Univ\SRSCHLevFYTot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hecb-auvfs41\userfile\APP\PA\Resource\FinanceFiles\Sources%20and%20Uses\2%20-%20HRIs\HRI%20-%20Sources%20&amp;%20Uses%20FY%202021\As%20Returned\470%20-%20S%20%20U%20-%20FY%202021%20-%20TTUHSC%20v2%20(revised%20for%20EG%20Ex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HECB-AUVFS41\UserDoc$\Documents%20and%20Settings\cernosekj\Local%20Settings\Temporary%20Internet%20Files\OLK2E\FY2006C2swrk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HECB-AUVFS41\UserDoc$\UserDoc$\Documents%20and%20Settings\cernosekj\Local%20Settings\Temporary%20Internet%20Files\OLK2E\FY2006C2swrk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bookLayout"/>
      <sheetName val="PubInfo"/>
      <sheetName val="PubInfoB"/>
      <sheetName val="AdjustedDatareformat"/>
      <sheetName val="Adjustments"/>
      <sheetName val="Datareformat"/>
      <sheetName val="UTAustin"/>
      <sheetName val="TAMU"/>
      <sheetName val="UH"/>
      <sheetName val="UNT"/>
      <sheetName val="Tech"/>
      <sheetName val="SCHFTSE"/>
    </sheetNames>
    <sheetDataSet>
      <sheetData sheetId="0" refreshError="1"/>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Almanac"/>
      <sheetName val="HRI Space Model"/>
      <sheetName val="HRI_IE_Research"/>
      <sheetName val="HRI_Research NA"/>
      <sheetName val="Accountability"/>
      <sheetName val="Healthcare"/>
      <sheetName val="List"/>
      <sheetName val="Summary"/>
      <sheetName val="SWM"/>
      <sheetName val="MBG"/>
      <sheetName val="HSH"/>
      <sheetName val="HSSA"/>
      <sheetName val="MDA"/>
      <sheetName val="THC"/>
      <sheetName val="TAMHSC"/>
      <sheetName val="UNTHSC1"/>
      <sheetName val="TTUHSC"/>
      <sheetName val="TTUHSCEP"/>
      <sheetName val="AUSM"/>
      <sheetName val="RGVM"/>
      <sheetName val="UHM"/>
      <sheetName val="Input"/>
      <sheetName val="Names"/>
      <sheetName val="SHMNF"/>
      <sheetName val="FTSE"/>
      <sheetName val="Balancing"/>
      <sheetName val="BCM21"/>
      <sheetName val="BCM"/>
      <sheetName val="UNTHSCPM"/>
      <sheetName val="Summary (2)"/>
    </sheetNames>
    <sheetDataSet>
      <sheetData sheetId="0"/>
      <sheetData sheetId="1"/>
      <sheetData sheetId="2"/>
      <sheetData sheetId="3"/>
      <sheetData sheetId="4"/>
      <sheetData sheetId="5"/>
      <sheetData sheetId="6"/>
      <sheetData sheetId="7"/>
      <sheetData sheetId="8"/>
      <sheetData sheetId="9">
        <row r="46">
          <cell r="O46">
            <v>1258743</v>
          </cell>
        </row>
      </sheetData>
      <sheetData sheetId="10">
        <row r="46">
          <cell r="O46">
            <v>626805</v>
          </cell>
        </row>
      </sheetData>
      <sheetData sheetId="11">
        <row r="46">
          <cell r="O46">
            <v>720480</v>
          </cell>
        </row>
      </sheetData>
      <sheetData sheetId="12">
        <row r="46">
          <cell r="O46">
            <v>545987</v>
          </cell>
        </row>
      </sheetData>
      <sheetData sheetId="13">
        <row r="46">
          <cell r="O46">
            <v>1107539</v>
          </cell>
        </row>
      </sheetData>
      <sheetData sheetId="14">
        <row r="46">
          <cell r="O46" t="str">
            <v>N/A</v>
          </cell>
        </row>
      </sheetData>
      <sheetData sheetId="15">
        <row r="46">
          <cell r="O46">
            <v>709430</v>
          </cell>
        </row>
      </sheetData>
      <sheetData sheetId="16">
        <row r="46">
          <cell r="O46">
            <v>834834</v>
          </cell>
        </row>
      </sheetData>
      <sheetData sheetId="17">
        <row r="46">
          <cell r="O46">
            <v>153872</v>
          </cell>
        </row>
      </sheetData>
      <sheetData sheetId="18">
        <row r="46">
          <cell r="O46">
            <v>179117</v>
          </cell>
        </row>
      </sheetData>
      <sheetData sheetId="19">
        <row r="46">
          <cell r="O46">
            <v>649073</v>
          </cell>
        </row>
      </sheetData>
      <sheetData sheetId="20">
        <row r="46">
          <cell r="O46">
            <v>385094</v>
          </cell>
        </row>
      </sheetData>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REB Input"/>
      <sheetName val="Acad Space Model"/>
      <sheetName val="Acad Cost Study"/>
      <sheetName val="CS &amp; SP Smmy"/>
      <sheetName val="Acad CTG Costs"/>
      <sheetName val="ICUT Survey"/>
      <sheetName val="IFRS Smmy (2)"/>
      <sheetName val="IFRS Smmy"/>
      <sheetName val="Almanac 1"/>
      <sheetName val="Almanac 2"/>
      <sheetName val="TRB Evaul U"/>
      <sheetName val="T&amp;F Summary"/>
      <sheetName val="Univ_IE_Context"/>
      <sheetName val="Univ_IE_Keys"/>
      <sheetName val="Univ Context NA"/>
      <sheetName val="Univ_IE_Keys NA"/>
      <sheetName val="Academic Acct Smmy"/>
      <sheetName val="Smmy Acad SbS"/>
      <sheetName val="Smmy Chrts"/>
      <sheetName val="Smmy Sum"/>
      <sheetName val="Smmy FGD"/>
      <sheetName val="Smmy Fnts"/>
      <sheetName val="ARL Chrts"/>
      <sheetName val="ARL Sum"/>
      <sheetName val="ARL FGD"/>
      <sheetName val="ARL Fnts"/>
      <sheetName val="AUS1 Chrts"/>
      <sheetName val="AUS1 Sum"/>
      <sheetName val="AUS1 FGD"/>
      <sheetName val="AUS1 Fnts"/>
      <sheetName val="DAL Chrts"/>
      <sheetName val="DAL Sum"/>
      <sheetName val="DAL FGD"/>
      <sheetName val="DAL Fnts"/>
      <sheetName val="E-P Chrts"/>
      <sheetName val="E-P Sum"/>
      <sheetName val="E-P FGD"/>
      <sheetName val="E-P Fnts"/>
      <sheetName val="RGV1 Chrts"/>
      <sheetName val="RGV1 Sum"/>
      <sheetName val="RGV1 FGD"/>
      <sheetName val="RGV1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 Chrts"/>
      <sheetName val="UH Sum"/>
      <sheetName val="UH FGD"/>
      <sheetName val="UH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 Chrts"/>
      <sheetName val="shsu Sum"/>
      <sheetName val="shsu FGD"/>
      <sheetName val="shsu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AUS Chrts"/>
      <sheetName val="AUS Sum"/>
      <sheetName val="AUS FGD"/>
      <sheetName val="AUS Fnts"/>
      <sheetName val="RGV Chrts"/>
      <sheetName val="RGV Sum"/>
      <sheetName val="RGV FGD"/>
      <sheetName val="RGV Fnts"/>
      <sheetName val="Names"/>
      <sheetName val="Input"/>
      <sheetName val="FTSE"/>
      <sheetName val="PeerGroups"/>
      <sheetName val="Balanc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row r="11">
          <cell r="B11" t="str">
            <v>The University of Texas System</v>
          </cell>
          <cell r="C11">
            <v>3655</v>
          </cell>
          <cell r="D11" t="str">
            <v>UTS</v>
          </cell>
          <cell r="E11" t="str">
            <v>S40</v>
          </cell>
          <cell r="F11" t="str">
            <v>S40 - S &amp; U - FY 2016 - UTS.xlsx</v>
          </cell>
        </row>
        <row r="12">
          <cell r="B12" t="str">
            <v>The University of Texas at Arlington</v>
          </cell>
          <cell r="C12">
            <v>3656</v>
          </cell>
          <cell r="D12" t="str">
            <v>ARL</v>
          </cell>
          <cell r="E12">
            <v>40</v>
          </cell>
          <cell r="F12" t="str">
            <v>40 - S &amp; U - FY 2016 - ARL.xlsx</v>
          </cell>
          <cell r="H12">
            <v>10</v>
          </cell>
          <cell r="I12">
            <v>3656</v>
          </cell>
        </row>
        <row r="13">
          <cell r="B13" t="str">
            <v>The University of Texas at Austin -  All Disciplines (A+H+M)</v>
          </cell>
          <cell r="C13">
            <v>3658</v>
          </cell>
          <cell r="D13" t="str">
            <v>AUS</v>
          </cell>
          <cell r="E13">
            <v>50</v>
          </cell>
          <cell r="F13" t="str">
            <v>50 - S &amp; U - FY 2016 - AUS.xlsx</v>
          </cell>
          <cell r="H13">
            <v>20</v>
          </cell>
        </row>
        <row r="14">
          <cell r="B14" t="str">
            <v>The University of Texas at Austin - Academic &amp; Health (A+H)</v>
          </cell>
          <cell r="C14">
            <v>3658</v>
          </cell>
          <cell r="D14" t="str">
            <v>AUS1</v>
          </cell>
          <cell r="E14">
            <v>51</v>
          </cell>
          <cell r="F14" t="str">
            <v>51 - S &amp; U - FY 2016 - AUS1.xlsx</v>
          </cell>
          <cell r="H14">
            <v>21</v>
          </cell>
          <cell r="I14">
            <v>3658</v>
          </cell>
        </row>
        <row r="15">
          <cell r="B15" t="str">
            <v>The University of Texas at Dallas</v>
          </cell>
          <cell r="C15">
            <v>9741</v>
          </cell>
          <cell r="D15" t="str">
            <v>DAL</v>
          </cell>
          <cell r="E15">
            <v>60</v>
          </cell>
          <cell r="F15" t="str">
            <v>60 - S &amp; U - FY 2016 - DAL.xlsx</v>
          </cell>
          <cell r="H15">
            <v>30</v>
          </cell>
          <cell r="I15">
            <v>9741</v>
          </cell>
        </row>
        <row r="16">
          <cell r="B16" t="str">
            <v>The University of Texas at El Paso</v>
          </cell>
          <cell r="C16">
            <v>3661</v>
          </cell>
          <cell r="D16" t="str">
            <v>E-P</v>
          </cell>
          <cell r="E16">
            <v>70</v>
          </cell>
          <cell r="F16" t="str">
            <v>70 - S &amp; U - FY 2016 - E-P.xlsx</v>
          </cell>
          <cell r="H16">
            <v>40</v>
          </cell>
          <cell r="I16">
            <v>3661</v>
          </cell>
        </row>
        <row r="17">
          <cell r="B17" t="str">
            <v>The University of Texas RGV - All Disciplines (A+H+M)</v>
          </cell>
          <cell r="C17">
            <v>3599</v>
          </cell>
          <cell r="D17" t="str">
            <v>RGV</v>
          </cell>
          <cell r="E17">
            <v>90</v>
          </cell>
          <cell r="F17" t="str">
            <v>90 - S &amp; U - FY 2016 - RGV.xlsx</v>
          </cell>
          <cell r="H17">
            <v>60</v>
          </cell>
        </row>
        <row r="18">
          <cell r="B18" t="str">
            <v>The University of Texas RGV - Academic &amp; Health (A+H)</v>
          </cell>
          <cell r="C18">
            <v>3599</v>
          </cell>
          <cell r="D18" t="str">
            <v>RGV1</v>
          </cell>
          <cell r="E18">
            <v>91</v>
          </cell>
          <cell r="F18" t="str">
            <v>91 - S &amp; U - FY 2016 - RGV1.xlsx</v>
          </cell>
          <cell r="H18">
            <v>61</v>
          </cell>
          <cell r="I18">
            <v>3599</v>
          </cell>
        </row>
        <row r="19">
          <cell r="B19" t="str">
            <v>The University of Texas of the Permian Basin</v>
          </cell>
          <cell r="C19">
            <v>9930</v>
          </cell>
          <cell r="D19" t="str">
            <v>P-B</v>
          </cell>
          <cell r="E19">
            <v>100</v>
          </cell>
          <cell r="F19" t="str">
            <v>100 - S &amp; U - FY 2016 - P-B.xlsx</v>
          </cell>
          <cell r="H19">
            <v>70</v>
          </cell>
          <cell r="I19">
            <v>9930</v>
          </cell>
        </row>
        <row r="20">
          <cell r="B20" t="str">
            <v>The University of Texas at San Antonio</v>
          </cell>
          <cell r="C20">
            <v>10115</v>
          </cell>
          <cell r="D20" t="str">
            <v>S-A</v>
          </cell>
          <cell r="E20">
            <v>110</v>
          </cell>
          <cell r="F20" t="str">
            <v>110 - S &amp; U - FY 2016 - S-A.xlsx</v>
          </cell>
          <cell r="H20">
            <v>80</v>
          </cell>
          <cell r="I20">
            <v>10115</v>
          </cell>
        </row>
        <row r="21">
          <cell r="B21" t="str">
            <v>The University of Texas at Tyler</v>
          </cell>
          <cell r="C21">
            <v>11163</v>
          </cell>
          <cell r="D21" t="str">
            <v>TYL</v>
          </cell>
          <cell r="E21">
            <v>120</v>
          </cell>
          <cell r="F21" t="str">
            <v>120 - S &amp; U - FY 2016 - TYL.xlsx</v>
          </cell>
          <cell r="H21">
            <v>90</v>
          </cell>
          <cell r="I21">
            <v>11163</v>
          </cell>
        </row>
        <row r="22">
          <cell r="B22" t="str">
            <v>Texas A&amp;M University System</v>
          </cell>
          <cell r="C22">
            <v>3629</v>
          </cell>
          <cell r="D22" t="str">
            <v>TAMUS</v>
          </cell>
          <cell r="E22" t="str">
            <v>S130</v>
          </cell>
          <cell r="F22" t="str">
            <v>S130 - S &amp; U - FY 2016 - TAMUS.xlsx</v>
          </cell>
        </row>
        <row r="23">
          <cell r="B23" t="str">
            <v>Texas A&amp;M University</v>
          </cell>
          <cell r="C23">
            <v>3632</v>
          </cell>
          <cell r="D23" t="str">
            <v>TAMU</v>
          </cell>
          <cell r="E23">
            <v>130</v>
          </cell>
          <cell r="F23" t="str">
            <v>130 - S &amp; U - FY 2016 - TAMU.xlsx</v>
          </cell>
          <cell r="H23">
            <v>100</v>
          </cell>
          <cell r="I23">
            <v>3632</v>
          </cell>
        </row>
        <row r="24">
          <cell r="B24" t="str">
            <v>Texas A&amp;M University at Galveston</v>
          </cell>
          <cell r="C24">
            <v>10298</v>
          </cell>
          <cell r="D24" t="str">
            <v>TAMUG</v>
          </cell>
          <cell r="E24">
            <v>140</v>
          </cell>
          <cell r="F24" t="str">
            <v>140 - S &amp; U - FY 2016 - TAMUG.xlsx</v>
          </cell>
          <cell r="H24">
            <v>110</v>
          </cell>
          <cell r="I24">
            <v>10298</v>
          </cell>
        </row>
        <row r="25">
          <cell r="B25" t="str">
            <v>Prairie View A&amp;M University</v>
          </cell>
          <cell r="C25">
            <v>3630</v>
          </cell>
          <cell r="D25" t="str">
            <v>PVAMU</v>
          </cell>
          <cell r="E25">
            <v>150</v>
          </cell>
          <cell r="F25" t="str">
            <v>150 - S &amp; U - FY 2016 - PVAMU.xlsx</v>
          </cell>
          <cell r="H25">
            <v>120</v>
          </cell>
          <cell r="I25">
            <v>3630</v>
          </cell>
        </row>
        <row r="26">
          <cell r="B26" t="str">
            <v>Tarleton State University</v>
          </cell>
          <cell r="C26">
            <v>3631</v>
          </cell>
          <cell r="D26" t="str">
            <v>TARLST</v>
          </cell>
          <cell r="E26">
            <v>160</v>
          </cell>
          <cell r="F26" t="str">
            <v>160 - S &amp; U - FY 2016 - TARL ST.xlsx</v>
          </cell>
          <cell r="H26">
            <v>130</v>
          </cell>
          <cell r="I26">
            <v>3631</v>
          </cell>
        </row>
        <row r="27">
          <cell r="B27" t="str">
            <v>Texas A&amp;M University - Corpus Christi</v>
          </cell>
          <cell r="C27">
            <v>11161</v>
          </cell>
          <cell r="D27" t="str">
            <v>TAMUCC</v>
          </cell>
          <cell r="E27">
            <v>170</v>
          </cell>
          <cell r="F27" t="str">
            <v>170 - S &amp; U - FY 2016 - TAMUCC.xlsx</v>
          </cell>
          <cell r="G27">
            <v>7424229</v>
          </cell>
          <cell r="H27">
            <v>150</v>
          </cell>
          <cell r="I27">
            <v>11161</v>
          </cell>
          <cell r="K27">
            <v>11136344</v>
          </cell>
        </row>
        <row r="28">
          <cell r="B28" t="str">
            <v>Texas A&amp;M University - Kingsville</v>
          </cell>
          <cell r="C28">
            <v>3639</v>
          </cell>
          <cell r="D28" t="str">
            <v>TAMUK</v>
          </cell>
          <cell r="E28">
            <v>180</v>
          </cell>
          <cell r="F28" t="str">
            <v>180 - S &amp; U - FY 2016 - TAMUK.xlsx</v>
          </cell>
          <cell r="G28">
            <v>5977371</v>
          </cell>
          <cell r="H28">
            <v>160</v>
          </cell>
          <cell r="I28">
            <v>3639</v>
          </cell>
          <cell r="K28">
            <v>8966056</v>
          </cell>
        </row>
        <row r="29">
          <cell r="B29" t="str">
            <v>Texas A&amp;M International University</v>
          </cell>
          <cell r="C29">
            <v>9651</v>
          </cell>
          <cell r="D29" t="str">
            <v>TAMIU</v>
          </cell>
          <cell r="E29">
            <v>190</v>
          </cell>
          <cell r="F29" t="str">
            <v>190 - S &amp; U - FY 2016 - TAMIU.xlsx</v>
          </cell>
          <cell r="G29">
            <v>4473273</v>
          </cell>
          <cell r="H29">
            <v>180</v>
          </cell>
          <cell r="I29">
            <v>9651</v>
          </cell>
          <cell r="K29">
            <v>6709910</v>
          </cell>
        </row>
        <row r="30">
          <cell r="B30" t="str">
            <v>West Texas A&amp;M University</v>
          </cell>
          <cell r="C30">
            <v>3665</v>
          </cell>
          <cell r="D30" t="str">
            <v>WTAMU</v>
          </cell>
          <cell r="E30">
            <v>200</v>
          </cell>
          <cell r="F30" t="str">
            <v>200 - S &amp; U - FY 2016 - WTAMU.xlsx</v>
          </cell>
          <cell r="G30">
            <v>4776272</v>
          </cell>
          <cell r="H30">
            <v>190</v>
          </cell>
          <cell r="I30">
            <v>3665</v>
          </cell>
          <cell r="K30">
            <v>7164408</v>
          </cell>
        </row>
        <row r="31">
          <cell r="B31" t="str">
            <v>Texas A&amp;M University - Commerce</v>
          </cell>
          <cell r="C31">
            <v>3565</v>
          </cell>
          <cell r="D31" t="str">
            <v>TAMUC</v>
          </cell>
          <cell r="E31">
            <v>210</v>
          </cell>
          <cell r="F31" t="str">
            <v>210 - S &amp; U - FY 2016 - TAMUC.xlsx</v>
          </cell>
          <cell r="G31">
            <v>7190875</v>
          </cell>
          <cell r="H31">
            <v>200</v>
          </cell>
          <cell r="I31">
            <v>3565</v>
          </cell>
          <cell r="K31">
            <v>10786313</v>
          </cell>
        </row>
        <row r="32">
          <cell r="B32" t="str">
            <v>Texas A&amp;M University - Texarkana</v>
          </cell>
          <cell r="C32">
            <v>29269</v>
          </cell>
          <cell r="D32" t="str">
            <v>TAMUT</v>
          </cell>
          <cell r="E32">
            <v>220</v>
          </cell>
          <cell r="F32" t="str">
            <v>220 - S &amp; U - FY 2016 - TAMUT.xlsx</v>
          </cell>
          <cell r="G32">
            <v>1215922</v>
          </cell>
          <cell r="H32">
            <v>210</v>
          </cell>
          <cell r="I32">
            <v>29269</v>
          </cell>
          <cell r="K32">
            <v>1823883</v>
          </cell>
        </row>
        <row r="33">
          <cell r="B33" t="str">
            <v>Texas A&amp;M University - Central Texas</v>
          </cell>
          <cell r="C33">
            <v>42295</v>
          </cell>
          <cell r="D33" t="str">
            <v>TAMUCT</v>
          </cell>
          <cell r="E33">
            <v>223</v>
          </cell>
          <cell r="F33" t="str">
            <v>223 - S &amp; U - FY 2016 - TAMUCT.xlsx</v>
          </cell>
          <cell r="H33">
            <v>140</v>
          </cell>
          <cell r="I33">
            <v>42295</v>
          </cell>
        </row>
        <row r="34">
          <cell r="B34" t="str">
            <v>Texas A&amp;M University - San Antonio</v>
          </cell>
          <cell r="C34">
            <v>42485</v>
          </cell>
          <cell r="D34" t="str">
            <v>TAMUSA</v>
          </cell>
          <cell r="E34">
            <v>226</v>
          </cell>
          <cell r="F34" t="str">
            <v>226 - S &amp; U - FY 2016 - TAMUSA.xlsx</v>
          </cell>
          <cell r="H34">
            <v>170</v>
          </cell>
          <cell r="I34">
            <v>42485</v>
          </cell>
        </row>
        <row r="35">
          <cell r="B35" t="str">
            <v>Texas A&amp;M AgriLife Research</v>
          </cell>
          <cell r="C35">
            <v>556</v>
          </cell>
          <cell r="D35" t="str">
            <v>TAR</v>
          </cell>
          <cell r="E35">
            <v>600</v>
          </cell>
          <cell r="F35" t="str">
            <v>600 - S &amp; U - FY 2016 - TAR.xlsx</v>
          </cell>
        </row>
        <row r="36">
          <cell r="B36" t="str">
            <v>Texas A&amp;M AgriLife Extension Service</v>
          </cell>
          <cell r="C36">
            <v>555</v>
          </cell>
          <cell r="D36" t="str">
            <v>TAES</v>
          </cell>
          <cell r="E36">
            <v>605</v>
          </cell>
          <cell r="F36" t="str">
            <v>605 - S &amp; U - FY 2016 - TAES.xlsx</v>
          </cell>
        </row>
        <row r="37">
          <cell r="B37" t="str">
            <v>Texas A&amp;M Engineering Experiment Station</v>
          </cell>
          <cell r="C37">
            <v>712</v>
          </cell>
          <cell r="D37" t="str">
            <v>TEES1</v>
          </cell>
          <cell r="E37">
            <v>610</v>
          </cell>
          <cell r="F37" t="str">
            <v>610 - S &amp; U - FY 2016 - TEES1.xlsx</v>
          </cell>
        </row>
        <row r="38">
          <cell r="B38" t="str">
            <v>Texas A&amp;M Engineering Extension Service</v>
          </cell>
          <cell r="C38">
            <v>716</v>
          </cell>
          <cell r="D38" t="str">
            <v>TEES2</v>
          </cell>
          <cell r="E38">
            <v>615</v>
          </cell>
          <cell r="F38" t="str">
            <v>615 - S &amp; U - FY 2016 - TEES2.xlsx</v>
          </cell>
        </row>
        <row r="39">
          <cell r="B39" t="str">
            <v>Texas A&amp;M Forest Service</v>
          </cell>
          <cell r="C39">
            <v>576</v>
          </cell>
          <cell r="D39" t="str">
            <v>TFS</v>
          </cell>
          <cell r="E39">
            <v>620</v>
          </cell>
          <cell r="F39" t="str">
            <v>620 - S &amp; U - FY 2016 - TFS.xlsx</v>
          </cell>
        </row>
        <row r="40">
          <cell r="B40" t="str">
            <v>Texas A&amp;M Transportation Institute</v>
          </cell>
          <cell r="C40">
            <v>727</v>
          </cell>
          <cell r="D40" t="str">
            <v>TTI</v>
          </cell>
          <cell r="E40">
            <v>625</v>
          </cell>
          <cell r="F40" t="str">
            <v>625 - S &amp; U - FY 2016 - TTI.xlsx</v>
          </cell>
        </row>
        <row r="41">
          <cell r="B41" t="str">
            <v>Texas A&amp;M Vet. Medical Diagnostic Laboratory</v>
          </cell>
          <cell r="C41">
            <v>557</v>
          </cell>
          <cell r="D41" t="str">
            <v>TVMDL</v>
          </cell>
          <cell r="E41">
            <v>630</v>
          </cell>
          <cell r="F41" t="str">
            <v>630 - S &amp; U - FY 2016 - TVMDL.xlsx</v>
          </cell>
        </row>
        <row r="42">
          <cell r="B42" t="str">
            <v>University of Houston System</v>
          </cell>
          <cell r="C42">
            <v>110</v>
          </cell>
          <cell r="D42" t="str">
            <v>UHS</v>
          </cell>
          <cell r="E42" t="str">
            <v>S230</v>
          </cell>
          <cell r="F42" t="str">
            <v>S230 - S &amp; U - FY 2016 - UTS.xlsx</v>
          </cell>
        </row>
        <row r="43">
          <cell r="B43" t="str">
            <v>University of Houston</v>
          </cell>
          <cell r="C43">
            <v>3652</v>
          </cell>
          <cell r="D43" t="str">
            <v>UH</v>
          </cell>
          <cell r="E43">
            <v>230</v>
          </cell>
          <cell r="F43" t="str">
            <v>230 - S &amp; U - FY 2016 - UH.xlsx</v>
          </cell>
          <cell r="G43">
            <v>35180036</v>
          </cell>
          <cell r="H43">
            <v>220</v>
          </cell>
          <cell r="I43">
            <v>3652</v>
          </cell>
          <cell r="K43">
            <v>52770054</v>
          </cell>
        </row>
        <row r="44">
          <cell r="B44" t="str">
            <v>University of Houston - Clear Lake</v>
          </cell>
          <cell r="C44">
            <v>11711</v>
          </cell>
          <cell r="D44" t="str">
            <v>UHCL</v>
          </cell>
          <cell r="E44">
            <v>240</v>
          </cell>
          <cell r="F44" t="str">
            <v>240 - S &amp; U - FY 2016 - UHCL.xlsx</v>
          </cell>
          <cell r="G44">
            <v>5336744</v>
          </cell>
          <cell r="H44">
            <v>230</v>
          </cell>
          <cell r="I44">
            <v>11711</v>
          </cell>
          <cell r="K44">
            <v>8005116</v>
          </cell>
        </row>
        <row r="45">
          <cell r="B45" t="str">
            <v>University of Houston - Downtown</v>
          </cell>
          <cell r="C45">
            <v>12826</v>
          </cell>
          <cell r="D45" t="str">
            <v>UHD</v>
          </cell>
          <cell r="E45">
            <v>250</v>
          </cell>
          <cell r="F45" t="str">
            <v>250 - S &amp; U - FY 2016 - UHD.xlsx</v>
          </cell>
          <cell r="G45">
            <v>7835252</v>
          </cell>
          <cell r="H45">
            <v>240</v>
          </cell>
          <cell r="I45">
            <v>12826</v>
          </cell>
          <cell r="K45">
            <v>11752877</v>
          </cell>
        </row>
        <row r="46">
          <cell r="B46" t="str">
            <v>University of Houston - Victoria</v>
          </cell>
          <cell r="C46">
            <v>13231</v>
          </cell>
          <cell r="D46" t="str">
            <v>UHV</v>
          </cell>
          <cell r="E46">
            <v>260</v>
          </cell>
          <cell r="F46" t="str">
            <v>260 - S &amp; U - FY 2016 - UHV.xlsx</v>
          </cell>
          <cell r="G46">
            <v>2850574</v>
          </cell>
          <cell r="H46">
            <v>250</v>
          </cell>
          <cell r="I46">
            <v>13231</v>
          </cell>
          <cell r="K46">
            <v>4275861</v>
          </cell>
        </row>
        <row r="47">
          <cell r="B47" t="str">
            <v>Texas State System</v>
          </cell>
          <cell r="C47">
            <v>110</v>
          </cell>
          <cell r="D47" t="str">
            <v>TXSTS</v>
          </cell>
          <cell r="E47" t="str">
            <v>S270</v>
          </cell>
          <cell r="F47" t="str">
            <v>S270 - S &amp; U - FY 2016 - TXSTS.xlsx</v>
          </cell>
        </row>
        <row r="48">
          <cell r="B48" t="str">
            <v xml:space="preserve">Lamar University </v>
          </cell>
          <cell r="C48">
            <v>3581</v>
          </cell>
          <cell r="D48" t="str">
            <v>LU</v>
          </cell>
          <cell r="E48">
            <v>270</v>
          </cell>
          <cell r="F48" t="str">
            <v>270 - S &amp; U - FY 2016 - LU.xlsx</v>
          </cell>
          <cell r="G48">
            <v>9401255</v>
          </cell>
          <cell r="H48">
            <v>340</v>
          </cell>
          <cell r="I48">
            <v>3581</v>
          </cell>
          <cell r="K48">
            <v>14101882</v>
          </cell>
        </row>
        <row r="49">
          <cell r="B49" t="str">
            <v>Sam Houston State University</v>
          </cell>
          <cell r="C49">
            <v>3606</v>
          </cell>
          <cell r="D49" t="str">
            <v>SHSU</v>
          </cell>
          <cell r="E49">
            <v>280</v>
          </cell>
          <cell r="F49" t="str">
            <v>280 - S &amp; U - FY 2016 - SHSU.xlsx</v>
          </cell>
          <cell r="G49">
            <v>11553239</v>
          </cell>
          <cell r="H49">
            <v>350</v>
          </cell>
          <cell r="I49">
            <v>3606</v>
          </cell>
          <cell r="K49">
            <v>17329858</v>
          </cell>
        </row>
        <row r="50">
          <cell r="B50" t="str">
            <v>Texas State University</v>
          </cell>
          <cell r="C50">
            <v>3615</v>
          </cell>
          <cell r="D50" t="str">
            <v>TXST</v>
          </cell>
          <cell r="E50">
            <v>290</v>
          </cell>
          <cell r="F50" t="str">
            <v>290 - S &amp; U - FY 2016 - TXST.xlsx</v>
          </cell>
          <cell r="G50">
            <v>24775170</v>
          </cell>
          <cell r="H50">
            <v>360</v>
          </cell>
          <cell r="I50">
            <v>3615</v>
          </cell>
          <cell r="K50">
            <v>37162755</v>
          </cell>
        </row>
        <row r="51">
          <cell r="B51" t="str">
            <v>Sul Ross State University</v>
          </cell>
          <cell r="C51">
            <v>3625</v>
          </cell>
          <cell r="D51" t="str">
            <v>SRSU</v>
          </cell>
          <cell r="E51">
            <v>300</v>
          </cell>
          <cell r="F51" t="str">
            <v>300 - S &amp; U - FY 2016 - SRSU.xlsx</v>
          </cell>
          <cell r="G51">
            <v>1697507</v>
          </cell>
          <cell r="H51">
            <v>370</v>
          </cell>
          <cell r="I51">
            <v>3625</v>
          </cell>
          <cell r="K51">
            <v>2546261</v>
          </cell>
        </row>
        <row r="52">
          <cell r="B52" t="str">
            <v>Texas Tech University System</v>
          </cell>
          <cell r="C52">
            <v>439154</v>
          </cell>
          <cell r="D52" t="str">
            <v>TTUS</v>
          </cell>
          <cell r="E52" t="str">
            <v>S310</v>
          </cell>
          <cell r="F52" t="str">
            <v>S310 - S &amp; U - FY 2016 - TTUS.xlsx</v>
          </cell>
        </row>
        <row r="53">
          <cell r="B53" t="str">
            <v>Texas Tech University</v>
          </cell>
          <cell r="C53">
            <v>3644</v>
          </cell>
          <cell r="D53" t="str">
            <v>TTU</v>
          </cell>
          <cell r="E53">
            <v>310</v>
          </cell>
          <cell r="F53" t="str">
            <v>310 - S &amp; U - FY 2016 - TTU.xlsx</v>
          </cell>
          <cell r="G53">
            <v>32817206</v>
          </cell>
          <cell r="H53">
            <v>310</v>
          </cell>
          <cell r="I53">
            <v>3644</v>
          </cell>
          <cell r="K53">
            <v>49225809</v>
          </cell>
        </row>
        <row r="54">
          <cell r="B54" t="str">
            <v>Angelo State University</v>
          </cell>
          <cell r="C54">
            <v>3541</v>
          </cell>
          <cell r="D54" t="str">
            <v>ASU</v>
          </cell>
          <cell r="E54">
            <v>320</v>
          </cell>
          <cell r="F54" t="str">
            <v>320 - S &amp; U - FY 2016 - ASU.xlsx</v>
          </cell>
          <cell r="G54">
            <v>3546735</v>
          </cell>
          <cell r="H54">
            <v>320</v>
          </cell>
          <cell r="I54">
            <v>3541</v>
          </cell>
          <cell r="K54">
            <v>5320102</v>
          </cell>
        </row>
        <row r="55">
          <cell r="B55" t="str">
            <v>University of North Texas System</v>
          </cell>
          <cell r="C55">
            <v>103594</v>
          </cell>
          <cell r="D55" t="str">
            <v>UNTS</v>
          </cell>
          <cell r="E55" t="str">
            <v>S330</v>
          </cell>
          <cell r="F55" t="str">
            <v>S330 - S &amp; U - FY 2016 - UNTS.xlsx</v>
          </cell>
        </row>
        <row r="56">
          <cell r="B56" t="str">
            <v>University of North Texas</v>
          </cell>
          <cell r="C56">
            <v>3594</v>
          </cell>
          <cell r="D56" t="str">
            <v>UNT</v>
          </cell>
          <cell r="E56">
            <v>330</v>
          </cell>
          <cell r="F56" t="str">
            <v>330 - S &amp; U - FY 2016 - UNT.xlsx</v>
          </cell>
          <cell r="G56">
            <v>25041370</v>
          </cell>
          <cell r="H56">
            <v>270</v>
          </cell>
          <cell r="I56">
            <v>3594</v>
          </cell>
          <cell r="K56">
            <v>37562056</v>
          </cell>
        </row>
        <row r="57">
          <cell r="B57" t="str">
            <v>University of North Texas at Dallas</v>
          </cell>
          <cell r="C57">
            <v>42421</v>
          </cell>
          <cell r="D57" t="str">
            <v>UNTD</v>
          </cell>
          <cell r="E57">
            <v>333</v>
          </cell>
          <cell r="F57" t="str">
            <v>333 - S &amp; U - FY 2016 - UNTD.xlsx</v>
          </cell>
          <cell r="G57">
            <v>1408669</v>
          </cell>
          <cell r="H57">
            <v>280</v>
          </cell>
          <cell r="I57">
            <v>42421</v>
          </cell>
          <cell r="K57">
            <v>2113004</v>
          </cell>
        </row>
        <row r="58">
          <cell r="B58" t="str">
            <v>Midwestern State University</v>
          </cell>
          <cell r="C58">
            <v>3592</v>
          </cell>
          <cell r="D58" t="str">
            <v>MidWST</v>
          </cell>
          <cell r="E58">
            <v>340</v>
          </cell>
          <cell r="F58" t="str">
            <v>340 - S &amp; U - FY 2016 - MidWST.xlsx</v>
          </cell>
          <cell r="G58">
            <v>3374275</v>
          </cell>
          <cell r="H58">
            <v>260</v>
          </cell>
          <cell r="I58">
            <v>3592</v>
          </cell>
          <cell r="K58">
            <v>5061412</v>
          </cell>
        </row>
        <row r="59">
          <cell r="B59" t="str">
            <v>Stephen F. Austin State University</v>
          </cell>
          <cell r="C59">
            <v>3624</v>
          </cell>
          <cell r="D59" t="str">
            <v>SFA</v>
          </cell>
          <cell r="E59">
            <v>350</v>
          </cell>
          <cell r="F59" t="str">
            <v>350 - S &amp; U - FY 2016 - SFA.xlsx</v>
          </cell>
          <cell r="G59">
            <v>7757442</v>
          </cell>
          <cell r="H59">
            <v>290</v>
          </cell>
          <cell r="I59">
            <v>3624</v>
          </cell>
          <cell r="K59">
            <v>11636163</v>
          </cell>
        </row>
        <row r="60">
          <cell r="B60" t="str">
            <v>Texas Southern University</v>
          </cell>
          <cell r="C60">
            <v>3642</v>
          </cell>
          <cell r="D60" t="str">
            <v>TSU</v>
          </cell>
          <cell r="E60">
            <v>360</v>
          </cell>
          <cell r="F60" t="str">
            <v>360 - S &amp; U - FY 2016 - TSU.xlsx</v>
          </cell>
          <cell r="G60">
            <v>7773229</v>
          </cell>
          <cell r="H60">
            <v>300</v>
          </cell>
          <cell r="I60">
            <v>3642</v>
          </cell>
          <cell r="K60">
            <v>11659843</v>
          </cell>
        </row>
        <row r="61">
          <cell r="B61" t="str">
            <v>Texas Woman's University</v>
          </cell>
          <cell r="C61">
            <v>3646</v>
          </cell>
          <cell r="D61" t="str">
            <v>TWU</v>
          </cell>
          <cell r="E61">
            <v>370</v>
          </cell>
          <cell r="F61" t="str">
            <v>370 - S &amp; U - FY 2016 - TWU.xlsx</v>
          </cell>
          <cell r="G61">
            <v>9897706</v>
          </cell>
          <cell r="H61">
            <v>330</v>
          </cell>
          <cell r="I61">
            <v>3646</v>
          </cell>
          <cell r="K61">
            <v>14846558</v>
          </cell>
        </row>
        <row r="62">
          <cell r="B62" t="str">
            <v>Lamar Institute of Technology</v>
          </cell>
          <cell r="C62">
            <v>36273</v>
          </cell>
          <cell r="D62" t="str">
            <v>LIT</v>
          </cell>
          <cell r="E62">
            <v>490</v>
          </cell>
          <cell r="F62" t="str">
            <v>490 - S &amp; U - FY 2016 - LIT.xlsx</v>
          </cell>
          <cell r="G62">
            <v>1720347</v>
          </cell>
          <cell r="H62">
            <v>430</v>
          </cell>
          <cell r="K62">
            <v>2580521</v>
          </cell>
        </row>
        <row r="63">
          <cell r="B63" t="str">
            <v>Lamar State College - Orange</v>
          </cell>
          <cell r="C63">
            <v>23582</v>
          </cell>
          <cell r="D63" t="str">
            <v>LSCO</v>
          </cell>
          <cell r="E63">
            <v>500</v>
          </cell>
          <cell r="F63" t="str">
            <v>500 - S &amp; U - FY 2016 - LSCO.xlsx</v>
          </cell>
          <cell r="G63">
            <v>1129562</v>
          </cell>
          <cell r="H63">
            <v>440</v>
          </cell>
          <cell r="K63">
            <v>1694343</v>
          </cell>
        </row>
        <row r="64">
          <cell r="B64" t="str">
            <v>Lamar State College - Port Arthur</v>
          </cell>
          <cell r="C64">
            <v>23485</v>
          </cell>
          <cell r="D64" t="str">
            <v>LSCPA</v>
          </cell>
          <cell r="E64">
            <v>510</v>
          </cell>
          <cell r="F64" t="str">
            <v>510 - S &amp; U - FY 2016 - LSCPA.xlsx</v>
          </cell>
          <cell r="G64">
            <v>1438523</v>
          </cell>
          <cell r="H64">
            <v>450</v>
          </cell>
          <cell r="K64">
            <v>2157784</v>
          </cell>
        </row>
        <row r="65">
          <cell r="B65" t="str">
            <v>Texas State Technical College - Harlingen</v>
          </cell>
          <cell r="C65">
            <v>9225</v>
          </cell>
          <cell r="D65" t="str">
            <v>TSTCH</v>
          </cell>
          <cell r="E65">
            <v>520</v>
          </cell>
          <cell r="F65" t="str">
            <v>520 - S &amp; U - FY 2016 - TSTCH.xlsx</v>
          </cell>
          <cell r="G65">
            <v>5775000</v>
          </cell>
          <cell r="H65">
            <v>390</v>
          </cell>
          <cell r="K65">
            <v>8662500</v>
          </cell>
        </row>
        <row r="66">
          <cell r="B66" t="str">
            <v>Texas State Technical College - West Texas</v>
          </cell>
          <cell r="C66">
            <v>9932</v>
          </cell>
          <cell r="D66" t="str">
            <v>TSTCWT</v>
          </cell>
          <cell r="E66">
            <v>530</v>
          </cell>
          <cell r="F66" t="str">
            <v>530 - S &amp; U - FY 2016 - TSTCWT.xlsx</v>
          </cell>
          <cell r="H66">
            <v>400</v>
          </cell>
        </row>
        <row r="67">
          <cell r="B67" t="str">
            <v>Texas State Technical College - Marshall</v>
          </cell>
          <cell r="C67">
            <v>33965</v>
          </cell>
          <cell r="D67" t="str">
            <v>TSTCM</v>
          </cell>
          <cell r="E67">
            <v>540</v>
          </cell>
          <cell r="F67" t="str">
            <v>540 - S &amp; U - FY 2016 - TSTCM.xlsx</v>
          </cell>
          <cell r="H67">
            <v>410</v>
          </cell>
        </row>
        <row r="68">
          <cell r="B68" t="str">
            <v>Texas State Technical College - Waco</v>
          </cell>
          <cell r="C68">
            <v>3634</v>
          </cell>
          <cell r="D68" t="str">
            <v>TSTCW</v>
          </cell>
          <cell r="E68">
            <v>550</v>
          </cell>
          <cell r="F68" t="str">
            <v>550 - S &amp; U - FY 2016 - TSTCW.xlsx</v>
          </cell>
          <cell r="H68">
            <v>420</v>
          </cell>
        </row>
        <row r="69">
          <cell r="B69" t="str">
            <v>Texas State Technical College - System</v>
          </cell>
          <cell r="C69">
            <v>9642</v>
          </cell>
          <cell r="D69" t="str">
            <v>TSTCS</v>
          </cell>
          <cell r="E69">
            <v>555</v>
          </cell>
          <cell r="F69" t="str">
            <v>555 - S &amp; U - FY 2016 - TSTCS.xlsx</v>
          </cell>
        </row>
      </sheetData>
      <sheetData sheetId="176"/>
      <sheetData sheetId="177">
        <row r="8">
          <cell r="C8" t="str">
            <v>The University of Texas at Arlington</v>
          </cell>
        </row>
      </sheetData>
      <sheetData sheetId="178"/>
      <sheetData sheetId="17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REB Input"/>
      <sheetName val="HRI Space Model"/>
      <sheetName val="HRI CTG Costs"/>
      <sheetName val="HRI Funding Comp"/>
      <sheetName val="Healthcare"/>
      <sheetName val="IFRS Smmy (2)"/>
      <sheetName val="IFRS Smmy"/>
      <sheetName val="Almanac"/>
      <sheetName val="TRB Eval HRI"/>
      <sheetName val="T&amp;F Summary"/>
      <sheetName val="HRI_IE_Context"/>
      <sheetName val="HRI_IE_Keys"/>
      <sheetName val="HRI Context NA"/>
      <sheetName val="HRI Keys NA"/>
      <sheetName val="ComRpt"/>
      <sheetName val="SP"/>
      <sheetName val="Smmy HRI SbS"/>
      <sheetName val="Smmy Chts"/>
      <sheetName val="Smmy Sum"/>
      <sheetName val="Smmy FGD"/>
      <sheetName val="Smmy Fnts"/>
      <sheetName val="SWM Chts"/>
      <sheetName val="SWM Sum"/>
      <sheetName val="SWM FGD"/>
      <sheetName val="SWM Fnts"/>
      <sheetName val="MBG Chts"/>
      <sheetName val="MBG Sum"/>
      <sheetName val="MBG FGD"/>
      <sheetName val="MBG Fnts"/>
      <sheetName val="HSH Chts"/>
      <sheetName val="HSH Sum"/>
      <sheetName val="HSH FGD"/>
      <sheetName val="HSH Fnts"/>
      <sheetName val="HSSA Chts"/>
      <sheetName val="HSSA Sum"/>
      <sheetName val="HSSA FGD"/>
      <sheetName val="HSSA Fnts"/>
      <sheetName val="MDA Chts"/>
      <sheetName val="MDA Sum"/>
      <sheetName val="MDA FGD"/>
      <sheetName val="MDA Fnts"/>
      <sheetName val="THC Chts"/>
      <sheetName val="THC Sum"/>
      <sheetName val="THC FGD"/>
      <sheetName val="THC Fnts"/>
      <sheetName val="TAMHSC Chts"/>
      <sheetName val="TAMHSC Sum"/>
      <sheetName val="TAMHSC FGD"/>
      <sheetName val="TAMHSC Fnts"/>
      <sheetName val="UNTHSC1 Chts"/>
      <sheetName val="UNTHS1 Sum"/>
      <sheetName val="UNTHSC1 FGD"/>
      <sheetName val="UNTHSC1 Fnts"/>
      <sheetName val="TTUHSC Chts"/>
      <sheetName val="TTUHSC Sum"/>
      <sheetName val="TTUHSC FGD"/>
      <sheetName val="TTUHSC Fnts"/>
      <sheetName val="TTUHSCEP Chts"/>
      <sheetName val="TTUHSCEP Sum"/>
      <sheetName val="TTUHSCEP FGD"/>
      <sheetName val="TTUHSCEP Fnts"/>
      <sheetName val="AUSM Chts"/>
      <sheetName val="AUSM Sum"/>
      <sheetName val="AUSM FGD"/>
      <sheetName val="AUSM Fnts"/>
      <sheetName val="RGVM Chts"/>
      <sheetName val="RGVM Sum"/>
      <sheetName val="RGVM FGD"/>
      <sheetName val="RGVM Fnts"/>
      <sheetName val="UHM Chts"/>
      <sheetName val="UHM Sum"/>
      <sheetName val="UHM FGD"/>
      <sheetName val="UHM Fnts"/>
      <sheetName val="SHNF Chts"/>
      <sheetName val="SHNF Sum"/>
      <sheetName val="SHNF FGD"/>
      <sheetName val="SHNF Fnts"/>
      <sheetName val="UNTHSCPM Chts"/>
      <sheetName val="UNTHSCPM Sum"/>
      <sheetName val="UNTHSCPM FGD"/>
      <sheetName val="UNTHSCPM Fnts"/>
      <sheetName val="UNTHSC Chts"/>
      <sheetName val="UNTHSC Sum"/>
      <sheetName val="UNTHSC FGD"/>
      <sheetName val="UNTHSC Fnts"/>
      <sheetName val="Names"/>
      <sheetName val="Input"/>
      <sheetName val="FTSE"/>
      <sheetName val="Balanc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8">
          <cell r="C18">
            <v>28274.699999999997</v>
          </cell>
        </row>
      </sheetData>
      <sheetData sheetId="20"/>
      <sheetData sheetId="21"/>
      <sheetData sheetId="22"/>
      <sheetData sheetId="23">
        <row r="15">
          <cell r="B15">
            <v>239383849</v>
          </cell>
        </row>
      </sheetData>
      <sheetData sheetId="24"/>
      <sheetData sheetId="25"/>
      <sheetData sheetId="26"/>
      <sheetData sheetId="27">
        <row r="15">
          <cell r="B15">
            <v>383035096</v>
          </cell>
        </row>
      </sheetData>
      <sheetData sheetId="28"/>
      <sheetData sheetId="29"/>
      <sheetData sheetId="30"/>
      <sheetData sheetId="31">
        <row r="15">
          <cell r="B15">
            <v>239773203</v>
          </cell>
        </row>
      </sheetData>
      <sheetData sheetId="32"/>
      <sheetData sheetId="33"/>
      <sheetData sheetId="34"/>
      <sheetData sheetId="35">
        <row r="15">
          <cell r="B15">
            <v>187156458</v>
          </cell>
        </row>
      </sheetData>
      <sheetData sheetId="36"/>
      <sheetData sheetId="37"/>
      <sheetData sheetId="38"/>
      <sheetData sheetId="39">
        <row r="15">
          <cell r="B15">
            <v>255054303</v>
          </cell>
        </row>
      </sheetData>
      <sheetData sheetId="40"/>
      <sheetData sheetId="41"/>
      <sheetData sheetId="42"/>
      <sheetData sheetId="43">
        <row r="15">
          <cell r="B15">
            <v>58139906</v>
          </cell>
        </row>
      </sheetData>
      <sheetData sheetId="44"/>
      <sheetData sheetId="45"/>
      <sheetData sheetId="46"/>
      <sheetData sheetId="47">
        <row r="15">
          <cell r="B15">
            <v>223252666</v>
          </cell>
        </row>
      </sheetData>
      <sheetData sheetId="48"/>
      <sheetData sheetId="49"/>
      <sheetData sheetId="50"/>
      <sheetData sheetId="51">
        <row r="15">
          <cell r="B15">
            <v>124099105</v>
          </cell>
        </row>
      </sheetData>
      <sheetData sheetId="52"/>
      <sheetData sheetId="53"/>
      <sheetData sheetId="54"/>
      <sheetData sheetId="55">
        <row r="15">
          <cell r="B15">
            <v>202030539</v>
          </cell>
        </row>
      </sheetData>
      <sheetData sheetId="56"/>
      <sheetData sheetId="57"/>
      <sheetData sheetId="58"/>
      <sheetData sheetId="59">
        <row r="15">
          <cell r="B15">
            <v>88949990</v>
          </cell>
        </row>
      </sheetData>
      <sheetData sheetId="60"/>
      <sheetData sheetId="61"/>
      <sheetData sheetId="62"/>
      <sheetData sheetId="63">
        <row r="15">
          <cell r="B15">
            <v>34362976</v>
          </cell>
        </row>
      </sheetData>
      <sheetData sheetId="64"/>
      <sheetData sheetId="65"/>
      <sheetData sheetId="66"/>
      <sheetData sheetId="67">
        <row r="15">
          <cell r="B15">
            <v>34198586</v>
          </cell>
        </row>
      </sheetData>
      <sheetData sheetId="68"/>
      <sheetData sheetId="69"/>
      <sheetData sheetId="70"/>
      <sheetData sheetId="71">
        <row r="15">
          <cell r="B15">
            <v>0</v>
          </cell>
        </row>
      </sheetData>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ademic Space Model Smmy"/>
      <sheetName val="Acad Space Model"/>
      <sheetName val="CS &amp; SP Smmy"/>
      <sheetName val="Acad CTG Costs"/>
      <sheetName val="ICUT Survey"/>
      <sheetName val="Almanac"/>
      <sheetName val="Academic Accountability Smmy"/>
      <sheetName val="Smmy Acad SbS"/>
      <sheetName val="Smmy Chrts"/>
      <sheetName val="Smmy Sum"/>
      <sheetName val="Smmy FGD"/>
      <sheetName val="Smmy Fnts"/>
      <sheetName val="ARL Chrts"/>
      <sheetName val="ARL Sum"/>
      <sheetName val="ARL FGD"/>
      <sheetName val="ARL Fnts"/>
      <sheetName val="AUS Chrts"/>
      <sheetName val="AUS Sum"/>
      <sheetName val="AUS FGD"/>
      <sheetName val="AUS Fnts"/>
      <sheetName val="DAL Chrts"/>
      <sheetName val="DAL Sum"/>
      <sheetName val="DAL FGD"/>
      <sheetName val="DAL Fnts"/>
      <sheetName val="E-P Chrts"/>
      <sheetName val="E-P Sum"/>
      <sheetName val="E-P FGD"/>
      <sheetName val="E-P Fnts"/>
      <sheetName val="P-A Chrts"/>
      <sheetName val="P-A Sum"/>
      <sheetName val="P-A FGD"/>
      <sheetName val="P-A Fnts"/>
      <sheetName val="BRW Chrts"/>
      <sheetName val="BRW Sum"/>
      <sheetName val="BRW FGD"/>
      <sheetName val="BRW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 Chrts"/>
      <sheetName val="UH Sum"/>
      <sheetName val="UH FGD"/>
      <sheetName val="UH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 Chrts"/>
      <sheetName val="shsu Sum"/>
      <sheetName val="shsu FGD"/>
      <sheetName val="shsu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Names"/>
      <sheetName val="Input"/>
      <sheetName val="FT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11">
          <cell r="B11" t="str">
            <v>The University of Texas System</v>
          </cell>
          <cell r="C11" t="str">
            <v>UTS</v>
          </cell>
          <cell r="D11" t="str">
            <v>S40 - S &amp; U - FY 2010 - UTS.xlsx</v>
          </cell>
        </row>
        <row r="12">
          <cell r="B12" t="str">
            <v>The University of Texas at Arlington</v>
          </cell>
          <cell r="C12" t="str">
            <v>ARL</v>
          </cell>
          <cell r="D12" t="str">
            <v>40 - S &amp; U - FY 2010 - ARL.xlsx</v>
          </cell>
          <cell r="F12">
            <v>3452814</v>
          </cell>
          <cell r="I12" t="str">
            <v>003656</v>
          </cell>
        </row>
        <row r="13">
          <cell r="B13" t="str">
            <v>The University of Texas at Austin</v>
          </cell>
          <cell r="C13" t="str">
            <v>AUS</v>
          </cell>
          <cell r="D13" t="str">
            <v>50 - S &amp; U - FY 2010 - AUS.xlsx</v>
          </cell>
          <cell r="E13">
            <v>27534452</v>
          </cell>
          <cell r="I13" t="str">
            <v>003658</v>
          </cell>
        </row>
        <row r="14">
          <cell r="B14" t="str">
            <v>The University of Texas at Dallas</v>
          </cell>
          <cell r="C14" t="str">
            <v>DAL</v>
          </cell>
          <cell r="D14" t="str">
            <v>60 - S &amp; U - FY 2010 - DAL.xlsx</v>
          </cell>
          <cell r="F14">
            <v>5627594</v>
          </cell>
          <cell r="I14" t="str">
            <v>009741</v>
          </cell>
        </row>
        <row r="15">
          <cell r="B15" t="str">
            <v>The University of Texas at El Paso</v>
          </cell>
          <cell r="C15" t="str">
            <v>E-P</v>
          </cell>
          <cell r="D15" t="str">
            <v>70 - S &amp; U - FY 2010 - E-P.xlsx</v>
          </cell>
          <cell r="F15">
            <v>4263330</v>
          </cell>
          <cell r="I15" t="str">
            <v>003661</v>
          </cell>
        </row>
        <row r="16">
          <cell r="B16" t="str">
            <v>The University of Texas - Pan American</v>
          </cell>
          <cell r="C16" t="str">
            <v>P-A</v>
          </cell>
          <cell r="D16" t="str">
            <v>80 - S &amp; U - FY 2010 - P-A.xlsx</v>
          </cell>
          <cell r="F16">
            <v>740210</v>
          </cell>
          <cell r="G16">
            <v>13176800</v>
          </cell>
          <cell r="I16" t="str">
            <v>003599</v>
          </cell>
        </row>
        <row r="17">
          <cell r="B17" t="str">
            <v>The University of Texas at Brownsville</v>
          </cell>
          <cell r="C17" t="str">
            <v>BRW</v>
          </cell>
          <cell r="D17" t="str">
            <v>90 - S &amp; U - FY 2010 - BRW.xlsx</v>
          </cell>
          <cell r="F17">
            <v>668711</v>
          </cell>
          <cell r="G17">
            <v>4284677</v>
          </cell>
          <cell r="I17" t="str">
            <v>030646</v>
          </cell>
        </row>
        <row r="18">
          <cell r="B18" t="str">
            <v>The University of Texas of the Permian Basin</v>
          </cell>
          <cell r="C18" t="str">
            <v>P-B</v>
          </cell>
          <cell r="D18" t="str">
            <v>100 - S &amp; U - FY 2010 - P-B.xlsx</v>
          </cell>
          <cell r="F18">
            <v>250623</v>
          </cell>
          <cell r="I18" t="str">
            <v>009930</v>
          </cell>
        </row>
        <row r="19">
          <cell r="B19" t="str">
            <v>The University of Texas at San Antonio</v>
          </cell>
          <cell r="C19" t="str">
            <v>S-A</v>
          </cell>
          <cell r="D19" t="str">
            <v>110 - S &amp; U - FY 2010 - S-A.xlsx</v>
          </cell>
          <cell r="F19">
            <v>3402524</v>
          </cell>
          <cell r="I19" t="str">
            <v>010115</v>
          </cell>
        </row>
        <row r="20">
          <cell r="B20" t="str">
            <v>The University of Texas at Tyler</v>
          </cell>
          <cell r="C20" t="str">
            <v>TYL</v>
          </cell>
          <cell r="D20" t="str">
            <v>120 - S &amp; U - FY 2010 - TYL.xlsx</v>
          </cell>
          <cell r="F20">
            <v>228118</v>
          </cell>
          <cell r="I20" t="str">
            <v>011163</v>
          </cell>
        </row>
        <row r="21">
          <cell r="B21" t="str">
            <v>Texas A&amp;M University System</v>
          </cell>
          <cell r="C21" t="str">
            <v>TAMUS</v>
          </cell>
          <cell r="D21" t="str">
            <v>S130 - S &amp; U - FY 2010 - TAMUS.xlsx</v>
          </cell>
        </row>
        <row r="22">
          <cell r="B22" t="str">
            <v>Texas A&amp;M University</v>
          </cell>
          <cell r="C22" t="str">
            <v>TAMU</v>
          </cell>
          <cell r="D22" t="str">
            <v>130 - S &amp; U - FY 2010 - TAMU.xlsx</v>
          </cell>
          <cell r="E22">
            <v>28068280</v>
          </cell>
          <cell r="I22" t="str">
            <v>003632</v>
          </cell>
        </row>
        <row r="23">
          <cell r="B23" t="str">
            <v>Texas A&amp;M University at Galveston</v>
          </cell>
          <cell r="C23" t="str">
            <v>TAMUG</v>
          </cell>
          <cell r="D23" t="str">
            <v>140 - S &amp; U - FY 2010 - TAMUG.xlsx</v>
          </cell>
          <cell r="F23">
            <v>407402</v>
          </cell>
          <cell r="I23" t="str">
            <v>010298</v>
          </cell>
        </row>
        <row r="24">
          <cell r="B24" t="str">
            <v>Prairie View A &amp; M University</v>
          </cell>
          <cell r="C24" t="str">
            <v>PVAMU</v>
          </cell>
          <cell r="D24" t="str">
            <v>150 - S &amp; U - FY 2010 - PVAMU.xlsx</v>
          </cell>
          <cell r="I24" t="str">
            <v>003630</v>
          </cell>
        </row>
        <row r="25">
          <cell r="B25" t="str">
            <v>Tarleton State University</v>
          </cell>
          <cell r="C25" t="str">
            <v>TARLST</v>
          </cell>
          <cell r="D25" t="str">
            <v>160 - S &amp; U - FY 2010 - TARL ST.xlsx</v>
          </cell>
          <cell r="F25">
            <v>1115775</v>
          </cell>
          <cell r="I25" t="str">
            <v>003631</v>
          </cell>
        </row>
        <row r="26">
          <cell r="B26" t="str">
            <v>Texas A&amp;M University - Corpus Christi</v>
          </cell>
          <cell r="C26" t="str">
            <v>TAMUCC</v>
          </cell>
          <cell r="D26" t="str">
            <v>170 - S &amp; U - FY 2010 - TAMUCC.xlsx</v>
          </cell>
          <cell r="F26">
            <v>1495540</v>
          </cell>
          <cell r="G26">
            <v>8471116</v>
          </cell>
          <cell r="I26" t="str">
            <v>011161</v>
          </cell>
        </row>
        <row r="27">
          <cell r="B27" t="str">
            <v>Texas A&amp;M University - Kingsville</v>
          </cell>
          <cell r="C27" t="str">
            <v>TAMUK</v>
          </cell>
          <cell r="D27" t="str">
            <v>180 - S &amp; U - FY 2010 - TAMUK.xlsx</v>
          </cell>
          <cell r="F27">
            <v>1267265</v>
          </cell>
          <cell r="G27">
            <v>5167540</v>
          </cell>
          <cell r="I27" t="str">
            <v>003639</v>
          </cell>
        </row>
        <row r="28">
          <cell r="B28" t="str">
            <v>Texas A&amp;M International University</v>
          </cell>
          <cell r="C28" t="str">
            <v>TAMIU</v>
          </cell>
          <cell r="D28" t="str">
            <v>190 - S &amp; U - FY 2010 - TAMIU.xlsx</v>
          </cell>
          <cell r="F28">
            <v>34904</v>
          </cell>
          <cell r="G28">
            <v>3202241</v>
          </cell>
          <cell r="I28" t="str">
            <v>009651</v>
          </cell>
        </row>
        <row r="29">
          <cell r="B29" t="str">
            <v>West Texas A&amp;M University</v>
          </cell>
          <cell r="C29" t="str">
            <v>WTAMU</v>
          </cell>
          <cell r="D29" t="str">
            <v>200 - S &amp; U - FY 2010 - WTAMU.xlsx</v>
          </cell>
          <cell r="F29">
            <v>527219</v>
          </cell>
          <cell r="G29">
            <v>4886159</v>
          </cell>
          <cell r="I29" t="str">
            <v>003665</v>
          </cell>
        </row>
        <row r="30">
          <cell r="B30" t="str">
            <v>Texas A&amp;M University - Commerce</v>
          </cell>
          <cell r="C30" t="str">
            <v>TAMUC</v>
          </cell>
          <cell r="D30" t="str">
            <v>210 - S &amp; U - FY 2010 - TAMUC.xlsx</v>
          </cell>
          <cell r="F30">
            <v>218046</v>
          </cell>
          <cell r="G30">
            <v>5684047</v>
          </cell>
          <cell r="I30" t="str">
            <v>003565</v>
          </cell>
        </row>
        <row r="31">
          <cell r="B31" t="str">
            <v>Texas A&amp;M University - Texarkana</v>
          </cell>
          <cell r="C31" t="str">
            <v>TAMUT</v>
          </cell>
          <cell r="D31" t="str">
            <v>220 - S &amp; U - FY 2010 - TAMUT.xlsx</v>
          </cell>
          <cell r="G31">
            <v>1684587</v>
          </cell>
          <cell r="I31" t="str">
            <v>029269</v>
          </cell>
        </row>
        <row r="32">
          <cell r="B32" t="str">
            <v>Texas A&amp;M University - Central Texas</v>
          </cell>
          <cell r="C32" t="str">
            <v>TAMUCT</v>
          </cell>
          <cell r="D32" t="str">
            <v>223 - S &amp; U - FY 2010 - TAMUCT.xlsx</v>
          </cell>
          <cell r="I32" t="str">
            <v>103631</v>
          </cell>
        </row>
        <row r="33">
          <cell r="B33" t="str">
            <v>Texas A&amp;M University - San Antonio</v>
          </cell>
          <cell r="C33" t="str">
            <v>TAMUSA</v>
          </cell>
          <cell r="D33" t="str">
            <v>226 - S &amp; U - FY 2010 - TAMUSA.xlsx</v>
          </cell>
          <cell r="I33" t="str">
            <v>103639</v>
          </cell>
        </row>
        <row r="34">
          <cell r="B34" t="str">
            <v>Texas AgriLife Research</v>
          </cell>
          <cell r="C34" t="str">
            <v>TAR</v>
          </cell>
          <cell r="D34" t="str">
            <v>600 - S &amp; U - FY 2010 - TAR.xlsx</v>
          </cell>
          <cell r="I34" t="str">
            <v>000556</v>
          </cell>
        </row>
        <row r="35">
          <cell r="B35" t="str">
            <v>Texas AgriLife Extension Service</v>
          </cell>
          <cell r="C35" t="str">
            <v>TAES</v>
          </cell>
          <cell r="D35" t="str">
            <v>605 - S &amp; U - FY 2010 - TAES.xlsx</v>
          </cell>
          <cell r="I35" t="str">
            <v>000555</v>
          </cell>
        </row>
        <row r="36">
          <cell r="B36" t="str">
            <v>Texas Engineering Experiment Station</v>
          </cell>
          <cell r="C36" t="str">
            <v>TEES1</v>
          </cell>
          <cell r="D36" t="str">
            <v>610 - S &amp; U - FY 2010 - TEES1.xlsx</v>
          </cell>
          <cell r="I36" t="str">
            <v>000712</v>
          </cell>
        </row>
        <row r="37">
          <cell r="B37" t="str">
            <v>Texas Engineering Extension Service</v>
          </cell>
          <cell r="C37" t="str">
            <v>TEES2</v>
          </cell>
          <cell r="D37" t="str">
            <v>615 - S &amp; U - FY 2010 - TEES2.xlsx</v>
          </cell>
          <cell r="I37" t="str">
            <v>000716</v>
          </cell>
        </row>
        <row r="38">
          <cell r="B38" t="str">
            <v>Texas Forest Service</v>
          </cell>
          <cell r="C38" t="str">
            <v>TFS</v>
          </cell>
          <cell r="D38" t="str">
            <v>620 - S &amp; U - FY 2010 - TFS.xlsx</v>
          </cell>
          <cell r="I38" t="str">
            <v>000576</v>
          </cell>
        </row>
        <row r="39">
          <cell r="B39" t="str">
            <v>Texas Transportation Institute</v>
          </cell>
          <cell r="C39" t="str">
            <v>TTI</v>
          </cell>
          <cell r="D39" t="str">
            <v>625 - S &amp; U - FY 2010 - TTI.xlsx</v>
          </cell>
          <cell r="I39" t="str">
            <v>000727</v>
          </cell>
        </row>
        <row r="40">
          <cell r="B40" t="str">
            <v>Texas Vet. Medical Diagnostic Laboratory</v>
          </cell>
          <cell r="C40" t="str">
            <v>TVMDL</v>
          </cell>
          <cell r="D40" t="str">
            <v>630 - S &amp; U - FY 2010 - TVMDL.xlsx</v>
          </cell>
          <cell r="I40" t="str">
            <v>000557</v>
          </cell>
        </row>
        <row r="41">
          <cell r="B41" t="str">
            <v>Texas A&amp;M Research Foundation</v>
          </cell>
          <cell r="C41" t="str">
            <v>TAMRF</v>
          </cell>
          <cell r="D41" t="str">
            <v>635 - S &amp; U - FY 2010 - TAMRF.xlsx</v>
          </cell>
          <cell r="I41" t="str">
            <v>000518</v>
          </cell>
        </row>
        <row r="42">
          <cell r="B42" t="str">
            <v>University of Houston System</v>
          </cell>
          <cell r="C42" t="str">
            <v>UTS</v>
          </cell>
          <cell r="D42" t="str">
            <v>S230 - S &amp; U - FY 2010 - UHS.xlsx</v>
          </cell>
        </row>
        <row r="43">
          <cell r="B43" t="str">
            <v>University of Houston</v>
          </cell>
          <cell r="C43" t="str">
            <v>UH</v>
          </cell>
          <cell r="D43" t="str">
            <v>230 - S &amp; U - FY 2010 - UH.xlsx</v>
          </cell>
          <cell r="E43">
            <v>4535210</v>
          </cell>
          <cell r="F43">
            <v>6380651</v>
          </cell>
          <cell r="G43">
            <v>36091538</v>
          </cell>
          <cell r="I43" t="str">
            <v>003652</v>
          </cell>
        </row>
        <row r="44">
          <cell r="B44" t="str">
            <v>University of Houston - Clear Lake</v>
          </cell>
          <cell r="C44" t="str">
            <v>UHCL</v>
          </cell>
          <cell r="D44" t="str">
            <v>240 - S &amp; U - FY 2010 - UHCL.xlsx</v>
          </cell>
          <cell r="F44">
            <v>74975</v>
          </cell>
          <cell r="G44">
            <v>5355874</v>
          </cell>
          <cell r="I44" t="str">
            <v>011711</v>
          </cell>
        </row>
        <row r="45">
          <cell r="B45" t="str">
            <v>University of Houston - Downtown</v>
          </cell>
          <cell r="C45" t="str">
            <v>UHD</v>
          </cell>
          <cell r="D45" t="str">
            <v>250 - S &amp; U - FY 2010 - UHD.xlsx</v>
          </cell>
          <cell r="F45">
            <v>56984</v>
          </cell>
          <cell r="G45">
            <v>9548995</v>
          </cell>
          <cell r="I45" t="str">
            <v>012826</v>
          </cell>
        </row>
        <row r="46">
          <cell r="B46" t="str">
            <v>University of Houston - Victoria</v>
          </cell>
          <cell r="C46" t="str">
            <v>UHV</v>
          </cell>
          <cell r="D46" t="str">
            <v>260 - S &amp; U - FY 2010 - UHV.xlsx</v>
          </cell>
          <cell r="G46">
            <v>2335692</v>
          </cell>
          <cell r="I46" t="str">
            <v>013231</v>
          </cell>
        </row>
        <row r="47">
          <cell r="B47" t="str">
            <v>Texas State System</v>
          </cell>
          <cell r="C47" t="str">
            <v>TXSTS</v>
          </cell>
          <cell r="D47" t="str">
            <v>S270 - S &amp; U - FY 2010 - TXSTS.xlsx</v>
          </cell>
        </row>
        <row r="48">
          <cell r="B48" t="str">
            <v xml:space="preserve">Lamar University </v>
          </cell>
          <cell r="C48" t="str">
            <v>LU</v>
          </cell>
          <cell r="D48" t="str">
            <v>270 - S &amp; U - FY 2010 - LU.xlsx</v>
          </cell>
          <cell r="F48">
            <v>437890</v>
          </cell>
          <cell r="G48">
            <v>8028333</v>
          </cell>
          <cell r="I48" t="str">
            <v>003581</v>
          </cell>
        </row>
        <row r="49">
          <cell r="B49" t="str">
            <v>Sam Houston State University</v>
          </cell>
          <cell r="C49" t="str">
            <v>SHSU</v>
          </cell>
          <cell r="D49" t="str">
            <v>280 - S &amp; U - FY 2010 - SHSU.xlsx</v>
          </cell>
          <cell r="F49">
            <v>381074</v>
          </cell>
          <cell r="G49">
            <v>10184001</v>
          </cell>
          <cell r="I49" t="str">
            <v>003606</v>
          </cell>
        </row>
        <row r="50">
          <cell r="B50" t="str">
            <v>Texas State University - San Marcos</v>
          </cell>
          <cell r="C50" t="str">
            <v>TXST</v>
          </cell>
          <cell r="D50" t="str">
            <v>290 - S &amp; U - FY 2010 - TXST.xlsx</v>
          </cell>
          <cell r="F50">
            <v>1352702</v>
          </cell>
          <cell r="G50">
            <v>20258248</v>
          </cell>
          <cell r="I50" t="str">
            <v>003615</v>
          </cell>
        </row>
        <row r="51">
          <cell r="B51" t="str">
            <v>Sul Ross State University</v>
          </cell>
          <cell r="C51" t="str">
            <v>SRSU</v>
          </cell>
          <cell r="D51" t="str">
            <v>300 - S &amp; U - FY 2010 - SRSU.xlsx</v>
          </cell>
          <cell r="F51">
            <v>290581</v>
          </cell>
          <cell r="G51">
            <v>2479099</v>
          </cell>
          <cell r="I51" t="str">
            <v>003625</v>
          </cell>
        </row>
        <row r="52">
          <cell r="B52" t="str">
            <v>Texas Tech University System</v>
          </cell>
          <cell r="C52" t="str">
            <v>TTUS</v>
          </cell>
          <cell r="D52" t="str">
            <v>S310 - S &amp; U - FY 2010 - TTUS.xlsx</v>
          </cell>
        </row>
        <row r="53">
          <cell r="B53" t="str">
            <v>Texas Tech University</v>
          </cell>
          <cell r="C53" t="str">
            <v>TTU</v>
          </cell>
          <cell r="D53" t="str">
            <v>310 - S &amp; U - FY 2010 - TTU.xlsx</v>
          </cell>
          <cell r="E53">
            <v>2965865</v>
          </cell>
          <cell r="F53">
            <v>4868296</v>
          </cell>
          <cell r="G53">
            <v>27446656</v>
          </cell>
          <cell r="I53" t="str">
            <v>003644</v>
          </cell>
        </row>
        <row r="54">
          <cell r="B54" t="str">
            <v>Angelo State University</v>
          </cell>
          <cell r="C54" t="str">
            <v>ASU</v>
          </cell>
          <cell r="D54" t="str">
            <v>320 - S &amp; U - FY 2010 - ASU.xlsx</v>
          </cell>
          <cell r="F54">
            <v>41632</v>
          </cell>
          <cell r="G54">
            <v>3667497</v>
          </cell>
          <cell r="I54" t="str">
            <v>003541</v>
          </cell>
        </row>
        <row r="55">
          <cell r="B55" t="str">
            <v>University of North Texas System</v>
          </cell>
          <cell r="C55" t="str">
            <v>UNTS</v>
          </cell>
          <cell r="D55" t="str">
            <v>S330 - S &amp; U - FY 2010 - UNTS.xlsx</v>
          </cell>
        </row>
        <row r="56">
          <cell r="B56" t="str">
            <v>University of North Texas</v>
          </cell>
          <cell r="C56" t="str">
            <v>UNT</v>
          </cell>
          <cell r="D56" t="str">
            <v>330 - S &amp; U - FY 2010 - UNT.xlsx</v>
          </cell>
          <cell r="F56">
            <v>1602313</v>
          </cell>
          <cell r="G56">
            <v>27122687</v>
          </cell>
          <cell r="I56" t="str">
            <v>003594</v>
          </cell>
        </row>
        <row r="57">
          <cell r="B57" t="str">
            <v>University of North Texas at Dallas</v>
          </cell>
          <cell r="C57" t="str">
            <v>UNTD</v>
          </cell>
          <cell r="D57" t="str">
            <v>333 - S &amp; U - FY 2010 - UNTD.xlsx</v>
          </cell>
          <cell r="I57" t="str">
            <v>113594</v>
          </cell>
        </row>
        <row r="58">
          <cell r="B58" t="str">
            <v>Midwestern State University</v>
          </cell>
          <cell r="C58" t="str">
            <v>MidWST</v>
          </cell>
          <cell r="D58" t="str">
            <v>340 - S &amp; U - FY 2010 - MidWST.xlsx</v>
          </cell>
          <cell r="F58">
            <v>8286</v>
          </cell>
          <cell r="G58">
            <v>3810377</v>
          </cell>
          <cell r="I58" t="str">
            <v>003592</v>
          </cell>
        </row>
        <row r="59">
          <cell r="B59" t="str">
            <v>Stephen F. Austin State University</v>
          </cell>
          <cell r="C59" t="str">
            <v>SFA</v>
          </cell>
          <cell r="D59" t="str">
            <v>350 - S &amp; U - FY 2010 - SFA.xlsx</v>
          </cell>
          <cell r="F59">
            <v>634501</v>
          </cell>
          <cell r="G59">
            <v>6907643</v>
          </cell>
          <cell r="I59" t="str">
            <v>003624</v>
          </cell>
        </row>
        <row r="60">
          <cell r="B60" t="str">
            <v>Texas Southern University</v>
          </cell>
          <cell r="C60" t="str">
            <v>TSU</v>
          </cell>
          <cell r="D60" t="str">
            <v>360 - S &amp; U - FY 2010 - TSU.xlsx</v>
          </cell>
          <cell r="F60">
            <v>430341</v>
          </cell>
          <cell r="G60">
            <v>11283387</v>
          </cell>
          <cell r="I60" t="str">
            <v>003642</v>
          </cell>
        </row>
        <row r="61">
          <cell r="B61" t="str">
            <v>Texas Woman's University</v>
          </cell>
          <cell r="C61" t="str">
            <v>TWU</v>
          </cell>
          <cell r="D61" t="str">
            <v>370 - S &amp; U - FY 2010 - TWU.xlsx</v>
          </cell>
          <cell r="F61">
            <v>171113</v>
          </cell>
          <cell r="G61">
            <v>8615167</v>
          </cell>
          <cell r="I61" t="str">
            <v>003646</v>
          </cell>
        </row>
        <row r="62">
          <cell r="B62" t="str">
            <v>Lamar Institute of Technology</v>
          </cell>
          <cell r="C62" t="str">
            <v>LIT</v>
          </cell>
          <cell r="D62" t="str">
            <v>490 - S &amp; U - FY 2010 - LIT.xlsx</v>
          </cell>
          <cell r="G62">
            <v>1825332</v>
          </cell>
          <cell r="I62" t="str">
            <v>036273</v>
          </cell>
        </row>
        <row r="63">
          <cell r="B63" t="str">
            <v>Lamar State College - Orange</v>
          </cell>
          <cell r="C63" t="str">
            <v>LSCO</v>
          </cell>
          <cell r="D63" t="str">
            <v>500 - S &amp; U - FY 2010 - LSCO.xlsx</v>
          </cell>
          <cell r="G63">
            <v>1140745</v>
          </cell>
          <cell r="I63" t="str">
            <v>023582</v>
          </cell>
        </row>
        <row r="64">
          <cell r="B64" t="str">
            <v>Lamar State College - Port Arthur</v>
          </cell>
          <cell r="C64" t="str">
            <v>LSCPA</v>
          </cell>
          <cell r="D64" t="str">
            <v>510 - S &amp; U - FY 2010 - LSCPA.xlsx</v>
          </cell>
          <cell r="G64">
            <v>1217124</v>
          </cell>
          <cell r="I64" t="str">
            <v>023485</v>
          </cell>
        </row>
        <row r="65">
          <cell r="B65" t="str">
            <v>Texas State Technical College - Harlingen</v>
          </cell>
          <cell r="C65" t="str">
            <v>TSTCH</v>
          </cell>
          <cell r="D65" t="str">
            <v>520 - S &amp; U - FY 2010 - TSTCH.xlsx</v>
          </cell>
          <cell r="G65">
            <v>5775000</v>
          </cell>
          <cell r="I65" t="str">
            <v>009225</v>
          </cell>
        </row>
        <row r="66">
          <cell r="B66" t="str">
            <v>Texas State Technical College – West Texas</v>
          </cell>
          <cell r="C66" t="str">
            <v>TSTCWTX</v>
          </cell>
          <cell r="D66" t="str">
            <v>530 - S &amp; U - FY 2010 - TSTCWT.xlsx</v>
          </cell>
          <cell r="I66" t="str">
            <v>009932</v>
          </cell>
        </row>
        <row r="67">
          <cell r="B67" t="str">
            <v>Texas State Technical College - Marshall</v>
          </cell>
          <cell r="C67" t="str">
            <v>TSTCM</v>
          </cell>
          <cell r="D67" t="str">
            <v>540 - S &amp; U - FY 2010 - TSTCM.xlsx</v>
          </cell>
          <cell r="I67" t="str">
            <v>033965</v>
          </cell>
        </row>
        <row r="68">
          <cell r="B68" t="str">
            <v>Texas State Technical College - Waco</v>
          </cell>
          <cell r="C68" t="str">
            <v>TSTCW</v>
          </cell>
          <cell r="D68" t="str">
            <v>550 - S &amp; U - FY 2010 - TSTCW.xlsx</v>
          </cell>
          <cell r="I68" t="str">
            <v>003634</v>
          </cell>
        </row>
      </sheetData>
      <sheetData sheetId="161"/>
      <sheetData sheetId="16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Acad Space Model"/>
      <sheetName val="Almanac"/>
      <sheetName val="Univ_Research"/>
      <sheetName val="Univ Research NA"/>
      <sheetName val="Healthcare"/>
      <sheetName val="List RR"/>
      <sheetName val="List"/>
      <sheetName val="Areo"/>
      <sheetName val="Summary"/>
      <sheetName val="ARL"/>
      <sheetName val="ARLRR"/>
      <sheetName val="AUS1"/>
      <sheetName val="DAL"/>
      <sheetName val="DALRR"/>
      <sheetName val="E-P"/>
      <sheetName val="E-PRR"/>
      <sheetName val="RGV1"/>
      <sheetName val="RGV1-RR"/>
      <sheetName val="P-B"/>
      <sheetName val="P-BRR"/>
      <sheetName val="S-A"/>
      <sheetName val="S-ARR"/>
      <sheetName val="TYL"/>
      <sheetName val="TYLRR"/>
      <sheetName val="TAMUComb"/>
      <sheetName val="TAMUG"/>
      <sheetName val="TAMUGRR"/>
      <sheetName val="PVAMU"/>
      <sheetName val="PVAMURR"/>
      <sheetName val="TARLST"/>
      <sheetName val="TARLSTRR"/>
      <sheetName val="TAMUCC"/>
      <sheetName val="TAMUCCRR"/>
      <sheetName val="TAMUK"/>
      <sheetName val="TAMUKRR"/>
      <sheetName val="TAMIU"/>
      <sheetName val="TAMIURR"/>
      <sheetName val="WTAMU"/>
      <sheetName val="WTAMURR"/>
      <sheetName val="TAMUC"/>
      <sheetName val="TAMUCRR"/>
      <sheetName val="TAMUT"/>
      <sheetName val="TAMUTRR"/>
      <sheetName val="TAMUCT"/>
      <sheetName val="TAMUCTRR"/>
      <sheetName val="TAMUSA"/>
      <sheetName val="TAMUSARR"/>
      <sheetName val="UH"/>
      <sheetName val="UHRR"/>
      <sheetName val="UHCL"/>
      <sheetName val="UHCLRR"/>
      <sheetName val="UHD"/>
      <sheetName val="UHDRR"/>
      <sheetName val="UHV"/>
      <sheetName val="UHVRR"/>
      <sheetName val="LU"/>
      <sheetName val="LURR"/>
      <sheetName val="SHSU"/>
      <sheetName val="SHSURR"/>
      <sheetName val="TXST"/>
      <sheetName val="TXSTRR"/>
      <sheetName val="SRSU"/>
      <sheetName val="SRSURR"/>
      <sheetName val="TTU"/>
      <sheetName val="TTURR"/>
      <sheetName val="ASU"/>
      <sheetName val="ASURR"/>
      <sheetName val="UNT"/>
      <sheetName val="UNTRR"/>
      <sheetName val="UNTD"/>
      <sheetName val="UNTDRR"/>
      <sheetName val="MidWST"/>
      <sheetName val="MidWSTRR"/>
      <sheetName val="SFA"/>
      <sheetName val="SFARR"/>
      <sheetName val="TSU"/>
      <sheetName val="TSURR"/>
      <sheetName val="TWU"/>
      <sheetName val="TWURR"/>
      <sheetName val="Blank"/>
      <sheetName val="TAMU Smmy"/>
      <sheetName val="TAMU"/>
      <sheetName val="TAR"/>
      <sheetName val="TAES"/>
      <sheetName val="TEES1"/>
      <sheetName val="TEES2"/>
      <sheetName val="TFS"/>
      <sheetName val="TTI"/>
      <sheetName val="TVMDL"/>
      <sheetName val="TAMRF"/>
      <sheetName val="TAMSR"/>
      <sheetName val="TAMTC"/>
      <sheetName val="TAMUS"/>
      <sheetName val="AUS"/>
      <sheetName val="RGV"/>
      <sheetName val="RGV-RR"/>
      <sheetName val="Input"/>
      <sheetName val="Names"/>
      <sheetName val="FTSE"/>
      <sheetName val="PeerGroups"/>
      <sheetName val="SystemGroups"/>
      <sheetName val="Balancing"/>
      <sheetName val="TAMU Smmy (2)"/>
      <sheetName val="Summary (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ow r="8">
          <cell r="C8" t="str">
            <v>The University of Texas at Arlington</v>
          </cell>
          <cell r="R8">
            <v>508.9</v>
          </cell>
        </row>
        <row r="9">
          <cell r="C9" t="str">
            <v>The University of Texas at Austin -  All Disciplines (A+H+M)</v>
          </cell>
          <cell r="R9">
            <v>1673.98</v>
          </cell>
        </row>
        <row r="10">
          <cell r="C10" t="str">
            <v>The University of Texas at Dallas</v>
          </cell>
          <cell r="R10">
            <v>480</v>
          </cell>
        </row>
        <row r="11">
          <cell r="C11" t="str">
            <v>The University of Texas at El Paso</v>
          </cell>
          <cell r="R11">
            <v>458.88</v>
          </cell>
        </row>
        <row r="12">
          <cell r="C12" t="str">
            <v>The University of Texas RGV - All Disciplines (A+H+M)</v>
          </cell>
          <cell r="R12">
            <v>400.05</v>
          </cell>
        </row>
        <row r="13">
          <cell r="C13" t="str">
            <v>The University of Texas of the Permian Basin</v>
          </cell>
          <cell r="R13">
            <v>83.8</v>
          </cell>
        </row>
        <row r="14">
          <cell r="C14" t="str">
            <v>The University of Texas at San Antonio</v>
          </cell>
          <cell r="R14">
            <v>574.04</v>
          </cell>
        </row>
        <row r="15">
          <cell r="C15" t="str">
            <v>The University of Texas at Tyler</v>
          </cell>
          <cell r="R15">
            <v>204.68</v>
          </cell>
        </row>
        <row r="16">
          <cell r="C16" t="str">
            <v>Texas A&amp;M University</v>
          </cell>
          <cell r="R16">
            <v>1562.55</v>
          </cell>
        </row>
        <row r="17">
          <cell r="C17" t="str">
            <v>Texas A&amp;M University at Galveston</v>
          </cell>
          <cell r="R17">
            <v>54.25</v>
          </cell>
        </row>
        <row r="18">
          <cell r="C18" t="str">
            <v>Prairie View A &amp; M University</v>
          </cell>
          <cell r="R18">
            <v>182.33</v>
          </cell>
        </row>
        <row r="19">
          <cell r="C19" t="str">
            <v>Tarleton State University</v>
          </cell>
          <cell r="R19">
            <v>249.24</v>
          </cell>
        </row>
        <row r="20">
          <cell r="C20" t="str">
            <v>Texas A&amp;M University - Corpus Christi</v>
          </cell>
          <cell r="R20">
            <v>197.46</v>
          </cell>
        </row>
        <row r="21">
          <cell r="C21" t="str">
            <v>Texas A&amp;M University - Kingsville</v>
          </cell>
          <cell r="R21">
            <v>223.37</v>
          </cell>
        </row>
        <row r="22">
          <cell r="C22" t="str">
            <v>Texas A&amp;M International University</v>
          </cell>
          <cell r="R22">
            <v>132.53</v>
          </cell>
        </row>
        <row r="23">
          <cell r="C23" t="str">
            <v>West Texas A&amp;M University</v>
          </cell>
          <cell r="R23">
            <v>150.59</v>
          </cell>
        </row>
        <row r="24">
          <cell r="C24" t="str">
            <v>Texas A&amp;M University - Commerce</v>
          </cell>
          <cell r="R24">
            <v>237.19</v>
          </cell>
        </row>
        <row r="25">
          <cell r="C25" t="str">
            <v>Texas A&amp;M University - Texarkana</v>
          </cell>
          <cell r="R25">
            <v>59.1</v>
          </cell>
        </row>
        <row r="26">
          <cell r="C26" t="str">
            <v>Texas A&amp;M University - Central Texas</v>
          </cell>
          <cell r="R26">
            <v>67</v>
          </cell>
        </row>
        <row r="27">
          <cell r="C27" t="str">
            <v>Texas A&amp;M University - San Antonio</v>
          </cell>
          <cell r="R27">
            <v>71.25</v>
          </cell>
        </row>
        <row r="28">
          <cell r="C28" t="str">
            <v>University of Houston</v>
          </cell>
          <cell r="R28">
            <v>899.58</v>
          </cell>
        </row>
        <row r="29">
          <cell r="C29" t="str">
            <v>University of Houston - Clear Lake</v>
          </cell>
          <cell r="R29">
            <v>243.2</v>
          </cell>
        </row>
        <row r="30">
          <cell r="C30" t="str">
            <v>University of Houston - Downtown</v>
          </cell>
          <cell r="R30">
            <v>217.99</v>
          </cell>
        </row>
        <row r="31">
          <cell r="C31" t="str">
            <v>University of Houston - Victoria</v>
          </cell>
          <cell r="R31">
            <v>90</v>
          </cell>
        </row>
        <row r="32">
          <cell r="C32" t="str">
            <v xml:space="preserve">Lamar University </v>
          </cell>
          <cell r="R32">
            <v>296</v>
          </cell>
        </row>
        <row r="33">
          <cell r="C33" t="str">
            <v>Sam Houston State University</v>
          </cell>
          <cell r="R33">
            <v>392.31</v>
          </cell>
        </row>
        <row r="34">
          <cell r="C34" t="str">
            <v>Texas State University</v>
          </cell>
          <cell r="R34">
            <v>484.94</v>
          </cell>
        </row>
        <row r="35">
          <cell r="C35" t="str">
            <v>Sul Ross State University - Rio Grande</v>
          </cell>
          <cell r="R35">
            <v>25.8</v>
          </cell>
        </row>
        <row r="36">
          <cell r="C36" t="str">
            <v>Sul Ross State University</v>
          </cell>
          <cell r="Q36">
            <v>0</v>
          </cell>
          <cell r="R36">
            <v>62.31</v>
          </cell>
          <cell r="S36">
            <v>88.11</v>
          </cell>
        </row>
        <row r="37">
          <cell r="C37" t="str">
            <v>Texas Tech University</v>
          </cell>
          <cell r="R37">
            <v>975.38</v>
          </cell>
        </row>
        <row r="38">
          <cell r="C38" t="str">
            <v>Angelo State University</v>
          </cell>
          <cell r="R38">
            <v>179.41</v>
          </cell>
        </row>
        <row r="39">
          <cell r="C39" t="str">
            <v>University of North Texas</v>
          </cell>
          <cell r="R39">
            <v>534.48</v>
          </cell>
        </row>
        <row r="40">
          <cell r="C40" t="str">
            <v>University of North Texas at Dallas</v>
          </cell>
          <cell r="R40">
            <v>35.25</v>
          </cell>
        </row>
        <row r="41">
          <cell r="C41" t="str">
            <v>Midwestern State University</v>
          </cell>
          <cell r="R41">
            <v>180.9</v>
          </cell>
        </row>
        <row r="42">
          <cell r="C42" t="str">
            <v>Stephen F. Austin State University</v>
          </cell>
          <cell r="R42">
            <v>378.04</v>
          </cell>
        </row>
        <row r="43">
          <cell r="C43" t="str">
            <v>Texas Southern University</v>
          </cell>
          <cell r="R43">
            <v>246.03</v>
          </cell>
        </row>
        <row r="44">
          <cell r="C44" t="str">
            <v>Texas Woman's University</v>
          </cell>
          <cell r="R44">
            <v>304.89999999999998</v>
          </cell>
        </row>
        <row r="47">
          <cell r="R47">
            <v>13117.71</v>
          </cell>
        </row>
        <row r="49">
          <cell r="N49" t="str">
            <v>Not Used for Research</v>
          </cell>
          <cell r="R49">
            <v>13117.71</v>
          </cell>
        </row>
        <row r="50">
          <cell r="O50" t="str">
            <v>Not Used for Research</v>
          </cell>
          <cell r="R50" t="str">
            <v>Fall 2015</v>
          </cell>
          <cell r="S50" t="str">
            <v>Univ. moved to end of semester reporting, so use prior year data.</v>
          </cell>
        </row>
        <row r="51">
          <cell r="S51" t="str">
            <v>FY 16 will use Fall FY 15.</v>
          </cell>
        </row>
        <row r="52">
          <cell r="R52" t="str">
            <v>Checked Ok</v>
          </cell>
        </row>
        <row r="53">
          <cell r="R53">
            <v>42705</v>
          </cell>
        </row>
        <row r="57">
          <cell r="C57" t="str">
            <v>The University of Texas at Austin Medical School (M)</v>
          </cell>
          <cell r="E57" t="str">
            <v>The University of Texas at Austin Medical School (M)</v>
          </cell>
          <cell r="R57">
            <v>23.94</v>
          </cell>
        </row>
        <row r="58">
          <cell r="C58" t="str">
            <v>The University of Texas at Austin - Academic &amp; Health (A+H)</v>
          </cell>
          <cell r="E58" t="str">
            <v>The University of Texas at Austin - Academic &amp; Health (A+H)</v>
          </cell>
          <cell r="R58">
            <v>1650.04</v>
          </cell>
        </row>
        <row r="60">
          <cell r="C60" t="str">
            <v>The University of Texas Rio Grande Valley Medical School (M)</v>
          </cell>
          <cell r="E60" t="str">
            <v>The University of Texas Rio Grande Valley Medical School (M)</v>
          </cell>
          <cell r="R60">
            <v>24</v>
          </cell>
        </row>
        <row r="61">
          <cell r="C61" t="str">
            <v>The University of Texas RGV - Academic &amp; Health (A+H)</v>
          </cell>
          <cell r="E61" t="str">
            <v>The University of Texas RGV - Academic &amp; Health (A+H)</v>
          </cell>
          <cell r="R61">
            <v>376.05</v>
          </cell>
        </row>
      </sheetData>
      <sheetData sheetId="100"/>
      <sheetData sheetId="101"/>
      <sheetData sheetId="102" refreshError="1"/>
      <sheetData sheetId="103" refreshError="1"/>
      <sheetData sheetId="10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84"/>
      <sheetName val="FY85"/>
      <sheetName val="FY86"/>
      <sheetName val="FY87"/>
      <sheetName val="FY88"/>
      <sheetName val="FY89"/>
      <sheetName val="FY90"/>
      <sheetName val="FY91"/>
      <sheetName val="FY92"/>
      <sheetName val="FY93"/>
      <sheetName val="FY94"/>
      <sheetName val="FY95"/>
      <sheetName val="FY96"/>
      <sheetName val="FY97"/>
      <sheetName val="FY98"/>
      <sheetName val="FY99"/>
      <sheetName val="FY00"/>
      <sheetName val="FY01"/>
      <sheetName val="FY02"/>
      <sheetName val="FY03"/>
      <sheetName val="FY04"/>
      <sheetName val="FY05"/>
      <sheetName val="FY06"/>
      <sheetName val="FY07"/>
      <sheetName val="FY08"/>
      <sheetName val="FY09"/>
      <sheetName val="Sheet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STATE-FUNDED SEMESTER CREDIT HOURS BY LEVEL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Fund Group Detail (FGD)"/>
      <sheetName val="Research"/>
      <sheetName val="Fnts"/>
      <sheetName val="Names"/>
      <sheetName val="RE Output"/>
      <sheetName val="Data Out"/>
    </sheetNames>
    <sheetDataSet>
      <sheetData sheetId="0"/>
      <sheetData sheetId="1"/>
      <sheetData sheetId="2"/>
      <sheetData sheetId="3"/>
      <sheetData sheetId="4">
        <row r="77">
          <cell r="G77">
            <v>351414534</v>
          </cell>
        </row>
        <row r="78">
          <cell r="B78" t="str">
            <v>Health-Related Institutions:</v>
          </cell>
          <cell r="E78">
            <v>380</v>
          </cell>
          <cell r="F78" t="str">
            <v>380 - Reserved for Summary</v>
          </cell>
        </row>
        <row r="80">
          <cell r="B80" t="str">
            <v>The University of Texas Southwestern Medical Center</v>
          </cell>
          <cell r="C80">
            <v>30</v>
          </cell>
          <cell r="D80" t="str">
            <v>SWM</v>
          </cell>
          <cell r="E80">
            <v>390</v>
          </cell>
          <cell r="F80" t="str">
            <v>390 - S &amp; U - FY 2021 - SWM.xlsx</v>
          </cell>
        </row>
        <row r="81">
          <cell r="B81" t="str">
            <v>The University of Texas Health Science Center at San Antonio</v>
          </cell>
          <cell r="C81">
            <v>40</v>
          </cell>
          <cell r="D81" t="str">
            <v>HSSA</v>
          </cell>
          <cell r="E81">
            <v>420</v>
          </cell>
          <cell r="F81" t="str">
            <v>420 - S &amp; U - FY 2021 - HSSA.xlsx</v>
          </cell>
        </row>
        <row r="82">
          <cell r="B82" t="str">
            <v>Texas A&amp;M University System Health Science Center</v>
          </cell>
          <cell r="C82">
            <v>89</v>
          </cell>
          <cell r="D82" t="str">
            <v>TAMHSC</v>
          </cell>
          <cell r="E82">
            <v>450</v>
          </cell>
          <cell r="F82" t="str">
            <v>450 - S &amp; U - FY 2021 - TAMHSC.xlsx</v>
          </cell>
        </row>
        <row r="83">
          <cell r="B83" t="str">
            <v>University of North Texas Health Science Center at Fort Worth (Public Medical + Private Medical)</v>
          </cell>
          <cell r="C83">
            <v>130</v>
          </cell>
          <cell r="D83" t="str">
            <v>UNTHSC</v>
          </cell>
          <cell r="E83">
            <v>460</v>
          </cell>
          <cell r="F83" t="str">
            <v>460 - S &amp; U - FY 2021 - UNTHSC (Pub M + Priv M).xlsx</v>
          </cell>
        </row>
        <row r="84">
          <cell r="B84" t="str">
            <v>University of North Texas Health Science Center at Fort Worth (Public Medical)</v>
          </cell>
          <cell r="C84">
            <v>130</v>
          </cell>
          <cell r="D84" t="str">
            <v>UNTHSC1</v>
          </cell>
          <cell r="E84">
            <v>461</v>
          </cell>
          <cell r="F84" t="str">
            <v>461 - S &amp; U - FY 2021 - UNTHSC (Pub M).xlsx</v>
          </cell>
          <cell r="G84">
            <v>15125502</v>
          </cell>
        </row>
        <row r="85">
          <cell r="B85" t="str">
            <v>Texas Tech University Health Sciences Center</v>
          </cell>
          <cell r="C85">
            <v>412</v>
          </cell>
          <cell r="D85" t="str">
            <v>TTUHSC</v>
          </cell>
          <cell r="E85">
            <v>470</v>
          </cell>
          <cell r="F85" t="str">
            <v>470 - S &amp; U - FY 2021 - TTUHSC.xlsx</v>
          </cell>
          <cell r="G85">
            <v>21652392</v>
          </cell>
        </row>
        <row r="86">
          <cell r="B86" t="str">
            <v>Texas Tech University Health Sciences Center at El Paso</v>
          </cell>
          <cell r="C86">
            <v>862</v>
          </cell>
          <cell r="D86" t="str">
            <v>TTUHSCEP</v>
          </cell>
          <cell r="E86">
            <v>480</v>
          </cell>
          <cell r="F86" t="str">
            <v>480 - S &amp; U - FY 2021 - TTUHSCEP.xlsx</v>
          </cell>
          <cell r="G86">
            <v>5557572</v>
          </cell>
        </row>
        <row r="87">
          <cell r="B87" t="str">
            <v>The University of Texas Health Science Center at Houston</v>
          </cell>
          <cell r="C87">
            <v>11618</v>
          </cell>
          <cell r="D87" t="str">
            <v>HSH</v>
          </cell>
          <cell r="E87">
            <v>410</v>
          </cell>
          <cell r="F87" t="str">
            <v>410 - S &amp; U - FY 2021 - HSH.xlsx</v>
          </cell>
        </row>
        <row r="88">
          <cell r="B88" t="str">
            <v>The University of Texas M.D. Anderson Cancer Center</v>
          </cell>
          <cell r="C88">
            <v>25554</v>
          </cell>
          <cell r="D88" t="str">
            <v>MDA</v>
          </cell>
          <cell r="E88">
            <v>430</v>
          </cell>
          <cell r="F88" t="str">
            <v>430 - S &amp; U - FY 2021 - MDA.xlsx</v>
          </cell>
        </row>
        <row r="89">
          <cell r="B89" t="str">
            <v>The University of Texas Health Science Center at Tyler</v>
          </cell>
          <cell r="C89">
            <v>42439</v>
          </cell>
          <cell r="D89" t="str">
            <v>THCM</v>
          </cell>
          <cell r="E89">
            <v>440</v>
          </cell>
          <cell r="F89" t="str">
            <v>440 - S &amp; U - FY 2021 - THCM.xlsx</v>
          </cell>
        </row>
        <row r="90">
          <cell r="B90" t="str">
            <v>The University of Texas Medical Branch at Galveston</v>
          </cell>
          <cell r="C90">
            <v>104952</v>
          </cell>
          <cell r="D90" t="str">
            <v>MBG</v>
          </cell>
          <cell r="E90">
            <v>400</v>
          </cell>
          <cell r="F90" t="str">
            <v>400 - S &amp; U - FY 2021 - MBG.xlsx</v>
          </cell>
        </row>
        <row r="91">
          <cell r="B91" t="str">
            <v>The University of Texas Rio Grande Valley Medical School (M)</v>
          </cell>
          <cell r="C91">
            <v>203599</v>
          </cell>
          <cell r="D91" t="str">
            <v>RGVM</v>
          </cell>
          <cell r="E91">
            <v>500</v>
          </cell>
          <cell r="F91" t="str">
            <v>500 - S &amp; U - FY 2021 - RGVM.xlsx</v>
          </cell>
        </row>
        <row r="92">
          <cell r="B92" t="str">
            <v>The University of Texas at Austin Medical School (M)</v>
          </cell>
          <cell r="C92">
            <v>203658</v>
          </cell>
          <cell r="D92" t="str">
            <v>AUSM</v>
          </cell>
          <cell r="E92">
            <v>510</v>
          </cell>
          <cell r="F92" t="str">
            <v>510 - S &amp; U - FY 2021 - AUSM.xlsx</v>
          </cell>
        </row>
        <row r="93">
          <cell r="B93" t="str">
            <v>University of Houston Medical School (M)</v>
          </cell>
          <cell r="C93">
            <v>203652</v>
          </cell>
          <cell r="D93" t="str">
            <v>UHM</v>
          </cell>
          <cell r="E93">
            <v>520</v>
          </cell>
          <cell r="F93" t="str">
            <v>520 - S &amp; U - FY 2021 - UHM.xlsx</v>
          </cell>
        </row>
        <row r="94">
          <cell r="B94" t="str">
            <v>Sam Houston State University Medical School (Non-Formula)</v>
          </cell>
          <cell r="C94">
            <v>103606</v>
          </cell>
          <cell r="D94" t="str">
            <v>SHNF</v>
          </cell>
          <cell r="E94">
            <v>530</v>
          </cell>
          <cell r="F94" t="str">
            <v>530 - S &amp; U - FY 2021 - SHSUMNF.xlsx</v>
          </cell>
        </row>
        <row r="95">
          <cell r="B95" t="str">
            <v>University of North Texas Health Science Center at Fort Worth Private Medical School (PM)</v>
          </cell>
          <cell r="C95">
            <v>100130</v>
          </cell>
          <cell r="D95" t="str">
            <v>UNTHSCPM</v>
          </cell>
          <cell r="E95">
            <v>540</v>
          </cell>
          <cell r="F95" t="str">
            <v>540 - S &amp; U - FY 2021 -UNTHSCPM.xlsx</v>
          </cell>
        </row>
      </sheetData>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
          <cell r="A1" t="str">
            <v>Midwestern State University</v>
          </cell>
        </row>
        <row r="2">
          <cell r="A2" t="str">
            <v>SCHEDULE C-2:  EXPENSES BY OBJECT AND FUND GROUP</v>
          </cell>
          <cell r="AE2" t="str">
            <v>Schcol &amp; Fell</v>
          </cell>
          <cell r="AF2" t="str">
            <v>Schcol &amp; Fell</v>
          </cell>
        </row>
        <row r="3">
          <cell r="A3" t="str">
            <v>For the year ended August 31, 2006</v>
          </cell>
          <cell r="AF3" t="str">
            <v>Allowances</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G6" t="str">
            <v>Depreciation</v>
          </cell>
          <cell r="AI6" t="str">
            <v>Federal Sponsored</v>
          </cell>
          <cell r="AK6" t="str">
            <v>State Sponsored</v>
          </cell>
          <cell r="AM6" t="str">
            <v>Other</v>
          </cell>
          <cell r="AO6" t="str">
            <v>Subtotal</v>
          </cell>
          <cell r="AQ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G7" t="str">
            <v>and Amortization</v>
          </cell>
          <cell r="AI7" t="str">
            <v>Pass-Throughs</v>
          </cell>
          <cell r="AK7" t="str">
            <v>Pass-Throughs</v>
          </cell>
          <cell r="AM7" t="str">
            <v>Expenses</v>
          </cell>
          <cell r="AO7" t="str">
            <v>Operating Expenses</v>
          </cell>
          <cell r="AQ7" t="str">
            <v>Outlay</v>
          </cell>
          <cell r="AS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Midwestern State University</v>
          </cell>
        </row>
        <row r="2">
          <cell r="A2" t="str">
            <v>SCHEDULE C-2:  EXPENSES BY OBJECT AND FUND GROUP</v>
          </cell>
          <cell r="AE2" t="str">
            <v>Schcol &amp; Fell</v>
          </cell>
          <cell r="AF2" t="str">
            <v>Schcol &amp; Fell</v>
          </cell>
        </row>
        <row r="3">
          <cell r="A3" t="str">
            <v>For the year ended August 31, 2006</v>
          </cell>
          <cell r="AF3" t="str">
            <v>Allowances</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G6" t="str">
            <v>Depreciation</v>
          </cell>
          <cell r="AI6" t="str">
            <v>Federal Sponsored</v>
          </cell>
          <cell r="AK6" t="str">
            <v>State Sponsored</v>
          </cell>
          <cell r="AM6" t="str">
            <v>Other</v>
          </cell>
          <cell r="AO6" t="str">
            <v>Subtotal</v>
          </cell>
          <cell r="AQ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G7" t="str">
            <v>and Amortization</v>
          </cell>
          <cell r="AI7" t="str">
            <v>Pass-Throughs</v>
          </cell>
          <cell r="AK7" t="str">
            <v>Pass-Throughs</v>
          </cell>
          <cell r="AM7" t="str">
            <v>Expenses</v>
          </cell>
          <cell r="AO7" t="str">
            <v>Operating Expenses</v>
          </cell>
          <cell r="AQ7" t="str">
            <v>Outlay</v>
          </cell>
          <cell r="AS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5" Type="http://schemas.openxmlformats.org/officeDocument/2006/relationships/printerSettings" Target="../printerSettings/printerSettings10.bin"/><Relationship Id="rId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3"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7"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12" Type="http://schemas.openxmlformats.org/officeDocument/2006/relationships/comments" Target="../comments1.xml"/><Relationship Id="rId2"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1"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6"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11" Type="http://schemas.openxmlformats.org/officeDocument/2006/relationships/vmlDrawing" Target="../drawings/vmlDrawing1.vml"/><Relationship Id="rId5"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10" Type="http://schemas.openxmlformats.org/officeDocument/2006/relationships/printerSettings" Target="../printerSettings/printerSettings12.bin"/><Relationship Id="rId4"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9"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drawing" Target="../drawings/drawing2.xml"/><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22.bin"/><Relationship Id="rId7" Type="http://schemas.openxmlformats.org/officeDocument/2006/relationships/comments" Target="../comments2.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vmlDrawing" Target="../drawings/vmlDrawing2.vml"/><Relationship Id="rId5" Type="http://schemas.openxmlformats.org/officeDocument/2006/relationships/printerSettings" Target="../printerSettings/printerSettings24.bin"/><Relationship Id="rId4" Type="http://schemas.openxmlformats.org/officeDocument/2006/relationships/printerSettings" Target="../printerSettings/printerSettings2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1.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5.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9.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4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3.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4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1.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5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5.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5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9.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6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3.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6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6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1.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7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5.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7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79.bin"/></Relationships>
</file>

<file path=xl/worksheets/_rels/sheet72.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8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3.bin"/></Relationships>
</file>

<file path=xl/worksheets/_rels/sheet76.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8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8" Type="http://schemas.openxmlformats.org/officeDocument/2006/relationships/externalLinkPath" Target="file:///\\THECB-AUVFS41\UserDoc$\Sources%20_%20Uses\HRI%20-%20Sources%20&amp;%20Uses%20FY%202015\0%20-%20HRI%20-%20S%20_%20U%20-%20FY%202015%20-%206.xlsx" TargetMode="External"/><Relationship Id="rId3" Type="http://schemas.openxmlformats.org/officeDocument/2006/relationships/externalLinkPath" Target="file:///\\THECB-AUVFS41\UserDoc$\Sources%20_%20Uses\HRI%20-%20Sources%20&amp;%20Uses%20FY%202015\0%20-%20HRI%20-%20S%20_%20U%20-%20FY%202015%20-%206.xlsx" TargetMode="External"/><Relationship Id="rId7" Type="http://schemas.openxmlformats.org/officeDocument/2006/relationships/externalLinkPath" Target="file:///\\THECB-AUVFS41\UserDoc$\Sources%20_%20Uses\HRI%20-%20Sources%20&amp;%20Uses%20FY%202015\0%20-%20HRI%20-%20S%20_%20U%20-%20FY%202015%20-%206.xlsx" TargetMode="External"/><Relationship Id="rId12" Type="http://schemas.openxmlformats.org/officeDocument/2006/relationships/printerSettings" Target="../printerSettings/printerSettings88.bin"/><Relationship Id="rId2" Type="http://schemas.openxmlformats.org/officeDocument/2006/relationships/externalLinkPath" Target="file:///\\THECB-AUVFS41\UserDoc$\Sources%20_%20Uses\HRI%20-%20Sources%20&amp;%20Uses%20FY%202015\0%20-%20HRI%20-%20S%20_%20U%20-%20FY%202015%20-%206.xlsx" TargetMode="External"/><Relationship Id="rId1" Type="http://schemas.openxmlformats.org/officeDocument/2006/relationships/externalLinkPath" Target="file:///\\THECB-AUVFS41\UserDoc$\Sources%20_%20Uses\HRI%20-%20Sources%20&amp;%20Uses%20FY%202015\0%20-%20HRI%20-%20S%20_%20U%20-%20FY%202015%20-%206.xlsx" TargetMode="External"/><Relationship Id="rId6" Type="http://schemas.openxmlformats.org/officeDocument/2006/relationships/externalLinkPath" Target="file:///\\THECB-AUVFS41\UserDoc$\Sources%20_%20Uses\HRI%20-%20Sources%20&amp;%20Uses%20FY%202015\0%20-%20HRI%20-%20S%20_%20U%20-%20FY%202015%20-%206.xlsx" TargetMode="External"/><Relationship Id="rId11" Type="http://schemas.openxmlformats.org/officeDocument/2006/relationships/hyperlink" Target="mailto:Tetyana.Melnyk@cpa.texas.gov" TargetMode="External"/><Relationship Id="rId5" Type="http://schemas.openxmlformats.org/officeDocument/2006/relationships/externalLinkPath" Target="file:///\\THECB-AUVFS41\UserDoc$\Sources%20_%20Uses\HRI%20-%20Sources%20&amp;%20Uses%20FY%202015\0%20-%20HRI%20-%20S%20_%20U%20-%20FY%202015%20-%206.xlsx" TargetMode="External"/><Relationship Id="rId10" Type="http://schemas.openxmlformats.org/officeDocument/2006/relationships/hyperlink" Target="mailto:olga.garza@cpa.texas.gov" TargetMode="External"/><Relationship Id="rId4" Type="http://schemas.openxmlformats.org/officeDocument/2006/relationships/externalLinkPath" Target="file:///\\THECB-AUVFS41\UserDoc$\Sources%20_%20Uses\HRI%20-%20Sources%20&amp;%20Uses%20FY%202015\0%20-%20HRI%20-%20S%20_%20U%20-%20FY%202015%20-%206.xlsx" TargetMode="External"/><Relationship Id="rId9" Type="http://schemas.openxmlformats.org/officeDocument/2006/relationships/externalLinkPath" Target="file:///\\THECB-AUVFS41\UserDoc$\Sources%20_%20Uses\HRI%20-%20Sources%20&amp;%20Uses%20FY%202015\0%20-%20HRI%20-%20S%20_%20U%20-%20FY%202015%20-%206.xlsx" TargetMode="Externa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1.xml"/><Relationship Id="rId1" Type="http://schemas.openxmlformats.org/officeDocument/2006/relationships/printerSettings" Target="../printerSettings/printerSettings90.bin"/><Relationship Id="rId4" Type="http://schemas.openxmlformats.org/officeDocument/2006/relationships/comments" Target="../comments18.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J790"/>
  <sheetViews>
    <sheetView showGridLines="0" tabSelected="1" workbookViewId="0">
      <selection activeCell="B4" sqref="B4"/>
    </sheetView>
  </sheetViews>
  <sheetFormatPr defaultColWidth="9.109375" defaultRowHeight="13.2"/>
  <cols>
    <col min="1" max="1" width="3.109375" style="277" customWidth="1"/>
    <col min="2" max="2" width="62.33203125" style="277" customWidth="1"/>
    <col min="3" max="3" width="8.6640625" style="282" customWidth="1"/>
    <col min="4" max="4" width="14" style="282" customWidth="1"/>
    <col min="5" max="5" width="7.109375" style="282" customWidth="1"/>
    <col min="6" max="6" width="9.109375" style="281"/>
    <col min="7" max="7" width="2" style="282" customWidth="1"/>
    <col min="8" max="8" width="25.6640625" style="277" customWidth="1"/>
    <col min="9" max="9" width="14.6640625" style="277" customWidth="1"/>
    <col min="10" max="10" width="28.88671875" style="277" customWidth="1"/>
    <col min="11" max="16384" width="9.109375" style="277"/>
  </cols>
  <sheetData>
    <row r="1" spans="1:10" ht="22.5" customHeight="1" thickBot="1">
      <c r="A1" s="275"/>
      <c r="B1" s="276" t="s">
        <v>0</v>
      </c>
      <c r="C1" s="1108" t="s">
        <v>1</v>
      </c>
      <c r="D1" s="1109"/>
      <c r="E1" s="1110"/>
      <c r="F1" s="277"/>
      <c r="G1" s="278"/>
      <c r="H1" s="277" t="s">
        <v>7</v>
      </c>
    </row>
    <row r="2" spans="1:10">
      <c r="B2" s="279" t="s">
        <v>2</v>
      </c>
      <c r="C2" s="278"/>
      <c r="D2" s="280" t="s">
        <v>3</v>
      </c>
      <c r="E2" s="278"/>
    </row>
    <row r="3" spans="1:10">
      <c r="B3" s="279" t="s">
        <v>4</v>
      </c>
      <c r="C3" s="278"/>
      <c r="D3" s="283" t="s">
        <v>5</v>
      </c>
      <c r="E3" s="278"/>
    </row>
    <row r="4" spans="1:10" ht="13.8" thickBot="1">
      <c r="B4" s="284">
        <v>45087</v>
      </c>
      <c r="C4" s="278"/>
      <c r="D4" s="283" t="s">
        <v>6</v>
      </c>
      <c r="E4" s="278"/>
    </row>
    <row r="5" spans="1:10" ht="13.8" thickBot="1">
      <c r="B5" s="277" t="s">
        <v>7</v>
      </c>
      <c r="D5" s="285"/>
      <c r="H5" s="1111" t="s">
        <v>8</v>
      </c>
      <c r="I5" s="1112"/>
      <c r="J5" s="1113"/>
    </row>
    <row r="6" spans="1:10" ht="16.2" thickBot="1">
      <c r="B6" s="286" t="s">
        <v>9</v>
      </c>
      <c r="C6" s="287" t="s">
        <v>10</v>
      </c>
      <c r="D6" s="288" t="s">
        <v>11</v>
      </c>
      <c r="E6" s="287" t="s">
        <v>12</v>
      </c>
      <c r="F6" s="289" t="s">
        <v>13</v>
      </c>
      <c r="H6" s="1108" t="s">
        <v>14</v>
      </c>
      <c r="I6" s="1109"/>
      <c r="J6" s="1110"/>
    </row>
    <row r="7" spans="1:10" ht="15">
      <c r="B7" s="290" t="s">
        <v>15</v>
      </c>
      <c r="C7" s="291"/>
      <c r="D7" s="292"/>
      <c r="E7" s="291"/>
      <c r="H7" s="293" t="s">
        <v>16</v>
      </c>
      <c r="I7" s="294" t="s">
        <v>17</v>
      </c>
      <c r="J7" s="293" t="s">
        <v>18</v>
      </c>
    </row>
    <row r="8" spans="1:10" ht="15">
      <c r="B8" s="295"/>
      <c r="C8" s="291"/>
      <c r="D8" s="292"/>
      <c r="E8" s="291"/>
      <c r="H8" s="293"/>
      <c r="I8" s="294"/>
      <c r="J8" s="293"/>
    </row>
    <row r="9" spans="1:10" ht="15.6">
      <c r="B9" s="296"/>
      <c r="C9" s="297"/>
      <c r="D9" s="298"/>
      <c r="E9" s="297"/>
      <c r="H9" s="278"/>
      <c r="I9" s="278"/>
      <c r="J9" s="278"/>
    </row>
    <row r="10" spans="1:10">
      <c r="B10" s="299" t="s">
        <v>19</v>
      </c>
      <c r="C10" s="287" t="s">
        <v>10</v>
      </c>
      <c r="D10" s="288" t="s">
        <v>11</v>
      </c>
      <c r="E10" s="287" t="s">
        <v>12</v>
      </c>
      <c r="F10" s="289" t="s">
        <v>13</v>
      </c>
      <c r="H10" s="300" t="str">
        <f>'SWM FGD'!$P$103</f>
        <v>John Schmidt</v>
      </c>
      <c r="I10" s="300" t="str">
        <f>'SWM FGD'!$R$103</f>
        <v>214-648-0888</v>
      </c>
      <c r="J10" s="301" t="str">
        <f>HYPERLINK("Mailto:"&amp;'SWM FGD'!$U$103,'SWM FGD'!$U$103)</f>
        <v>john.schmidt@utsouthwestern.edu</v>
      </c>
    </row>
    <row r="11" spans="1:10">
      <c r="B11" s="299" t="s">
        <v>20</v>
      </c>
      <c r="C11" s="287" t="s">
        <v>10</v>
      </c>
      <c r="D11" s="288" t="s">
        <v>11</v>
      </c>
      <c r="E11" s="287" t="s">
        <v>12</v>
      </c>
      <c r="F11" s="289" t="s">
        <v>13</v>
      </c>
      <c r="H11" s="300" t="str">
        <f>'MBG FGD'!$P$103</f>
        <v>Joshua Tucker</v>
      </c>
      <c r="I11" s="300">
        <f>'MBG FGD'!$R$103</f>
        <v>0</v>
      </c>
      <c r="J11" s="301" t="str">
        <f>HYPERLINK("Mailto:"&amp;'MBG FGD'!$U$103,'MBG FGD'!$U$103)</f>
        <v>joatucker@utmb.edu</v>
      </c>
    </row>
    <row r="12" spans="1:10">
      <c r="B12" s="299" t="s">
        <v>21</v>
      </c>
      <c r="C12" s="302" t="s">
        <v>10</v>
      </c>
      <c r="D12" s="288" t="s">
        <v>11</v>
      </c>
      <c r="E12" s="287" t="s">
        <v>12</v>
      </c>
      <c r="F12" s="289" t="s">
        <v>13</v>
      </c>
      <c r="H12" s="300" t="str">
        <f>'HSH FGD'!$P$103</f>
        <v>Scott Barnett</v>
      </c>
      <c r="I12" s="300" t="str">
        <f>'HSH FGD'!$R$103</f>
        <v>713-500-4915</v>
      </c>
      <c r="J12" s="301" t="str">
        <f>HYPERLINK("Mailto:"&amp;'HSH FGD'!$U$103,'HSH FGD'!$U$103)</f>
        <v>Scott.Barnett@uth.tmc.edu</v>
      </c>
    </row>
    <row r="13" spans="1:10">
      <c r="B13" s="299" t="s">
        <v>22</v>
      </c>
      <c r="C13" s="302" t="s">
        <v>10</v>
      </c>
      <c r="D13" s="288" t="s">
        <v>11</v>
      </c>
      <c r="E13" s="287" t="s">
        <v>12</v>
      </c>
      <c r="F13" s="289" t="s">
        <v>13</v>
      </c>
      <c r="H13" s="300" t="str">
        <f>'HSSA FGD'!$P$103</f>
        <v>Yinwen Li</v>
      </c>
      <c r="I13" s="300" t="str">
        <f>'HSSA FGD'!$R$103</f>
        <v>210-562-6268</v>
      </c>
      <c r="J13" s="301" t="str">
        <f>HYPERLINK("Mailto:"&amp;'HSSA FGD'!$U$103,'HSSA FGD'!$U$103)</f>
        <v>liy2@uthscsa.edu</v>
      </c>
    </row>
    <row r="14" spans="1:10">
      <c r="B14" s="299" t="s">
        <v>23</v>
      </c>
      <c r="C14" s="302" t="s">
        <v>10</v>
      </c>
      <c r="D14" s="288" t="s">
        <v>11</v>
      </c>
      <c r="E14" s="287" t="s">
        <v>12</v>
      </c>
      <c r="F14" s="289" t="s">
        <v>13</v>
      </c>
      <c r="H14" s="300" t="str">
        <f>'MDA FGD'!$P$103</f>
        <v>Duy</v>
      </c>
      <c r="I14" s="300" t="str">
        <f>'MDA FGD'!$R$103</f>
        <v>713-745-8630</v>
      </c>
      <c r="J14" s="301" t="str">
        <f>HYPERLINK("Mailto:"&amp;'MDA FGD'!$U$103,'MDA FGD'!$U$103)</f>
        <v>ddtran2@mdanderson.org</v>
      </c>
    </row>
    <row r="15" spans="1:10">
      <c r="B15" s="299" t="s">
        <v>24</v>
      </c>
      <c r="C15" s="302" t="s">
        <v>10</v>
      </c>
      <c r="D15" s="303" t="s">
        <v>11</v>
      </c>
      <c r="E15" s="304" t="s">
        <v>12</v>
      </c>
      <c r="F15" s="302" t="s">
        <v>13</v>
      </c>
      <c r="H15" s="300" t="str">
        <f>'THC FGD'!$P$103</f>
        <v>Bob Armstrong</v>
      </c>
      <c r="I15" s="300" t="str">
        <f>'THC FGD'!$R$103</f>
        <v>903-877-7710</v>
      </c>
      <c r="J15" s="301" t="str">
        <f>HYPERLINK("Mailto:"&amp;'THC FGD'!$U$103,'THC FGD'!$U$103)</f>
        <v>bob.armstrong@uthct.edu</v>
      </c>
    </row>
    <row r="16" spans="1:10">
      <c r="B16" s="299" t="s">
        <v>25</v>
      </c>
      <c r="C16" s="302" t="s">
        <v>10</v>
      </c>
      <c r="D16" s="303" t="s">
        <v>11</v>
      </c>
      <c r="E16" s="287" t="s">
        <v>12</v>
      </c>
      <c r="F16" s="289" t="s">
        <v>13</v>
      </c>
      <c r="H16" s="300" t="str">
        <f>'TAMHSC FGD'!$P$103</f>
        <v>Tracy Crowley</v>
      </c>
      <c r="I16" s="300" t="str">
        <f>'TAMHSC FGD'!$R$103</f>
        <v>979-458-6077</v>
      </c>
      <c r="J16" s="301" t="str">
        <f>HYPERLINK("Mailto:"&amp;'TAMHSC FGD'!$U$103,'TAMHSC FGD'!$U$103)</f>
        <v>tcrowley@tamus.edu</v>
      </c>
    </row>
    <row r="17" spans="2:10" s="312" customFormat="1" ht="26.4">
      <c r="B17" s="305" t="s">
        <v>26</v>
      </c>
      <c r="C17" s="306" t="s">
        <v>10</v>
      </c>
      <c r="D17" s="307" t="s">
        <v>11</v>
      </c>
      <c r="E17" s="308" t="s">
        <v>12</v>
      </c>
      <c r="F17" s="306" t="s">
        <v>13</v>
      </c>
      <c r="G17" s="309"/>
      <c r="H17" s="310" t="str">
        <f>'UNTHSC1 FGD'!$P$103</f>
        <v>Julie Meisinger</v>
      </c>
      <c r="I17" s="310" t="str">
        <f>'UNTHSC1 FGD'!$R$103</f>
        <v>817-735-2609</v>
      </c>
      <c r="J17" s="311" t="str">
        <f>HYPERLINK("Mailto:"&amp;'UNTHSC1 FGD'!$U$103,'UNTHSC1 FGD'!$U$103)</f>
        <v>julie.meisinger@unthsc.edu</v>
      </c>
    </row>
    <row r="18" spans="2:10">
      <c r="B18" s="299" t="s">
        <v>27</v>
      </c>
      <c r="C18" s="302" t="s">
        <v>10</v>
      </c>
      <c r="D18" s="303" t="s">
        <v>11</v>
      </c>
      <c r="E18" s="304" t="s">
        <v>12</v>
      </c>
      <c r="F18" s="302" t="s">
        <v>13</v>
      </c>
      <c r="H18" s="300" t="str">
        <f>'TTUHSC FGD'!$P$103</f>
        <v>Rebecca Aguilar</v>
      </c>
      <c r="I18" s="300" t="str">
        <f>'TTUHSC FGD'!$R$103</f>
        <v>806-743-7381</v>
      </c>
      <c r="J18" s="301" t="str">
        <f>HYPERLINK("Mailto:"&amp;'TTUHSC FGD'!$U$103,'TTUHSC FGD'!$U$103)</f>
        <v>rebecca.aguilar@ttuhsc.edu</v>
      </c>
    </row>
    <row r="19" spans="2:10">
      <c r="B19" s="299" t="s">
        <v>28</v>
      </c>
      <c r="C19" s="302" t="s">
        <v>10</v>
      </c>
      <c r="D19" s="303" t="s">
        <v>11</v>
      </c>
      <c r="E19" s="304" t="s">
        <v>12</v>
      </c>
      <c r="F19" s="302" t="s">
        <v>13</v>
      </c>
      <c r="H19" s="300" t="str">
        <f>'TTUHSCEP FGD'!$P$103</f>
        <v xml:space="preserve">Robert Ortega </v>
      </c>
      <c r="I19" s="300" t="str">
        <f>'TTUHSCEP FGD'!$R$103</f>
        <v>(915) 215 - 4378</v>
      </c>
      <c r="J19" s="301" t="str">
        <f>HYPERLINK("Mailto:"&amp;'TTUHSCEP FGD'!$U$103,'TTUHSCEP FGD'!$U$103)</f>
        <v>Robert.ortega@ttuhsc.edu</v>
      </c>
    </row>
    <row r="20" spans="2:10">
      <c r="B20" s="299" t="s">
        <v>29</v>
      </c>
      <c r="C20" s="302" t="s">
        <v>10</v>
      </c>
      <c r="D20" s="303" t="s">
        <v>11</v>
      </c>
      <c r="E20" s="304" t="s">
        <v>12</v>
      </c>
      <c r="F20" s="302" t="s">
        <v>13</v>
      </c>
      <c r="H20" s="300" t="str">
        <f>'AUSM FGD'!$P$103</f>
        <v>Marcy Lowther</v>
      </c>
      <c r="I20" s="300" t="str">
        <f>'AUSM FGD'!$R$103</f>
        <v>512-471-28008</v>
      </c>
      <c r="J20" s="301" t="str">
        <f>HYPERLINK("Mailto:"&amp;'AUSM FGD'!$U$103,'AUSM FGD'!$U$103)</f>
        <v>mlowther@austin.utexas.edu</v>
      </c>
    </row>
    <row r="21" spans="2:10">
      <c r="B21" s="299" t="s">
        <v>30</v>
      </c>
      <c r="C21" s="302" t="s">
        <v>10</v>
      </c>
      <c r="D21" s="303" t="s">
        <v>11</v>
      </c>
      <c r="E21" s="304" t="s">
        <v>12</v>
      </c>
      <c r="F21" s="302" t="s">
        <v>13</v>
      </c>
      <c r="H21" s="300" t="str">
        <f>'RGVM FGD'!$P$103</f>
        <v>Lilia M. St. Clair</v>
      </c>
      <c r="I21" s="300" t="str">
        <f>'RGVM FGD'!$R$103</f>
        <v>956-665-7906</v>
      </c>
      <c r="J21" s="301" t="str">
        <f>HYPERLINK("Mailto:"&amp;'RGVM FGD'!$U$103,'RGVM FGD'!$U$103)</f>
        <v>lilia.stclair@utrgv.edu</v>
      </c>
    </row>
    <row r="22" spans="2:10">
      <c r="B22" s="299" t="s">
        <v>31</v>
      </c>
      <c r="C22" s="302" t="s">
        <v>10</v>
      </c>
      <c r="D22" s="303" t="s">
        <v>11</v>
      </c>
      <c r="E22" s="304" t="s">
        <v>12</v>
      </c>
      <c r="F22" s="302" t="s">
        <v>13</v>
      </c>
      <c r="H22" s="300" t="str">
        <f>'UHM FGD'!$P$103</f>
        <v>Charlotte Hotz</v>
      </c>
      <c r="I22" s="300" t="str">
        <f>'UHM FGD'!$R$103</f>
        <v>(713) 743.5296</v>
      </c>
      <c r="J22" s="301" t="str">
        <f>HYPERLINK("Mailto:"&amp;'UHM FGD'!$U$103,'UHM FGD'!$U$103)</f>
        <v>cahotz@uh.edu</v>
      </c>
    </row>
    <row r="23" spans="2:10" ht="13.8" thickBot="1">
      <c r="B23" s="299"/>
      <c r="C23" s="302"/>
      <c r="D23" s="313"/>
      <c r="E23" s="304"/>
      <c r="F23" s="302"/>
      <c r="H23" s="300"/>
      <c r="I23" s="300"/>
      <c r="J23" s="301"/>
    </row>
    <row r="24" spans="2:10" ht="15">
      <c r="C24" s="291"/>
      <c r="D24" s="291"/>
      <c r="E24" s="291"/>
      <c r="H24" s="300"/>
      <c r="I24" s="300"/>
      <c r="J24" s="300"/>
    </row>
    <row r="25" spans="2:10" ht="15">
      <c r="B25" s="314" t="s">
        <v>1705</v>
      </c>
      <c r="C25" s="291"/>
      <c r="D25" s="291"/>
      <c r="E25" s="291"/>
      <c r="H25" s="300"/>
      <c r="I25" s="300"/>
      <c r="J25" s="300"/>
    </row>
    <row r="26" spans="2:10">
      <c r="B26" s="299" t="s">
        <v>32</v>
      </c>
      <c r="C26" s="302" t="s">
        <v>10</v>
      </c>
      <c r="D26" s="303" t="s">
        <v>11</v>
      </c>
      <c r="E26" s="304" t="s">
        <v>12</v>
      </c>
      <c r="F26" s="302" t="s">
        <v>13</v>
      </c>
      <c r="H26" s="300" t="str">
        <f>'SHNF FGD'!$P$103</f>
        <v>Jennifer Jones</v>
      </c>
      <c r="I26" s="300" t="str">
        <f>'SHNF FGD'!$R$103</f>
        <v>936-294-3405</v>
      </c>
      <c r="J26" s="301" t="str">
        <f>HYPERLINK("Mailto:"&amp;'SHNF FGD'!$U$103,'SHNF FGD'!$U$103)</f>
        <v>jlj093@shsu.edu</v>
      </c>
    </row>
    <row r="27" spans="2:10" s="312" customFormat="1" ht="26.4">
      <c r="B27" s="305" t="s">
        <v>33</v>
      </c>
      <c r="C27" s="306" t="s">
        <v>10</v>
      </c>
      <c r="D27" s="307" t="s">
        <v>11</v>
      </c>
      <c r="E27" s="308" t="s">
        <v>12</v>
      </c>
      <c r="F27" s="306" t="s">
        <v>13</v>
      </c>
      <c r="G27" s="309"/>
      <c r="H27" s="310" t="str">
        <f>'UNTHSCPM FGD'!$P$103</f>
        <v>Julie Meisinger</v>
      </c>
      <c r="I27" s="310" t="str">
        <f>'UNTHSCPM FGD'!$R$103</f>
        <v>817-735-2609</v>
      </c>
      <c r="J27" s="311" t="str">
        <f>HYPERLINK("Mailto:"&amp;'UNTHSCPM FGD'!$U$103,'UNTHSCPM FGD'!$U$103)</f>
        <v>julie.meisinger@unthsc.edu</v>
      </c>
    </row>
    <row r="28" spans="2:10" s="312" customFormat="1" ht="26.4">
      <c r="B28" s="305" t="s">
        <v>34</v>
      </c>
      <c r="C28" s="306" t="s">
        <v>10</v>
      </c>
      <c r="D28" s="307" t="s">
        <v>11</v>
      </c>
      <c r="E28" s="308" t="s">
        <v>12</v>
      </c>
      <c r="F28" s="306" t="s">
        <v>13</v>
      </c>
      <c r="G28" s="309"/>
      <c r="H28" s="310" t="str">
        <f>'UNTHSC FGD'!$P$103</f>
        <v>Julie Meisinger</v>
      </c>
      <c r="I28" s="310" t="str">
        <f>'UNTHSC FGD'!$R$103</f>
        <v>817-735-2609</v>
      </c>
      <c r="J28" s="311" t="str">
        <f>HYPERLINK("Mailto:"&amp;'UNTHSC FGD'!$U$103,'UNTHSC FGD'!$U$103)</f>
        <v>Julie.Meisinger@unthsc.edu</v>
      </c>
    </row>
    <row r="29" spans="2:10" ht="15">
      <c r="C29" s="291"/>
      <c r="D29" s="291"/>
      <c r="E29" s="291"/>
      <c r="H29" s="300"/>
      <c r="I29" s="300"/>
      <c r="J29" s="300"/>
    </row>
    <row r="30" spans="2:10" ht="15.6">
      <c r="B30" s="296" t="s">
        <v>35</v>
      </c>
      <c r="C30" s="291"/>
      <c r="D30" s="291"/>
      <c r="E30" s="291"/>
      <c r="H30" s="275"/>
      <c r="I30" s="275"/>
      <c r="J30" s="275"/>
    </row>
    <row r="31" spans="2:10" ht="15">
      <c r="B31" s="315" t="s">
        <v>36</v>
      </c>
      <c r="C31" s="291"/>
      <c r="D31" s="291"/>
      <c r="E31" s="291"/>
      <c r="H31" s="275"/>
      <c r="I31" s="275"/>
      <c r="J31" s="275"/>
    </row>
    <row r="32" spans="2:10" ht="15">
      <c r="B32" s="315" t="s">
        <v>37</v>
      </c>
      <c r="C32" s="291"/>
      <c r="D32" s="291"/>
      <c r="E32" s="291"/>
      <c r="H32" s="275"/>
      <c r="I32" s="275"/>
      <c r="J32" s="275"/>
    </row>
    <row r="33" spans="2:10" ht="15">
      <c r="B33" s="315" t="s">
        <v>38</v>
      </c>
      <c r="C33" s="291"/>
      <c r="D33" s="291"/>
      <c r="E33" s="291"/>
      <c r="H33" s="275"/>
      <c r="I33" s="275"/>
      <c r="J33" s="275"/>
    </row>
    <row r="34" spans="2:10" ht="15">
      <c r="B34" s="295"/>
      <c r="C34" s="291"/>
      <c r="D34" s="291"/>
      <c r="E34" s="291"/>
      <c r="H34" s="275"/>
      <c r="I34" s="275"/>
      <c r="J34" s="275"/>
    </row>
    <row r="35" spans="2:10" ht="15.6">
      <c r="B35" s="296" t="s">
        <v>39</v>
      </c>
      <c r="C35" s="291"/>
      <c r="D35" s="291"/>
      <c r="E35" s="291"/>
      <c r="H35" s="275"/>
      <c r="I35" s="275"/>
      <c r="J35" s="275"/>
    </row>
    <row r="36" spans="2:10">
      <c r="B36" s="290"/>
      <c r="H36" s="275"/>
      <c r="I36" s="275"/>
      <c r="J36" s="275"/>
    </row>
    <row r="37" spans="2:10">
      <c r="B37" s="290" t="s">
        <v>40</v>
      </c>
      <c r="H37" s="275"/>
      <c r="I37" s="275"/>
      <c r="J37" s="275"/>
    </row>
    <row r="38" spans="2:10">
      <c r="B38" s="290" t="s">
        <v>41</v>
      </c>
      <c r="H38" s="275"/>
      <c r="I38" s="275"/>
      <c r="J38" s="275"/>
    </row>
    <row r="39" spans="2:10">
      <c r="B39" s="290" t="s">
        <v>42</v>
      </c>
      <c r="H39" s="275"/>
      <c r="I39" s="275"/>
      <c r="J39" s="275"/>
    </row>
    <row r="40" spans="2:10">
      <c r="B40" s="290" t="s">
        <v>43</v>
      </c>
      <c r="H40" s="275"/>
      <c r="I40" s="275"/>
      <c r="J40" s="275"/>
    </row>
    <row r="41" spans="2:10">
      <c r="B41" s="290"/>
      <c r="H41" s="275"/>
      <c r="I41" s="275"/>
      <c r="J41" s="275"/>
    </row>
    <row r="42" spans="2:10" ht="15">
      <c r="B42" s="290" t="s">
        <v>44</v>
      </c>
      <c r="C42" s="316"/>
      <c r="D42" s="316"/>
      <c r="E42" s="316"/>
      <c r="H42" s="275"/>
      <c r="I42" s="275"/>
      <c r="J42" s="275"/>
    </row>
    <row r="43" spans="2:10">
      <c r="B43" s="290" t="s">
        <v>45</v>
      </c>
      <c r="H43" s="275"/>
      <c r="I43" s="275"/>
      <c r="J43" s="275"/>
    </row>
    <row r="44" spans="2:10">
      <c r="B44" s="317" t="s">
        <v>46</v>
      </c>
      <c r="H44" s="275"/>
      <c r="I44" s="275"/>
      <c r="J44" s="275"/>
    </row>
    <row r="45" spans="2:10">
      <c r="B45" s="317" t="s">
        <v>47</v>
      </c>
      <c r="H45" s="275"/>
      <c r="I45" s="275"/>
      <c r="J45" s="275"/>
    </row>
    <row r="46" spans="2:10">
      <c r="B46" s="317" t="s">
        <v>48</v>
      </c>
      <c r="H46" s="318"/>
      <c r="I46" s="275"/>
      <c r="J46" s="275"/>
    </row>
    <row r="47" spans="2:10">
      <c r="B47" s="317" t="s">
        <v>49</v>
      </c>
      <c r="H47" s="275"/>
      <c r="I47" s="275"/>
      <c r="J47" s="275"/>
    </row>
    <row r="48" spans="2:10">
      <c r="H48" s="275"/>
      <c r="I48" s="275"/>
      <c r="J48" s="275"/>
    </row>
    <row r="49" spans="8:10">
      <c r="H49" s="275"/>
      <c r="I49" s="275"/>
      <c r="J49" s="275"/>
    </row>
    <row r="50" spans="8:10">
      <c r="H50" s="275"/>
      <c r="I50" s="275"/>
      <c r="J50" s="275"/>
    </row>
    <row r="51" spans="8:10">
      <c r="H51" s="275"/>
      <c r="I51" s="275"/>
      <c r="J51" s="275"/>
    </row>
    <row r="52" spans="8:10">
      <c r="H52" s="275"/>
      <c r="I52" s="275"/>
      <c r="J52" s="275"/>
    </row>
    <row r="53" spans="8:10">
      <c r="H53" s="275"/>
      <c r="I53" s="275"/>
      <c r="J53" s="275"/>
    </row>
    <row r="54" spans="8:10">
      <c r="H54" s="275"/>
      <c r="I54" s="275"/>
      <c r="J54" s="275"/>
    </row>
    <row r="55" spans="8:10">
      <c r="H55" s="275"/>
      <c r="I55" s="275"/>
      <c r="J55" s="275"/>
    </row>
    <row r="56" spans="8:10">
      <c r="H56" s="275"/>
      <c r="I56" s="275"/>
      <c r="J56" s="275"/>
    </row>
    <row r="57" spans="8:10">
      <c r="H57" s="275"/>
      <c r="I57" s="275"/>
      <c r="J57" s="275"/>
    </row>
    <row r="58" spans="8:10">
      <c r="H58" s="275"/>
      <c r="I58" s="275"/>
      <c r="J58" s="275"/>
    </row>
    <row r="59" spans="8:10">
      <c r="H59" s="275"/>
      <c r="I59" s="275"/>
      <c r="J59" s="275"/>
    </row>
    <row r="60" spans="8:10">
      <c r="H60" s="275"/>
      <c r="I60" s="275"/>
      <c r="J60" s="275"/>
    </row>
    <row r="61" spans="8:10">
      <c r="H61" s="275"/>
      <c r="I61" s="275"/>
      <c r="J61" s="275"/>
    </row>
    <row r="62" spans="8:10">
      <c r="H62" s="275"/>
      <c r="I62" s="275"/>
      <c r="J62" s="275"/>
    </row>
    <row r="63" spans="8:10">
      <c r="H63" s="275"/>
      <c r="I63" s="275"/>
      <c r="J63" s="275"/>
    </row>
    <row r="64" spans="8:10">
      <c r="H64" s="275"/>
      <c r="I64" s="275"/>
      <c r="J64" s="275"/>
    </row>
    <row r="65" spans="8:10">
      <c r="H65" s="275"/>
      <c r="I65" s="275"/>
      <c r="J65" s="275"/>
    </row>
    <row r="66" spans="8:10">
      <c r="H66" s="275"/>
      <c r="I66" s="275"/>
      <c r="J66" s="275"/>
    </row>
    <row r="67" spans="8:10">
      <c r="H67" s="275"/>
      <c r="I67" s="275"/>
      <c r="J67" s="275"/>
    </row>
    <row r="68" spans="8:10">
      <c r="H68" s="275"/>
      <c r="I68" s="275"/>
      <c r="J68" s="275"/>
    </row>
    <row r="69" spans="8:10">
      <c r="H69" s="275"/>
      <c r="I69" s="275"/>
      <c r="J69" s="275"/>
    </row>
    <row r="70" spans="8:10">
      <c r="H70" s="275"/>
      <c r="I70" s="275"/>
      <c r="J70" s="275"/>
    </row>
    <row r="71" spans="8:10">
      <c r="H71" s="275"/>
      <c r="I71" s="275"/>
      <c r="J71" s="275"/>
    </row>
    <row r="72" spans="8:10">
      <c r="H72" s="275"/>
      <c r="I72" s="275"/>
      <c r="J72" s="275"/>
    </row>
    <row r="73" spans="8:10">
      <c r="H73" s="275"/>
      <c r="I73" s="275"/>
      <c r="J73" s="275"/>
    </row>
    <row r="74" spans="8:10">
      <c r="H74" s="275"/>
      <c r="I74" s="275"/>
      <c r="J74" s="275"/>
    </row>
    <row r="75" spans="8:10">
      <c r="H75" s="275"/>
      <c r="I75" s="275"/>
      <c r="J75" s="275"/>
    </row>
    <row r="76" spans="8:10">
      <c r="H76" s="275"/>
      <c r="I76" s="275"/>
      <c r="J76" s="275"/>
    </row>
    <row r="77" spans="8:10">
      <c r="H77" s="275"/>
      <c r="I77" s="275"/>
      <c r="J77" s="275"/>
    </row>
    <row r="78" spans="8:10">
      <c r="H78" s="275"/>
      <c r="I78" s="275"/>
      <c r="J78" s="275"/>
    </row>
    <row r="79" spans="8:10">
      <c r="H79" s="275"/>
      <c r="I79" s="275"/>
      <c r="J79" s="275"/>
    </row>
    <row r="80" spans="8:10">
      <c r="H80" s="275"/>
      <c r="I80" s="275"/>
      <c r="J80" s="275"/>
    </row>
    <row r="81" spans="8:10">
      <c r="H81" s="275"/>
      <c r="I81" s="275"/>
      <c r="J81" s="275"/>
    </row>
    <row r="82" spans="8:10">
      <c r="H82" s="275"/>
      <c r="I82" s="275"/>
      <c r="J82" s="275"/>
    </row>
    <row r="83" spans="8:10">
      <c r="H83" s="275"/>
      <c r="I83" s="275"/>
      <c r="J83" s="275"/>
    </row>
    <row r="84" spans="8:10">
      <c r="H84" s="275"/>
      <c r="I84" s="275"/>
      <c r="J84" s="275"/>
    </row>
    <row r="85" spans="8:10">
      <c r="H85" s="275"/>
      <c r="I85" s="275"/>
      <c r="J85" s="275"/>
    </row>
    <row r="86" spans="8:10">
      <c r="H86" s="275"/>
      <c r="I86" s="275"/>
      <c r="J86" s="275"/>
    </row>
    <row r="87" spans="8:10">
      <c r="H87" s="275"/>
      <c r="I87" s="275"/>
      <c r="J87" s="275"/>
    </row>
    <row r="88" spans="8:10">
      <c r="H88" s="275"/>
      <c r="I88" s="275"/>
      <c r="J88" s="275"/>
    </row>
    <row r="89" spans="8:10">
      <c r="H89" s="275"/>
      <c r="I89" s="275"/>
      <c r="J89" s="275"/>
    </row>
    <row r="90" spans="8:10">
      <c r="H90" s="275"/>
      <c r="I90" s="275"/>
      <c r="J90" s="275"/>
    </row>
    <row r="91" spans="8:10">
      <c r="H91" s="275"/>
      <c r="I91" s="275"/>
      <c r="J91" s="275"/>
    </row>
    <row r="92" spans="8:10">
      <c r="H92" s="275"/>
      <c r="I92" s="275"/>
      <c r="J92" s="275"/>
    </row>
    <row r="93" spans="8:10">
      <c r="H93" s="275"/>
      <c r="I93" s="275"/>
      <c r="J93" s="275"/>
    </row>
    <row r="94" spans="8:10">
      <c r="H94" s="275"/>
      <c r="I94" s="275"/>
      <c r="J94" s="275"/>
    </row>
    <row r="95" spans="8:10">
      <c r="H95" s="275"/>
      <c r="I95" s="275"/>
      <c r="J95" s="275"/>
    </row>
    <row r="96" spans="8:10">
      <c r="H96" s="275"/>
      <c r="I96" s="275"/>
      <c r="J96" s="275"/>
    </row>
    <row r="97" spans="8:10">
      <c r="H97" s="275"/>
      <c r="I97" s="275"/>
      <c r="J97" s="275"/>
    </row>
    <row r="98" spans="8:10">
      <c r="H98" s="275"/>
      <c r="I98" s="275"/>
      <c r="J98" s="275"/>
    </row>
    <row r="99" spans="8:10">
      <c r="H99" s="275"/>
      <c r="I99" s="275"/>
      <c r="J99" s="275"/>
    </row>
    <row r="100" spans="8:10">
      <c r="H100" s="275"/>
      <c r="I100" s="275"/>
      <c r="J100" s="275"/>
    </row>
    <row r="101" spans="8:10">
      <c r="H101" s="275"/>
      <c r="I101" s="275"/>
      <c r="J101" s="275"/>
    </row>
    <row r="102" spans="8:10">
      <c r="H102" s="275"/>
      <c r="I102" s="275"/>
      <c r="J102" s="275"/>
    </row>
    <row r="103" spans="8:10">
      <c r="H103" s="275"/>
      <c r="I103" s="275"/>
      <c r="J103" s="275"/>
    </row>
    <row r="104" spans="8:10">
      <c r="H104" s="275"/>
      <c r="I104" s="275"/>
      <c r="J104" s="275"/>
    </row>
    <row r="105" spans="8:10">
      <c r="H105" s="275"/>
      <c r="I105" s="275"/>
      <c r="J105" s="275"/>
    </row>
    <row r="106" spans="8:10">
      <c r="H106" s="275"/>
      <c r="I106" s="275"/>
      <c r="J106" s="275"/>
    </row>
    <row r="107" spans="8:10">
      <c r="H107" s="275"/>
      <c r="I107" s="275"/>
      <c r="J107" s="275"/>
    </row>
    <row r="108" spans="8:10">
      <c r="H108" s="275"/>
      <c r="I108" s="275"/>
      <c r="J108" s="275"/>
    </row>
    <row r="109" spans="8:10">
      <c r="H109" s="275"/>
      <c r="I109" s="275"/>
      <c r="J109" s="275"/>
    </row>
    <row r="110" spans="8:10">
      <c r="H110" s="275"/>
      <c r="I110" s="275"/>
      <c r="J110" s="275"/>
    </row>
    <row r="111" spans="8:10">
      <c r="H111" s="275"/>
      <c r="I111" s="275"/>
      <c r="J111" s="275"/>
    </row>
    <row r="112" spans="8:10">
      <c r="H112" s="275"/>
      <c r="I112" s="275"/>
      <c r="J112" s="275"/>
    </row>
    <row r="113" spans="8:10">
      <c r="H113" s="275"/>
      <c r="I113" s="275"/>
      <c r="J113" s="275"/>
    </row>
    <row r="114" spans="8:10">
      <c r="H114" s="275"/>
      <c r="I114" s="275"/>
      <c r="J114" s="275"/>
    </row>
    <row r="115" spans="8:10">
      <c r="H115" s="275"/>
      <c r="I115" s="275"/>
      <c r="J115" s="275"/>
    </row>
    <row r="116" spans="8:10">
      <c r="H116" s="275"/>
      <c r="I116" s="275"/>
      <c r="J116" s="275"/>
    </row>
    <row r="117" spans="8:10">
      <c r="H117" s="275"/>
      <c r="I117" s="275"/>
      <c r="J117" s="275"/>
    </row>
    <row r="118" spans="8:10">
      <c r="H118" s="275"/>
      <c r="I118" s="275"/>
      <c r="J118" s="275"/>
    </row>
    <row r="119" spans="8:10">
      <c r="H119" s="275"/>
      <c r="I119" s="275"/>
      <c r="J119" s="275"/>
    </row>
    <row r="120" spans="8:10">
      <c r="H120" s="275"/>
      <c r="I120" s="275"/>
      <c r="J120" s="275"/>
    </row>
    <row r="121" spans="8:10">
      <c r="H121" s="275"/>
      <c r="I121" s="275"/>
      <c r="J121" s="275"/>
    </row>
    <row r="122" spans="8:10">
      <c r="H122" s="275"/>
      <c r="I122" s="275"/>
      <c r="J122" s="275"/>
    </row>
    <row r="123" spans="8:10">
      <c r="H123" s="275"/>
      <c r="I123" s="275"/>
      <c r="J123" s="275"/>
    </row>
    <row r="124" spans="8:10">
      <c r="H124" s="275"/>
      <c r="I124" s="275"/>
      <c r="J124" s="275"/>
    </row>
    <row r="125" spans="8:10">
      <c r="H125" s="275"/>
      <c r="I125" s="275"/>
      <c r="J125" s="275"/>
    </row>
    <row r="126" spans="8:10">
      <c r="H126" s="275"/>
      <c r="I126" s="275"/>
      <c r="J126" s="275"/>
    </row>
    <row r="127" spans="8:10">
      <c r="H127" s="275"/>
      <c r="I127" s="275"/>
      <c r="J127" s="275"/>
    </row>
    <row r="128" spans="8:10">
      <c r="H128" s="275"/>
      <c r="I128" s="275"/>
      <c r="J128" s="275"/>
    </row>
    <row r="129" spans="8:10">
      <c r="H129" s="275"/>
      <c r="I129" s="275"/>
      <c r="J129" s="275"/>
    </row>
    <row r="130" spans="8:10">
      <c r="H130" s="275"/>
      <c r="I130" s="275"/>
      <c r="J130" s="275"/>
    </row>
    <row r="131" spans="8:10">
      <c r="H131" s="275"/>
      <c r="I131" s="275"/>
      <c r="J131" s="275"/>
    </row>
    <row r="132" spans="8:10">
      <c r="H132" s="275"/>
      <c r="I132" s="275"/>
      <c r="J132" s="275"/>
    </row>
    <row r="133" spans="8:10">
      <c r="H133" s="275"/>
      <c r="I133" s="275"/>
      <c r="J133" s="275"/>
    </row>
    <row r="134" spans="8:10">
      <c r="H134" s="275"/>
      <c r="I134" s="275"/>
      <c r="J134" s="275"/>
    </row>
    <row r="135" spans="8:10">
      <c r="H135" s="275"/>
      <c r="I135" s="275"/>
      <c r="J135" s="275"/>
    </row>
    <row r="136" spans="8:10">
      <c r="H136" s="275"/>
      <c r="I136" s="275"/>
      <c r="J136" s="275"/>
    </row>
    <row r="137" spans="8:10">
      <c r="H137" s="275"/>
      <c r="I137" s="275"/>
      <c r="J137" s="275"/>
    </row>
    <row r="138" spans="8:10">
      <c r="H138" s="275"/>
      <c r="I138" s="275"/>
      <c r="J138" s="275"/>
    </row>
    <row r="139" spans="8:10">
      <c r="H139" s="275"/>
      <c r="I139" s="275"/>
      <c r="J139" s="275"/>
    </row>
    <row r="140" spans="8:10">
      <c r="H140" s="275"/>
      <c r="I140" s="275"/>
      <c r="J140" s="275"/>
    </row>
    <row r="141" spans="8:10">
      <c r="H141" s="275"/>
      <c r="I141" s="275"/>
      <c r="J141" s="275"/>
    </row>
    <row r="142" spans="8:10">
      <c r="H142" s="275"/>
      <c r="I142" s="275"/>
      <c r="J142" s="275"/>
    </row>
    <row r="143" spans="8:10">
      <c r="H143" s="275"/>
      <c r="I143" s="275"/>
      <c r="J143" s="275"/>
    </row>
    <row r="144" spans="8:10">
      <c r="H144" s="275"/>
      <c r="I144" s="275"/>
      <c r="J144" s="275"/>
    </row>
    <row r="145" spans="8:10">
      <c r="H145" s="275"/>
      <c r="I145" s="275"/>
      <c r="J145" s="275"/>
    </row>
    <row r="146" spans="8:10">
      <c r="H146" s="275"/>
      <c r="I146" s="275"/>
      <c r="J146" s="275"/>
    </row>
    <row r="147" spans="8:10">
      <c r="H147" s="275"/>
      <c r="I147" s="275"/>
      <c r="J147" s="275"/>
    </row>
    <row r="148" spans="8:10">
      <c r="H148" s="275"/>
      <c r="I148" s="275"/>
      <c r="J148" s="275"/>
    </row>
    <row r="149" spans="8:10">
      <c r="H149" s="275"/>
      <c r="I149" s="275"/>
      <c r="J149" s="275"/>
    </row>
    <row r="150" spans="8:10">
      <c r="H150" s="275"/>
      <c r="I150" s="275"/>
      <c r="J150" s="275"/>
    </row>
    <row r="151" spans="8:10">
      <c r="H151" s="275"/>
      <c r="I151" s="275"/>
      <c r="J151" s="275"/>
    </row>
    <row r="152" spans="8:10">
      <c r="H152" s="275"/>
      <c r="I152" s="275"/>
      <c r="J152" s="275"/>
    </row>
    <row r="153" spans="8:10">
      <c r="H153" s="275"/>
      <c r="I153" s="275"/>
      <c r="J153" s="275"/>
    </row>
    <row r="154" spans="8:10">
      <c r="H154" s="275"/>
      <c r="I154" s="275"/>
      <c r="J154" s="275"/>
    </row>
    <row r="155" spans="8:10">
      <c r="H155" s="275"/>
      <c r="I155" s="275"/>
      <c r="J155" s="275"/>
    </row>
    <row r="156" spans="8:10">
      <c r="H156" s="275"/>
      <c r="I156" s="275"/>
      <c r="J156" s="275"/>
    </row>
    <row r="157" spans="8:10">
      <c r="H157" s="275"/>
      <c r="I157" s="275"/>
      <c r="J157" s="275"/>
    </row>
    <row r="158" spans="8:10">
      <c r="H158" s="275"/>
      <c r="I158" s="275"/>
      <c r="J158" s="275"/>
    </row>
    <row r="159" spans="8:10">
      <c r="H159" s="275"/>
      <c r="I159" s="275"/>
      <c r="J159" s="275"/>
    </row>
    <row r="160" spans="8:10">
      <c r="H160" s="275"/>
      <c r="I160" s="275"/>
      <c r="J160" s="275"/>
    </row>
    <row r="161" spans="8:10">
      <c r="H161" s="275"/>
      <c r="I161" s="275"/>
      <c r="J161" s="275"/>
    </row>
    <row r="162" spans="8:10">
      <c r="H162" s="275"/>
      <c r="I162" s="275"/>
      <c r="J162" s="275"/>
    </row>
    <row r="163" spans="8:10">
      <c r="H163" s="275"/>
      <c r="I163" s="275"/>
      <c r="J163" s="275"/>
    </row>
    <row r="164" spans="8:10">
      <c r="H164" s="275"/>
      <c r="I164" s="275"/>
      <c r="J164" s="275"/>
    </row>
    <row r="165" spans="8:10">
      <c r="H165" s="275"/>
      <c r="I165" s="275"/>
      <c r="J165" s="275"/>
    </row>
    <row r="166" spans="8:10">
      <c r="H166" s="275"/>
      <c r="I166" s="275"/>
      <c r="J166" s="275"/>
    </row>
    <row r="167" spans="8:10">
      <c r="H167" s="275"/>
      <c r="I167" s="275"/>
      <c r="J167" s="275"/>
    </row>
    <row r="168" spans="8:10">
      <c r="H168" s="275"/>
      <c r="I168" s="275"/>
      <c r="J168" s="275"/>
    </row>
    <row r="169" spans="8:10">
      <c r="H169" s="275"/>
      <c r="I169" s="275"/>
      <c r="J169" s="275"/>
    </row>
    <row r="170" spans="8:10">
      <c r="H170" s="275"/>
      <c r="I170" s="275"/>
      <c r="J170" s="275"/>
    </row>
    <row r="171" spans="8:10">
      <c r="H171" s="275"/>
      <c r="I171" s="275"/>
      <c r="J171" s="275"/>
    </row>
    <row r="172" spans="8:10">
      <c r="H172" s="275"/>
      <c r="I172" s="275"/>
      <c r="J172" s="275"/>
    </row>
    <row r="173" spans="8:10">
      <c r="H173" s="275"/>
      <c r="I173" s="275"/>
      <c r="J173" s="275"/>
    </row>
    <row r="174" spans="8:10">
      <c r="H174" s="275"/>
      <c r="I174" s="275"/>
      <c r="J174" s="275"/>
    </row>
    <row r="175" spans="8:10">
      <c r="H175" s="275"/>
      <c r="I175" s="275"/>
      <c r="J175" s="275"/>
    </row>
    <row r="176" spans="8:10">
      <c r="H176" s="275"/>
      <c r="I176" s="275"/>
      <c r="J176" s="275"/>
    </row>
    <row r="177" spans="8:10">
      <c r="H177" s="275"/>
      <c r="I177" s="275"/>
      <c r="J177" s="275"/>
    </row>
    <row r="178" spans="8:10">
      <c r="H178" s="275"/>
      <c r="I178" s="275"/>
      <c r="J178" s="275"/>
    </row>
    <row r="179" spans="8:10">
      <c r="H179" s="275"/>
      <c r="I179" s="275"/>
      <c r="J179" s="275"/>
    </row>
    <row r="180" spans="8:10">
      <c r="H180" s="275"/>
      <c r="I180" s="275"/>
      <c r="J180" s="275"/>
    </row>
    <row r="181" spans="8:10">
      <c r="H181" s="275"/>
      <c r="I181" s="275"/>
      <c r="J181" s="275"/>
    </row>
    <row r="182" spans="8:10">
      <c r="H182" s="275"/>
      <c r="I182" s="275"/>
      <c r="J182" s="275"/>
    </row>
    <row r="183" spans="8:10">
      <c r="H183" s="275"/>
      <c r="I183" s="275"/>
      <c r="J183" s="275"/>
    </row>
    <row r="184" spans="8:10">
      <c r="H184" s="275"/>
      <c r="I184" s="275"/>
      <c r="J184" s="275"/>
    </row>
    <row r="185" spans="8:10">
      <c r="H185" s="275"/>
      <c r="I185" s="275"/>
      <c r="J185" s="275"/>
    </row>
    <row r="186" spans="8:10">
      <c r="H186" s="275"/>
      <c r="I186" s="275"/>
      <c r="J186" s="275"/>
    </row>
    <row r="187" spans="8:10">
      <c r="H187" s="275"/>
      <c r="I187" s="275"/>
      <c r="J187" s="275"/>
    </row>
    <row r="188" spans="8:10">
      <c r="H188" s="275"/>
      <c r="I188" s="275"/>
      <c r="J188" s="275"/>
    </row>
    <row r="189" spans="8:10">
      <c r="H189" s="275"/>
      <c r="I189" s="275"/>
      <c r="J189" s="275"/>
    </row>
    <row r="190" spans="8:10">
      <c r="H190" s="275"/>
      <c r="I190" s="275"/>
      <c r="J190" s="275"/>
    </row>
    <row r="191" spans="8:10">
      <c r="H191" s="275"/>
      <c r="I191" s="275"/>
      <c r="J191" s="275"/>
    </row>
    <row r="192" spans="8:10">
      <c r="H192" s="275"/>
      <c r="I192" s="275"/>
      <c r="J192" s="275"/>
    </row>
    <row r="193" spans="8:10">
      <c r="H193" s="275"/>
      <c r="I193" s="275"/>
      <c r="J193" s="275"/>
    </row>
    <row r="194" spans="8:10">
      <c r="H194" s="275"/>
      <c r="I194" s="275"/>
      <c r="J194" s="275"/>
    </row>
    <row r="195" spans="8:10">
      <c r="H195" s="275"/>
      <c r="I195" s="275"/>
      <c r="J195" s="275"/>
    </row>
    <row r="196" spans="8:10">
      <c r="H196" s="275"/>
      <c r="I196" s="275"/>
      <c r="J196" s="275"/>
    </row>
    <row r="197" spans="8:10">
      <c r="H197" s="275"/>
      <c r="I197" s="275"/>
      <c r="J197" s="275"/>
    </row>
    <row r="198" spans="8:10">
      <c r="H198" s="275"/>
      <c r="I198" s="275"/>
      <c r="J198" s="275"/>
    </row>
    <row r="199" spans="8:10">
      <c r="H199" s="275"/>
      <c r="I199" s="275"/>
      <c r="J199" s="275"/>
    </row>
    <row r="200" spans="8:10">
      <c r="H200" s="275"/>
      <c r="I200" s="275"/>
      <c r="J200" s="275"/>
    </row>
    <row r="201" spans="8:10">
      <c r="H201" s="275"/>
      <c r="I201" s="275"/>
      <c r="J201" s="275"/>
    </row>
    <row r="202" spans="8:10">
      <c r="H202" s="275"/>
      <c r="I202" s="275"/>
      <c r="J202" s="275"/>
    </row>
    <row r="203" spans="8:10">
      <c r="H203" s="275"/>
      <c r="I203" s="275"/>
      <c r="J203" s="275"/>
    </row>
    <row r="204" spans="8:10">
      <c r="H204" s="275"/>
      <c r="I204" s="275"/>
      <c r="J204" s="275"/>
    </row>
    <row r="205" spans="8:10">
      <c r="H205" s="275"/>
      <c r="I205" s="275"/>
      <c r="J205" s="275"/>
    </row>
    <row r="206" spans="8:10">
      <c r="H206" s="275"/>
      <c r="I206" s="275"/>
      <c r="J206" s="275"/>
    </row>
    <row r="207" spans="8:10">
      <c r="H207" s="275"/>
      <c r="I207" s="275"/>
      <c r="J207" s="275"/>
    </row>
    <row r="208" spans="8:10">
      <c r="H208" s="275"/>
      <c r="I208" s="275"/>
      <c r="J208" s="275"/>
    </row>
    <row r="209" spans="8:10">
      <c r="H209" s="275"/>
      <c r="I209" s="275"/>
      <c r="J209" s="275"/>
    </row>
    <row r="210" spans="8:10">
      <c r="H210" s="275"/>
      <c r="I210" s="275"/>
      <c r="J210" s="275"/>
    </row>
    <row r="211" spans="8:10">
      <c r="H211" s="275"/>
      <c r="I211" s="275"/>
      <c r="J211" s="275"/>
    </row>
    <row r="212" spans="8:10">
      <c r="H212" s="275"/>
      <c r="I212" s="275"/>
      <c r="J212" s="275"/>
    </row>
    <row r="213" spans="8:10">
      <c r="H213" s="275"/>
      <c r="I213" s="275"/>
      <c r="J213" s="275"/>
    </row>
    <row r="214" spans="8:10">
      <c r="H214" s="275"/>
      <c r="I214" s="275"/>
      <c r="J214" s="275"/>
    </row>
    <row r="215" spans="8:10">
      <c r="H215" s="275"/>
      <c r="I215" s="275"/>
      <c r="J215" s="275"/>
    </row>
    <row r="216" spans="8:10">
      <c r="H216" s="275"/>
      <c r="I216" s="275"/>
      <c r="J216" s="275"/>
    </row>
    <row r="217" spans="8:10">
      <c r="H217" s="275"/>
      <c r="I217" s="275"/>
      <c r="J217" s="275"/>
    </row>
    <row r="218" spans="8:10">
      <c r="H218" s="275"/>
      <c r="I218" s="275"/>
      <c r="J218" s="275"/>
    </row>
    <row r="219" spans="8:10">
      <c r="H219" s="275"/>
      <c r="I219" s="275"/>
      <c r="J219" s="275"/>
    </row>
    <row r="220" spans="8:10">
      <c r="H220" s="275"/>
      <c r="I220" s="275"/>
      <c r="J220" s="275"/>
    </row>
    <row r="221" spans="8:10">
      <c r="H221" s="275"/>
      <c r="I221" s="275"/>
      <c r="J221" s="275"/>
    </row>
    <row r="222" spans="8:10">
      <c r="H222" s="275"/>
      <c r="I222" s="275"/>
      <c r="J222" s="275"/>
    </row>
    <row r="223" spans="8:10">
      <c r="H223" s="275"/>
      <c r="I223" s="275"/>
      <c r="J223" s="275"/>
    </row>
    <row r="224" spans="8:10">
      <c r="H224" s="275"/>
      <c r="I224" s="275"/>
      <c r="J224" s="275"/>
    </row>
    <row r="225" spans="8:10">
      <c r="H225" s="275"/>
      <c r="I225" s="275"/>
      <c r="J225" s="275"/>
    </row>
    <row r="226" spans="8:10">
      <c r="H226" s="275"/>
      <c r="I226" s="275"/>
      <c r="J226" s="275"/>
    </row>
    <row r="227" spans="8:10">
      <c r="H227" s="275"/>
      <c r="I227" s="275"/>
      <c r="J227" s="275"/>
    </row>
    <row r="228" spans="8:10">
      <c r="H228" s="275"/>
      <c r="I228" s="275"/>
      <c r="J228" s="275"/>
    </row>
    <row r="229" spans="8:10">
      <c r="H229" s="275"/>
      <c r="I229" s="275"/>
      <c r="J229" s="275"/>
    </row>
    <row r="230" spans="8:10">
      <c r="H230" s="275"/>
      <c r="I230" s="275"/>
      <c r="J230" s="275"/>
    </row>
    <row r="231" spans="8:10">
      <c r="H231" s="275"/>
      <c r="I231" s="275"/>
      <c r="J231" s="275"/>
    </row>
    <row r="232" spans="8:10">
      <c r="H232" s="275"/>
      <c r="I232" s="275"/>
      <c r="J232" s="275"/>
    </row>
    <row r="233" spans="8:10">
      <c r="H233" s="275"/>
      <c r="I233" s="275"/>
      <c r="J233" s="275"/>
    </row>
    <row r="234" spans="8:10">
      <c r="H234" s="275"/>
      <c r="I234" s="275"/>
      <c r="J234" s="275"/>
    </row>
    <row r="235" spans="8:10">
      <c r="H235" s="275"/>
      <c r="I235" s="275"/>
      <c r="J235" s="275"/>
    </row>
    <row r="236" spans="8:10">
      <c r="H236" s="275"/>
      <c r="I236" s="275"/>
      <c r="J236" s="275"/>
    </row>
    <row r="237" spans="8:10">
      <c r="H237" s="275"/>
      <c r="I237" s="275"/>
      <c r="J237" s="275"/>
    </row>
    <row r="238" spans="8:10">
      <c r="H238" s="275"/>
      <c r="I238" s="275"/>
      <c r="J238" s="275"/>
    </row>
    <row r="239" spans="8:10">
      <c r="H239" s="275"/>
      <c r="I239" s="275"/>
      <c r="J239" s="275"/>
    </row>
    <row r="240" spans="8:10">
      <c r="H240" s="275"/>
      <c r="I240" s="275"/>
      <c r="J240" s="275"/>
    </row>
    <row r="241" spans="8:10">
      <c r="H241" s="275"/>
      <c r="I241" s="275"/>
      <c r="J241" s="275"/>
    </row>
    <row r="242" spans="8:10">
      <c r="H242" s="275"/>
      <c r="I242" s="275"/>
      <c r="J242" s="275"/>
    </row>
    <row r="243" spans="8:10">
      <c r="H243" s="275"/>
      <c r="I243" s="275"/>
      <c r="J243" s="275"/>
    </row>
    <row r="244" spans="8:10">
      <c r="H244" s="275"/>
      <c r="I244" s="275"/>
      <c r="J244" s="275"/>
    </row>
    <row r="245" spans="8:10">
      <c r="H245" s="275"/>
      <c r="I245" s="275"/>
      <c r="J245" s="275"/>
    </row>
    <row r="246" spans="8:10">
      <c r="H246" s="275"/>
      <c r="I246" s="275"/>
      <c r="J246" s="275"/>
    </row>
    <row r="247" spans="8:10">
      <c r="H247" s="275"/>
      <c r="I247" s="275"/>
      <c r="J247" s="275"/>
    </row>
    <row r="248" spans="8:10">
      <c r="H248" s="275"/>
      <c r="I248" s="275"/>
      <c r="J248" s="275"/>
    </row>
    <row r="249" spans="8:10">
      <c r="H249" s="275"/>
      <c r="I249" s="275"/>
      <c r="J249" s="275"/>
    </row>
    <row r="250" spans="8:10">
      <c r="H250" s="275"/>
      <c r="I250" s="275"/>
      <c r="J250" s="275"/>
    </row>
    <row r="251" spans="8:10">
      <c r="H251" s="275"/>
      <c r="I251" s="275"/>
      <c r="J251" s="275"/>
    </row>
    <row r="252" spans="8:10">
      <c r="H252" s="275"/>
      <c r="I252" s="275"/>
      <c r="J252" s="275"/>
    </row>
    <row r="253" spans="8:10">
      <c r="H253" s="275"/>
      <c r="I253" s="275"/>
      <c r="J253" s="275"/>
    </row>
    <row r="254" spans="8:10">
      <c r="H254" s="275"/>
      <c r="I254" s="275"/>
      <c r="J254" s="275"/>
    </row>
    <row r="255" spans="8:10">
      <c r="H255" s="275"/>
      <c r="I255" s="275"/>
      <c r="J255" s="275"/>
    </row>
    <row r="256" spans="8:10">
      <c r="H256" s="275"/>
      <c r="I256" s="275"/>
      <c r="J256" s="275"/>
    </row>
    <row r="257" spans="8:10">
      <c r="H257" s="275"/>
      <c r="I257" s="275"/>
      <c r="J257" s="275"/>
    </row>
    <row r="258" spans="8:10">
      <c r="H258" s="275"/>
      <c r="I258" s="275"/>
      <c r="J258" s="275"/>
    </row>
    <row r="259" spans="8:10">
      <c r="H259" s="275"/>
      <c r="I259" s="275"/>
      <c r="J259" s="275"/>
    </row>
    <row r="260" spans="8:10">
      <c r="H260" s="275"/>
      <c r="I260" s="275"/>
      <c r="J260" s="275"/>
    </row>
    <row r="261" spans="8:10">
      <c r="H261" s="275"/>
      <c r="I261" s="275"/>
      <c r="J261" s="275"/>
    </row>
    <row r="262" spans="8:10">
      <c r="H262" s="275"/>
      <c r="I262" s="275"/>
      <c r="J262" s="275"/>
    </row>
    <row r="263" spans="8:10">
      <c r="H263" s="275"/>
      <c r="I263" s="275"/>
      <c r="J263" s="275"/>
    </row>
    <row r="264" spans="8:10">
      <c r="H264" s="275"/>
      <c r="I264" s="275"/>
      <c r="J264" s="275"/>
    </row>
    <row r="265" spans="8:10">
      <c r="H265" s="275"/>
      <c r="I265" s="275"/>
      <c r="J265" s="275"/>
    </row>
    <row r="266" spans="8:10">
      <c r="H266" s="275"/>
      <c r="I266" s="275"/>
      <c r="J266" s="275"/>
    </row>
    <row r="267" spans="8:10">
      <c r="H267" s="275"/>
      <c r="I267" s="275"/>
      <c r="J267" s="275"/>
    </row>
    <row r="268" spans="8:10">
      <c r="H268" s="275"/>
      <c r="I268" s="275"/>
      <c r="J268" s="275"/>
    </row>
    <row r="269" spans="8:10">
      <c r="H269" s="275"/>
      <c r="I269" s="275"/>
      <c r="J269" s="275"/>
    </row>
    <row r="270" spans="8:10">
      <c r="H270" s="275"/>
      <c r="I270" s="275"/>
      <c r="J270" s="275"/>
    </row>
    <row r="271" spans="8:10">
      <c r="H271" s="275"/>
      <c r="I271" s="275"/>
      <c r="J271" s="275"/>
    </row>
    <row r="272" spans="8:10">
      <c r="H272" s="275"/>
      <c r="I272" s="275"/>
      <c r="J272" s="275"/>
    </row>
    <row r="273" spans="8:10">
      <c r="H273" s="275"/>
      <c r="I273" s="275"/>
      <c r="J273" s="275"/>
    </row>
    <row r="274" spans="8:10">
      <c r="H274" s="275"/>
      <c r="I274" s="275"/>
      <c r="J274" s="275"/>
    </row>
    <row r="275" spans="8:10">
      <c r="H275" s="275"/>
      <c r="I275" s="275"/>
      <c r="J275" s="275"/>
    </row>
    <row r="276" spans="8:10">
      <c r="H276" s="275"/>
      <c r="I276" s="275"/>
      <c r="J276" s="275"/>
    </row>
    <row r="277" spans="8:10">
      <c r="H277" s="275"/>
      <c r="I277" s="275"/>
      <c r="J277" s="275"/>
    </row>
    <row r="278" spans="8:10">
      <c r="H278" s="275"/>
      <c r="I278" s="275"/>
      <c r="J278" s="275"/>
    </row>
    <row r="279" spans="8:10">
      <c r="H279" s="275"/>
      <c r="I279" s="275"/>
      <c r="J279" s="275"/>
    </row>
    <row r="280" spans="8:10">
      <c r="H280" s="275"/>
      <c r="I280" s="275"/>
      <c r="J280" s="275"/>
    </row>
    <row r="281" spans="8:10">
      <c r="H281" s="275"/>
      <c r="I281" s="275"/>
      <c r="J281" s="275"/>
    </row>
    <row r="282" spans="8:10">
      <c r="H282" s="275"/>
      <c r="I282" s="275"/>
      <c r="J282" s="275"/>
    </row>
    <row r="283" spans="8:10">
      <c r="H283" s="275"/>
      <c r="I283" s="275"/>
      <c r="J283" s="275"/>
    </row>
    <row r="284" spans="8:10">
      <c r="H284" s="275"/>
      <c r="I284" s="275"/>
      <c r="J284" s="275"/>
    </row>
    <row r="285" spans="8:10">
      <c r="H285" s="275"/>
      <c r="I285" s="275"/>
      <c r="J285" s="275"/>
    </row>
    <row r="286" spans="8:10">
      <c r="H286" s="275"/>
      <c r="I286" s="275"/>
      <c r="J286" s="275"/>
    </row>
    <row r="287" spans="8:10">
      <c r="H287" s="275"/>
      <c r="I287" s="275"/>
      <c r="J287" s="275"/>
    </row>
    <row r="288" spans="8:10">
      <c r="H288" s="275"/>
      <c r="I288" s="275"/>
      <c r="J288" s="275"/>
    </row>
    <row r="289" spans="8:10">
      <c r="H289" s="275"/>
      <c r="I289" s="275"/>
      <c r="J289" s="275"/>
    </row>
    <row r="290" spans="8:10">
      <c r="H290" s="275"/>
      <c r="I290" s="275"/>
      <c r="J290" s="275"/>
    </row>
    <row r="291" spans="8:10">
      <c r="H291" s="275"/>
      <c r="I291" s="275"/>
      <c r="J291" s="275"/>
    </row>
    <row r="292" spans="8:10">
      <c r="H292" s="275"/>
      <c r="I292" s="275"/>
      <c r="J292" s="275"/>
    </row>
    <row r="293" spans="8:10">
      <c r="H293" s="275"/>
      <c r="I293" s="275"/>
      <c r="J293" s="275"/>
    </row>
    <row r="294" spans="8:10">
      <c r="H294" s="275"/>
      <c r="I294" s="275"/>
      <c r="J294" s="275"/>
    </row>
    <row r="295" spans="8:10">
      <c r="H295" s="275"/>
      <c r="I295" s="275"/>
      <c r="J295" s="275"/>
    </row>
    <row r="296" spans="8:10">
      <c r="H296" s="275"/>
      <c r="I296" s="275"/>
      <c r="J296" s="275"/>
    </row>
    <row r="297" spans="8:10">
      <c r="H297" s="275"/>
      <c r="I297" s="275"/>
      <c r="J297" s="275"/>
    </row>
    <row r="298" spans="8:10">
      <c r="H298" s="275"/>
      <c r="I298" s="275"/>
      <c r="J298" s="275"/>
    </row>
    <row r="299" spans="8:10">
      <c r="H299" s="275"/>
      <c r="I299" s="275"/>
      <c r="J299" s="275"/>
    </row>
    <row r="300" spans="8:10">
      <c r="H300" s="275"/>
      <c r="I300" s="275"/>
      <c r="J300" s="275"/>
    </row>
    <row r="301" spans="8:10">
      <c r="H301" s="275"/>
      <c r="I301" s="275"/>
      <c r="J301" s="275"/>
    </row>
    <row r="302" spans="8:10">
      <c r="H302" s="275"/>
      <c r="I302" s="275"/>
      <c r="J302" s="275"/>
    </row>
    <row r="303" spans="8:10">
      <c r="H303" s="275"/>
      <c r="I303" s="275"/>
      <c r="J303" s="275"/>
    </row>
    <row r="304" spans="8:10">
      <c r="H304" s="275"/>
      <c r="I304" s="275"/>
      <c r="J304" s="275"/>
    </row>
    <row r="305" spans="8:10">
      <c r="H305" s="275"/>
      <c r="I305" s="275"/>
      <c r="J305" s="275"/>
    </row>
    <row r="306" spans="8:10">
      <c r="H306" s="275"/>
      <c r="I306" s="275"/>
      <c r="J306" s="275"/>
    </row>
    <row r="307" spans="8:10">
      <c r="H307" s="275"/>
      <c r="I307" s="275"/>
      <c r="J307" s="275"/>
    </row>
    <row r="308" spans="8:10">
      <c r="H308" s="275"/>
      <c r="I308" s="275"/>
      <c r="J308" s="275"/>
    </row>
    <row r="309" spans="8:10">
      <c r="H309" s="275"/>
      <c r="I309" s="275"/>
      <c r="J309" s="275"/>
    </row>
    <row r="310" spans="8:10">
      <c r="H310" s="275"/>
      <c r="I310" s="275"/>
      <c r="J310" s="275"/>
    </row>
    <row r="311" spans="8:10">
      <c r="H311" s="275"/>
      <c r="I311" s="275"/>
      <c r="J311" s="275"/>
    </row>
    <row r="312" spans="8:10">
      <c r="H312" s="275"/>
      <c r="I312" s="275"/>
      <c r="J312" s="275"/>
    </row>
    <row r="313" spans="8:10">
      <c r="H313" s="275"/>
      <c r="I313" s="275"/>
      <c r="J313" s="275"/>
    </row>
    <row r="314" spans="8:10">
      <c r="H314" s="275"/>
      <c r="I314" s="275"/>
      <c r="J314" s="275"/>
    </row>
    <row r="315" spans="8:10">
      <c r="H315" s="275"/>
      <c r="I315" s="275"/>
      <c r="J315" s="275"/>
    </row>
    <row r="316" spans="8:10">
      <c r="H316" s="275"/>
      <c r="I316" s="275"/>
      <c r="J316" s="275"/>
    </row>
    <row r="317" spans="8:10">
      <c r="H317" s="275"/>
      <c r="I317" s="275"/>
      <c r="J317" s="275"/>
    </row>
    <row r="318" spans="8:10">
      <c r="H318" s="275"/>
      <c r="I318" s="275"/>
      <c r="J318" s="275"/>
    </row>
    <row r="319" spans="8:10">
      <c r="H319" s="275"/>
      <c r="I319" s="275"/>
      <c r="J319" s="275"/>
    </row>
    <row r="320" spans="8:10">
      <c r="H320" s="275"/>
      <c r="I320" s="275"/>
      <c r="J320" s="275"/>
    </row>
    <row r="321" spans="8:10">
      <c r="H321" s="275"/>
      <c r="I321" s="275"/>
      <c r="J321" s="275"/>
    </row>
    <row r="322" spans="8:10">
      <c r="H322" s="275"/>
      <c r="I322" s="275"/>
      <c r="J322" s="275"/>
    </row>
    <row r="323" spans="8:10">
      <c r="H323" s="275"/>
      <c r="I323" s="275"/>
      <c r="J323" s="275"/>
    </row>
    <row r="324" spans="8:10">
      <c r="H324" s="275"/>
      <c r="I324" s="275"/>
      <c r="J324" s="275"/>
    </row>
    <row r="325" spans="8:10">
      <c r="H325" s="275"/>
      <c r="I325" s="275"/>
      <c r="J325" s="275"/>
    </row>
    <row r="326" spans="8:10">
      <c r="H326" s="275"/>
      <c r="I326" s="275"/>
      <c r="J326" s="275"/>
    </row>
    <row r="327" spans="8:10">
      <c r="H327" s="275"/>
      <c r="I327" s="275"/>
      <c r="J327" s="275"/>
    </row>
    <row r="328" spans="8:10">
      <c r="H328" s="275"/>
      <c r="I328" s="275"/>
      <c r="J328" s="275"/>
    </row>
    <row r="329" spans="8:10">
      <c r="H329" s="275"/>
      <c r="I329" s="275"/>
      <c r="J329" s="275"/>
    </row>
    <row r="330" spans="8:10">
      <c r="H330" s="275"/>
      <c r="I330" s="275"/>
      <c r="J330" s="275"/>
    </row>
    <row r="331" spans="8:10">
      <c r="H331" s="275"/>
      <c r="I331" s="275"/>
      <c r="J331" s="275"/>
    </row>
    <row r="332" spans="8:10">
      <c r="H332" s="275"/>
      <c r="I332" s="275"/>
      <c r="J332" s="275"/>
    </row>
    <row r="333" spans="8:10">
      <c r="H333" s="275"/>
      <c r="I333" s="275"/>
      <c r="J333" s="275"/>
    </row>
    <row r="334" spans="8:10">
      <c r="H334" s="275"/>
      <c r="I334" s="275"/>
      <c r="J334" s="275"/>
    </row>
    <row r="335" spans="8:10">
      <c r="H335" s="275"/>
      <c r="I335" s="275"/>
      <c r="J335" s="275"/>
    </row>
    <row r="336" spans="8:10">
      <c r="H336" s="275"/>
      <c r="I336" s="275"/>
      <c r="J336" s="275"/>
    </row>
    <row r="337" spans="8:10">
      <c r="H337" s="275"/>
      <c r="I337" s="275"/>
      <c r="J337" s="275"/>
    </row>
    <row r="338" spans="8:10">
      <c r="H338" s="275"/>
      <c r="I338" s="275"/>
      <c r="J338" s="275"/>
    </row>
    <row r="339" spans="8:10">
      <c r="H339" s="275"/>
      <c r="I339" s="275"/>
      <c r="J339" s="275"/>
    </row>
    <row r="340" spans="8:10">
      <c r="H340" s="275"/>
      <c r="I340" s="275"/>
      <c r="J340" s="275"/>
    </row>
    <row r="341" spans="8:10">
      <c r="H341" s="275"/>
      <c r="I341" s="275"/>
      <c r="J341" s="275"/>
    </row>
    <row r="342" spans="8:10">
      <c r="H342" s="275"/>
      <c r="I342" s="275"/>
      <c r="J342" s="275"/>
    </row>
    <row r="343" spans="8:10">
      <c r="H343" s="275"/>
      <c r="I343" s="275"/>
      <c r="J343" s="275"/>
    </row>
    <row r="344" spans="8:10">
      <c r="H344" s="275"/>
      <c r="I344" s="275"/>
      <c r="J344" s="275"/>
    </row>
    <row r="345" spans="8:10">
      <c r="H345" s="275"/>
      <c r="I345" s="275"/>
      <c r="J345" s="275"/>
    </row>
    <row r="346" spans="8:10">
      <c r="H346" s="275"/>
      <c r="I346" s="275"/>
      <c r="J346" s="275"/>
    </row>
    <row r="347" spans="8:10">
      <c r="H347" s="275"/>
      <c r="I347" s="275"/>
      <c r="J347" s="275"/>
    </row>
    <row r="348" spans="8:10">
      <c r="H348" s="275"/>
      <c r="I348" s="275"/>
      <c r="J348" s="275"/>
    </row>
    <row r="349" spans="8:10">
      <c r="H349" s="275"/>
      <c r="I349" s="275"/>
      <c r="J349" s="275"/>
    </row>
    <row r="350" spans="8:10">
      <c r="H350" s="275"/>
      <c r="I350" s="275"/>
      <c r="J350" s="275"/>
    </row>
    <row r="351" spans="8:10">
      <c r="H351" s="275"/>
      <c r="I351" s="275"/>
      <c r="J351" s="275"/>
    </row>
    <row r="352" spans="8:10">
      <c r="H352" s="275"/>
      <c r="I352" s="275"/>
      <c r="J352" s="275"/>
    </row>
    <row r="353" spans="8:10">
      <c r="H353" s="275"/>
      <c r="I353" s="275"/>
      <c r="J353" s="275"/>
    </row>
    <row r="354" spans="8:10">
      <c r="H354" s="275"/>
      <c r="I354" s="275"/>
      <c r="J354" s="275"/>
    </row>
    <row r="355" spans="8:10">
      <c r="H355" s="275"/>
      <c r="I355" s="275"/>
      <c r="J355" s="275"/>
    </row>
    <row r="356" spans="8:10">
      <c r="H356" s="275"/>
      <c r="I356" s="275"/>
      <c r="J356" s="275"/>
    </row>
    <row r="357" spans="8:10">
      <c r="H357" s="275"/>
      <c r="I357" s="275"/>
      <c r="J357" s="275"/>
    </row>
    <row r="358" spans="8:10">
      <c r="H358" s="275"/>
      <c r="I358" s="275"/>
      <c r="J358" s="275"/>
    </row>
    <row r="359" spans="8:10">
      <c r="H359" s="275"/>
      <c r="I359" s="275"/>
      <c r="J359" s="275"/>
    </row>
    <row r="360" spans="8:10">
      <c r="H360" s="275"/>
      <c r="I360" s="275"/>
      <c r="J360" s="275"/>
    </row>
    <row r="361" spans="8:10">
      <c r="H361" s="275"/>
      <c r="I361" s="275"/>
      <c r="J361" s="275"/>
    </row>
    <row r="362" spans="8:10">
      <c r="H362" s="275"/>
      <c r="I362" s="275"/>
      <c r="J362" s="275"/>
    </row>
    <row r="363" spans="8:10">
      <c r="H363" s="275"/>
      <c r="I363" s="275"/>
      <c r="J363" s="275"/>
    </row>
    <row r="364" spans="8:10">
      <c r="H364" s="275"/>
      <c r="I364" s="275"/>
      <c r="J364" s="275"/>
    </row>
    <row r="365" spans="8:10">
      <c r="H365" s="275"/>
      <c r="I365" s="275"/>
      <c r="J365" s="275"/>
    </row>
    <row r="366" spans="8:10">
      <c r="H366" s="275"/>
      <c r="I366" s="275"/>
      <c r="J366" s="275"/>
    </row>
    <row r="367" spans="8:10">
      <c r="H367" s="275"/>
      <c r="I367" s="275"/>
      <c r="J367" s="275"/>
    </row>
    <row r="368" spans="8:10">
      <c r="H368" s="275"/>
      <c r="I368" s="275"/>
      <c r="J368" s="275"/>
    </row>
    <row r="369" spans="8:10">
      <c r="H369" s="275"/>
      <c r="I369" s="275"/>
      <c r="J369" s="275"/>
    </row>
    <row r="370" spans="8:10">
      <c r="H370" s="275"/>
      <c r="I370" s="275"/>
      <c r="J370" s="275"/>
    </row>
    <row r="371" spans="8:10">
      <c r="H371" s="275"/>
      <c r="I371" s="275"/>
      <c r="J371" s="275"/>
    </row>
    <row r="372" spans="8:10">
      <c r="H372" s="275"/>
      <c r="I372" s="275"/>
      <c r="J372" s="275"/>
    </row>
    <row r="373" spans="8:10">
      <c r="H373" s="275"/>
      <c r="I373" s="275"/>
      <c r="J373" s="275"/>
    </row>
    <row r="374" spans="8:10">
      <c r="H374" s="275"/>
      <c r="I374" s="275"/>
      <c r="J374" s="275"/>
    </row>
    <row r="375" spans="8:10">
      <c r="H375" s="275"/>
      <c r="I375" s="275"/>
      <c r="J375" s="275"/>
    </row>
    <row r="376" spans="8:10">
      <c r="H376" s="275"/>
      <c r="I376" s="275"/>
      <c r="J376" s="275"/>
    </row>
    <row r="377" spans="8:10">
      <c r="H377" s="275"/>
      <c r="I377" s="275"/>
      <c r="J377" s="275"/>
    </row>
    <row r="378" spans="8:10">
      <c r="H378" s="275"/>
      <c r="I378" s="275"/>
      <c r="J378" s="275"/>
    </row>
    <row r="379" spans="8:10">
      <c r="H379" s="275"/>
      <c r="I379" s="275"/>
      <c r="J379" s="275"/>
    </row>
    <row r="380" spans="8:10">
      <c r="H380" s="275"/>
      <c r="I380" s="275"/>
      <c r="J380" s="275"/>
    </row>
    <row r="381" spans="8:10">
      <c r="H381" s="275"/>
      <c r="I381" s="275"/>
      <c r="J381" s="275"/>
    </row>
    <row r="382" spans="8:10">
      <c r="H382" s="275"/>
      <c r="I382" s="275"/>
      <c r="J382" s="275"/>
    </row>
    <row r="383" spans="8:10">
      <c r="H383" s="275"/>
      <c r="I383" s="275"/>
      <c r="J383" s="275"/>
    </row>
    <row r="384" spans="8:10">
      <c r="H384" s="275"/>
      <c r="I384" s="275"/>
      <c r="J384" s="275"/>
    </row>
    <row r="385" spans="8:10">
      <c r="H385" s="275"/>
      <c r="I385" s="275"/>
      <c r="J385" s="275"/>
    </row>
    <row r="386" spans="8:10">
      <c r="H386" s="275"/>
      <c r="I386" s="275"/>
      <c r="J386" s="275"/>
    </row>
    <row r="387" spans="8:10">
      <c r="H387" s="275"/>
      <c r="I387" s="275"/>
      <c r="J387" s="275"/>
    </row>
    <row r="388" spans="8:10">
      <c r="H388" s="275"/>
      <c r="I388" s="275"/>
      <c r="J388" s="275"/>
    </row>
    <row r="389" spans="8:10">
      <c r="H389" s="275"/>
      <c r="I389" s="275"/>
      <c r="J389" s="275"/>
    </row>
    <row r="390" spans="8:10">
      <c r="H390" s="275"/>
      <c r="I390" s="275"/>
      <c r="J390" s="275"/>
    </row>
    <row r="391" spans="8:10">
      <c r="H391" s="275"/>
      <c r="I391" s="275"/>
      <c r="J391" s="275"/>
    </row>
    <row r="392" spans="8:10">
      <c r="H392" s="275"/>
      <c r="I392" s="275"/>
      <c r="J392" s="275"/>
    </row>
    <row r="393" spans="8:10">
      <c r="H393" s="275"/>
      <c r="I393" s="275"/>
      <c r="J393" s="275"/>
    </row>
    <row r="394" spans="8:10">
      <c r="H394" s="275"/>
      <c r="I394" s="275"/>
      <c r="J394" s="275"/>
    </row>
    <row r="395" spans="8:10">
      <c r="H395" s="275"/>
      <c r="I395" s="275"/>
      <c r="J395" s="275"/>
    </row>
    <row r="396" spans="8:10">
      <c r="H396" s="275"/>
      <c r="I396" s="275"/>
      <c r="J396" s="275"/>
    </row>
    <row r="397" spans="8:10">
      <c r="H397" s="275"/>
      <c r="I397" s="275"/>
      <c r="J397" s="275"/>
    </row>
    <row r="398" spans="8:10">
      <c r="H398" s="275"/>
      <c r="I398" s="275"/>
      <c r="J398" s="275"/>
    </row>
    <row r="399" spans="8:10">
      <c r="H399" s="275"/>
      <c r="I399" s="275"/>
      <c r="J399" s="275"/>
    </row>
    <row r="400" spans="8:10">
      <c r="H400" s="275"/>
      <c r="I400" s="275"/>
      <c r="J400" s="275"/>
    </row>
    <row r="401" spans="8:10">
      <c r="H401" s="275"/>
      <c r="I401" s="275"/>
      <c r="J401" s="275"/>
    </row>
    <row r="402" spans="8:10">
      <c r="H402" s="275"/>
      <c r="I402" s="275"/>
      <c r="J402" s="275"/>
    </row>
    <row r="403" spans="8:10">
      <c r="H403" s="275"/>
      <c r="I403" s="275"/>
      <c r="J403" s="275"/>
    </row>
    <row r="404" spans="8:10">
      <c r="H404" s="275"/>
      <c r="I404" s="275"/>
      <c r="J404" s="275"/>
    </row>
    <row r="405" spans="8:10">
      <c r="H405" s="275"/>
      <c r="I405" s="275"/>
      <c r="J405" s="275"/>
    </row>
    <row r="406" spans="8:10">
      <c r="H406" s="275"/>
      <c r="I406" s="275"/>
      <c r="J406" s="275"/>
    </row>
    <row r="407" spans="8:10">
      <c r="H407" s="275"/>
      <c r="I407" s="275"/>
      <c r="J407" s="275"/>
    </row>
    <row r="408" spans="8:10">
      <c r="H408" s="275"/>
      <c r="I408" s="275"/>
      <c r="J408" s="275"/>
    </row>
    <row r="409" spans="8:10">
      <c r="H409" s="275"/>
      <c r="I409" s="275"/>
      <c r="J409" s="275"/>
    </row>
    <row r="410" spans="8:10">
      <c r="H410" s="275"/>
      <c r="I410" s="275"/>
      <c r="J410" s="275"/>
    </row>
    <row r="411" spans="8:10">
      <c r="H411" s="275"/>
      <c r="I411" s="275"/>
      <c r="J411" s="275"/>
    </row>
    <row r="412" spans="8:10">
      <c r="H412" s="275"/>
      <c r="I412" s="275"/>
      <c r="J412" s="275"/>
    </row>
    <row r="413" spans="8:10">
      <c r="H413" s="275"/>
      <c r="I413" s="275"/>
      <c r="J413" s="275"/>
    </row>
    <row r="414" spans="8:10">
      <c r="H414" s="275"/>
      <c r="I414" s="275"/>
      <c r="J414" s="275"/>
    </row>
    <row r="415" spans="8:10">
      <c r="H415" s="275"/>
      <c r="I415" s="275"/>
      <c r="J415" s="275"/>
    </row>
    <row r="416" spans="8:10">
      <c r="H416" s="275"/>
      <c r="I416" s="275"/>
      <c r="J416" s="275"/>
    </row>
    <row r="417" spans="8:10">
      <c r="H417" s="275"/>
      <c r="I417" s="275"/>
      <c r="J417" s="275"/>
    </row>
    <row r="418" spans="8:10">
      <c r="H418" s="275"/>
      <c r="I418" s="275"/>
      <c r="J418" s="275"/>
    </row>
    <row r="419" spans="8:10">
      <c r="H419" s="275"/>
      <c r="I419" s="275"/>
      <c r="J419" s="275"/>
    </row>
    <row r="420" spans="8:10">
      <c r="H420" s="275"/>
      <c r="I420" s="275"/>
      <c r="J420" s="275"/>
    </row>
    <row r="421" spans="8:10">
      <c r="H421" s="275"/>
      <c r="I421" s="275"/>
      <c r="J421" s="275"/>
    </row>
    <row r="422" spans="8:10">
      <c r="H422" s="275"/>
      <c r="I422" s="275"/>
      <c r="J422" s="275"/>
    </row>
    <row r="423" spans="8:10">
      <c r="H423" s="275"/>
      <c r="I423" s="275"/>
      <c r="J423" s="275"/>
    </row>
    <row r="424" spans="8:10">
      <c r="H424" s="275"/>
      <c r="I424" s="275"/>
      <c r="J424" s="275"/>
    </row>
    <row r="425" spans="8:10">
      <c r="H425" s="275"/>
      <c r="I425" s="275"/>
      <c r="J425" s="275"/>
    </row>
    <row r="426" spans="8:10">
      <c r="H426" s="275"/>
      <c r="I426" s="275"/>
      <c r="J426" s="275"/>
    </row>
    <row r="427" spans="8:10">
      <c r="H427" s="275"/>
      <c r="I427" s="275"/>
      <c r="J427" s="275"/>
    </row>
    <row r="428" spans="8:10">
      <c r="H428" s="275"/>
      <c r="I428" s="275"/>
      <c r="J428" s="275"/>
    </row>
    <row r="429" spans="8:10">
      <c r="H429" s="275"/>
      <c r="I429" s="275"/>
      <c r="J429" s="275"/>
    </row>
    <row r="430" spans="8:10">
      <c r="H430" s="275"/>
      <c r="I430" s="275"/>
      <c r="J430" s="275"/>
    </row>
    <row r="431" spans="8:10">
      <c r="H431" s="275"/>
      <c r="I431" s="275"/>
      <c r="J431" s="275"/>
    </row>
    <row r="432" spans="8:10">
      <c r="H432" s="275"/>
      <c r="I432" s="275"/>
      <c r="J432" s="275"/>
    </row>
    <row r="433" spans="8:10">
      <c r="H433" s="275"/>
      <c r="I433" s="275"/>
      <c r="J433" s="275"/>
    </row>
    <row r="434" spans="8:10">
      <c r="H434" s="275"/>
      <c r="I434" s="275"/>
      <c r="J434" s="275"/>
    </row>
    <row r="435" spans="8:10">
      <c r="H435" s="275"/>
      <c r="I435" s="275"/>
      <c r="J435" s="275"/>
    </row>
    <row r="436" spans="8:10">
      <c r="H436" s="275"/>
      <c r="I436" s="275"/>
      <c r="J436" s="275"/>
    </row>
    <row r="437" spans="8:10">
      <c r="H437" s="275"/>
      <c r="I437" s="275"/>
      <c r="J437" s="275"/>
    </row>
    <row r="438" spans="8:10">
      <c r="H438" s="275"/>
      <c r="I438" s="275"/>
      <c r="J438" s="275"/>
    </row>
    <row r="439" spans="8:10">
      <c r="H439" s="275"/>
      <c r="I439" s="275"/>
      <c r="J439" s="275"/>
    </row>
    <row r="440" spans="8:10">
      <c r="H440" s="275"/>
      <c r="I440" s="275"/>
      <c r="J440" s="275"/>
    </row>
    <row r="441" spans="8:10">
      <c r="H441" s="275"/>
      <c r="I441" s="275"/>
      <c r="J441" s="275"/>
    </row>
    <row r="442" spans="8:10">
      <c r="H442" s="275"/>
      <c r="I442" s="275"/>
      <c r="J442" s="275"/>
    </row>
    <row r="443" spans="8:10">
      <c r="H443" s="275"/>
      <c r="I443" s="275"/>
      <c r="J443" s="275"/>
    </row>
    <row r="444" spans="8:10">
      <c r="H444" s="275"/>
      <c r="I444" s="275"/>
      <c r="J444" s="275"/>
    </row>
    <row r="445" spans="8:10">
      <c r="H445" s="275"/>
      <c r="I445" s="275"/>
      <c r="J445" s="275"/>
    </row>
    <row r="446" spans="8:10">
      <c r="H446" s="275"/>
      <c r="I446" s="275"/>
      <c r="J446" s="275"/>
    </row>
    <row r="447" spans="8:10">
      <c r="H447" s="275"/>
      <c r="I447" s="275"/>
      <c r="J447" s="275"/>
    </row>
    <row r="448" spans="8:10">
      <c r="H448" s="275"/>
      <c r="I448" s="275"/>
      <c r="J448" s="275"/>
    </row>
    <row r="449" spans="8:10">
      <c r="H449" s="275"/>
      <c r="I449" s="275"/>
      <c r="J449" s="275"/>
    </row>
    <row r="450" spans="8:10">
      <c r="H450" s="275"/>
      <c r="I450" s="275"/>
      <c r="J450" s="275"/>
    </row>
    <row r="451" spans="8:10">
      <c r="H451" s="275"/>
      <c r="I451" s="275"/>
      <c r="J451" s="275"/>
    </row>
    <row r="452" spans="8:10">
      <c r="H452" s="275"/>
      <c r="I452" s="275"/>
      <c r="J452" s="275"/>
    </row>
    <row r="453" spans="8:10">
      <c r="H453" s="275"/>
      <c r="I453" s="275"/>
      <c r="J453" s="275"/>
    </row>
    <row r="454" spans="8:10">
      <c r="H454" s="275"/>
      <c r="I454" s="275"/>
      <c r="J454" s="275"/>
    </row>
    <row r="455" spans="8:10">
      <c r="H455" s="275"/>
      <c r="I455" s="275"/>
      <c r="J455" s="275"/>
    </row>
    <row r="456" spans="8:10">
      <c r="H456" s="275"/>
      <c r="I456" s="275"/>
      <c r="J456" s="275"/>
    </row>
    <row r="457" spans="8:10">
      <c r="H457" s="275"/>
      <c r="I457" s="275"/>
      <c r="J457" s="275"/>
    </row>
    <row r="458" spans="8:10">
      <c r="H458" s="275"/>
      <c r="I458" s="275"/>
      <c r="J458" s="275"/>
    </row>
    <row r="459" spans="8:10">
      <c r="H459" s="275"/>
      <c r="I459" s="275"/>
      <c r="J459" s="275"/>
    </row>
    <row r="460" spans="8:10">
      <c r="H460" s="275"/>
      <c r="I460" s="275"/>
      <c r="J460" s="275"/>
    </row>
    <row r="461" spans="8:10">
      <c r="H461" s="275"/>
      <c r="I461" s="275"/>
      <c r="J461" s="275"/>
    </row>
    <row r="462" spans="8:10">
      <c r="H462" s="275"/>
      <c r="I462" s="275"/>
      <c r="J462" s="275"/>
    </row>
    <row r="463" spans="8:10">
      <c r="H463" s="275"/>
      <c r="I463" s="275"/>
      <c r="J463" s="275"/>
    </row>
    <row r="464" spans="8:10">
      <c r="H464" s="275"/>
      <c r="I464" s="275"/>
      <c r="J464" s="275"/>
    </row>
    <row r="465" spans="8:10">
      <c r="H465" s="275"/>
      <c r="I465" s="275"/>
      <c r="J465" s="275"/>
    </row>
    <row r="466" spans="8:10">
      <c r="H466" s="275"/>
      <c r="I466" s="275"/>
      <c r="J466" s="275"/>
    </row>
    <row r="467" spans="8:10">
      <c r="H467" s="275"/>
      <c r="I467" s="275"/>
      <c r="J467" s="275"/>
    </row>
    <row r="468" spans="8:10">
      <c r="H468" s="275"/>
      <c r="I468" s="275"/>
      <c r="J468" s="275"/>
    </row>
    <row r="469" spans="8:10">
      <c r="H469" s="275"/>
      <c r="I469" s="275"/>
      <c r="J469" s="275"/>
    </row>
    <row r="470" spans="8:10">
      <c r="H470" s="275"/>
      <c r="I470" s="275"/>
      <c r="J470" s="275"/>
    </row>
    <row r="471" spans="8:10">
      <c r="H471" s="275"/>
      <c r="I471" s="275"/>
      <c r="J471" s="275"/>
    </row>
    <row r="472" spans="8:10">
      <c r="H472" s="275"/>
      <c r="I472" s="275"/>
      <c r="J472" s="275"/>
    </row>
    <row r="473" spans="8:10">
      <c r="H473" s="275"/>
      <c r="I473" s="275"/>
      <c r="J473" s="275"/>
    </row>
    <row r="474" spans="8:10">
      <c r="H474" s="275"/>
      <c r="I474" s="275"/>
      <c r="J474" s="275"/>
    </row>
    <row r="475" spans="8:10">
      <c r="H475" s="275"/>
      <c r="I475" s="275"/>
      <c r="J475" s="275"/>
    </row>
    <row r="476" spans="8:10">
      <c r="H476" s="275"/>
      <c r="I476" s="275"/>
      <c r="J476" s="275"/>
    </row>
    <row r="477" spans="8:10">
      <c r="H477" s="275"/>
      <c r="I477" s="275"/>
      <c r="J477" s="275"/>
    </row>
    <row r="478" spans="8:10">
      <c r="H478" s="275"/>
      <c r="I478" s="275"/>
      <c r="J478" s="275"/>
    </row>
    <row r="479" spans="8:10">
      <c r="H479" s="275"/>
      <c r="I479" s="275"/>
      <c r="J479" s="275"/>
    </row>
    <row r="480" spans="8:10">
      <c r="H480" s="275"/>
      <c r="I480" s="275"/>
      <c r="J480" s="275"/>
    </row>
    <row r="481" spans="8:10">
      <c r="H481" s="275"/>
      <c r="I481" s="275"/>
      <c r="J481" s="275"/>
    </row>
    <row r="482" spans="8:10">
      <c r="H482" s="275"/>
      <c r="I482" s="275"/>
      <c r="J482" s="275"/>
    </row>
    <row r="483" spans="8:10">
      <c r="H483" s="275"/>
      <c r="I483" s="275"/>
      <c r="J483" s="275"/>
    </row>
    <row r="484" spans="8:10">
      <c r="H484" s="275"/>
      <c r="I484" s="275"/>
      <c r="J484" s="275"/>
    </row>
    <row r="485" spans="8:10">
      <c r="H485" s="275"/>
      <c r="I485" s="275"/>
      <c r="J485" s="275"/>
    </row>
    <row r="486" spans="8:10">
      <c r="H486" s="275"/>
      <c r="I486" s="275"/>
      <c r="J486" s="275"/>
    </row>
    <row r="487" spans="8:10">
      <c r="H487" s="275"/>
      <c r="I487" s="275"/>
      <c r="J487" s="275"/>
    </row>
    <row r="488" spans="8:10">
      <c r="H488" s="275"/>
      <c r="I488" s="275"/>
      <c r="J488" s="275"/>
    </row>
    <row r="489" spans="8:10">
      <c r="H489" s="275"/>
      <c r="I489" s="275"/>
      <c r="J489" s="275"/>
    </row>
    <row r="490" spans="8:10">
      <c r="H490" s="275"/>
      <c r="I490" s="275"/>
      <c r="J490" s="275"/>
    </row>
    <row r="491" spans="8:10">
      <c r="H491" s="275"/>
      <c r="I491" s="275"/>
      <c r="J491" s="275"/>
    </row>
    <row r="492" spans="8:10">
      <c r="H492" s="275"/>
      <c r="I492" s="275"/>
      <c r="J492" s="275"/>
    </row>
    <row r="493" spans="8:10">
      <c r="H493" s="275"/>
      <c r="I493" s="275"/>
      <c r="J493" s="275"/>
    </row>
    <row r="494" spans="8:10">
      <c r="H494" s="275"/>
      <c r="I494" s="275"/>
      <c r="J494" s="275"/>
    </row>
    <row r="495" spans="8:10">
      <c r="H495" s="275"/>
      <c r="I495" s="275"/>
      <c r="J495" s="275"/>
    </row>
    <row r="496" spans="8:10">
      <c r="H496" s="275"/>
      <c r="I496" s="275"/>
      <c r="J496" s="275"/>
    </row>
    <row r="497" spans="8:10">
      <c r="H497" s="275"/>
      <c r="I497" s="275"/>
      <c r="J497" s="275"/>
    </row>
    <row r="498" spans="8:10">
      <c r="H498" s="275"/>
      <c r="I498" s="275"/>
      <c r="J498" s="275"/>
    </row>
    <row r="499" spans="8:10">
      <c r="H499" s="275"/>
      <c r="I499" s="275"/>
      <c r="J499" s="275"/>
    </row>
    <row r="500" spans="8:10">
      <c r="H500" s="275"/>
      <c r="I500" s="275"/>
      <c r="J500" s="275"/>
    </row>
    <row r="501" spans="8:10">
      <c r="H501" s="275"/>
      <c r="I501" s="275"/>
      <c r="J501" s="275"/>
    </row>
    <row r="502" spans="8:10">
      <c r="H502" s="275"/>
      <c r="I502" s="275"/>
      <c r="J502" s="275"/>
    </row>
    <row r="503" spans="8:10">
      <c r="H503" s="275"/>
      <c r="I503" s="275"/>
      <c r="J503" s="275"/>
    </row>
    <row r="504" spans="8:10">
      <c r="H504" s="275"/>
      <c r="I504" s="275"/>
      <c r="J504" s="275"/>
    </row>
    <row r="505" spans="8:10">
      <c r="H505" s="275"/>
      <c r="I505" s="275"/>
      <c r="J505" s="275"/>
    </row>
    <row r="506" spans="8:10">
      <c r="H506" s="275"/>
      <c r="I506" s="275"/>
      <c r="J506" s="275"/>
    </row>
    <row r="507" spans="8:10">
      <c r="H507" s="275"/>
      <c r="I507" s="275"/>
      <c r="J507" s="275"/>
    </row>
    <row r="508" spans="8:10">
      <c r="H508" s="275"/>
      <c r="I508" s="275"/>
      <c r="J508" s="275"/>
    </row>
    <row r="509" spans="8:10">
      <c r="H509" s="275"/>
      <c r="I509" s="275"/>
      <c r="J509" s="275"/>
    </row>
    <row r="510" spans="8:10">
      <c r="H510" s="275"/>
      <c r="I510" s="275"/>
      <c r="J510" s="275"/>
    </row>
    <row r="511" spans="8:10">
      <c r="H511" s="275"/>
      <c r="I511" s="275"/>
      <c r="J511" s="275"/>
    </row>
    <row r="512" spans="8:10">
      <c r="H512" s="275"/>
      <c r="I512" s="275"/>
      <c r="J512" s="275"/>
    </row>
    <row r="513" spans="8:10">
      <c r="H513" s="275"/>
      <c r="I513" s="275"/>
      <c r="J513" s="275"/>
    </row>
    <row r="514" spans="8:10">
      <c r="H514" s="275"/>
      <c r="I514" s="275"/>
      <c r="J514" s="275"/>
    </row>
    <row r="515" spans="8:10">
      <c r="H515" s="275"/>
      <c r="I515" s="275"/>
      <c r="J515" s="275"/>
    </row>
    <row r="516" spans="8:10">
      <c r="H516" s="275"/>
      <c r="I516" s="275"/>
      <c r="J516" s="275"/>
    </row>
    <row r="517" spans="8:10">
      <c r="H517" s="275"/>
      <c r="I517" s="275"/>
      <c r="J517" s="275"/>
    </row>
    <row r="518" spans="8:10">
      <c r="H518" s="275"/>
      <c r="I518" s="275"/>
      <c r="J518" s="275"/>
    </row>
    <row r="519" spans="8:10">
      <c r="H519" s="275"/>
      <c r="I519" s="275"/>
      <c r="J519" s="275"/>
    </row>
    <row r="520" spans="8:10">
      <c r="H520" s="275"/>
      <c r="I520" s="275"/>
      <c r="J520" s="275"/>
    </row>
    <row r="521" spans="8:10">
      <c r="H521" s="275"/>
      <c r="I521" s="275"/>
      <c r="J521" s="275"/>
    </row>
    <row r="522" spans="8:10">
      <c r="H522" s="275"/>
      <c r="I522" s="275"/>
      <c r="J522" s="275"/>
    </row>
    <row r="523" spans="8:10">
      <c r="H523" s="275"/>
      <c r="I523" s="275"/>
      <c r="J523" s="275"/>
    </row>
    <row r="524" spans="8:10">
      <c r="H524" s="275"/>
      <c r="I524" s="275"/>
      <c r="J524" s="275"/>
    </row>
    <row r="525" spans="8:10">
      <c r="H525" s="275"/>
      <c r="I525" s="275"/>
      <c r="J525" s="275"/>
    </row>
    <row r="526" spans="8:10">
      <c r="H526" s="275"/>
      <c r="I526" s="275"/>
      <c r="J526" s="275"/>
    </row>
    <row r="527" spans="8:10">
      <c r="H527" s="275"/>
      <c r="I527" s="275"/>
      <c r="J527" s="275"/>
    </row>
    <row r="528" spans="8:10">
      <c r="H528" s="275"/>
      <c r="I528" s="275"/>
      <c r="J528" s="275"/>
    </row>
    <row r="529" spans="8:10">
      <c r="H529" s="275"/>
      <c r="I529" s="275"/>
      <c r="J529" s="275"/>
    </row>
    <row r="530" spans="8:10">
      <c r="H530" s="275"/>
      <c r="I530" s="275"/>
      <c r="J530" s="275"/>
    </row>
    <row r="531" spans="8:10">
      <c r="H531" s="275"/>
      <c r="I531" s="275"/>
      <c r="J531" s="275"/>
    </row>
    <row r="532" spans="8:10">
      <c r="H532" s="275"/>
      <c r="I532" s="275"/>
      <c r="J532" s="275"/>
    </row>
    <row r="533" spans="8:10">
      <c r="H533" s="275"/>
      <c r="I533" s="275"/>
      <c r="J533" s="275"/>
    </row>
    <row r="534" spans="8:10">
      <c r="H534" s="275"/>
      <c r="I534" s="275"/>
      <c r="J534" s="275"/>
    </row>
    <row r="535" spans="8:10">
      <c r="H535" s="275"/>
      <c r="I535" s="275"/>
      <c r="J535" s="275"/>
    </row>
    <row r="536" spans="8:10">
      <c r="H536" s="275"/>
      <c r="I536" s="275"/>
      <c r="J536" s="275"/>
    </row>
    <row r="537" spans="8:10">
      <c r="H537" s="275"/>
      <c r="I537" s="275"/>
      <c r="J537" s="275"/>
    </row>
    <row r="538" spans="8:10">
      <c r="H538" s="275"/>
      <c r="I538" s="275"/>
      <c r="J538" s="275"/>
    </row>
    <row r="539" spans="8:10">
      <c r="H539" s="275"/>
      <c r="I539" s="275"/>
      <c r="J539" s="275"/>
    </row>
    <row r="540" spans="8:10">
      <c r="H540" s="275"/>
      <c r="I540" s="275"/>
      <c r="J540" s="275"/>
    </row>
    <row r="541" spans="8:10">
      <c r="H541" s="275"/>
      <c r="I541" s="275"/>
      <c r="J541" s="275"/>
    </row>
    <row r="542" spans="8:10">
      <c r="H542" s="275"/>
      <c r="I542" s="275"/>
      <c r="J542" s="275"/>
    </row>
    <row r="543" spans="8:10">
      <c r="H543" s="275"/>
      <c r="I543" s="275"/>
      <c r="J543" s="275"/>
    </row>
    <row r="544" spans="8:10">
      <c r="H544" s="275"/>
      <c r="I544" s="275"/>
      <c r="J544" s="275"/>
    </row>
    <row r="545" spans="8:10">
      <c r="H545" s="275"/>
      <c r="I545" s="275"/>
      <c r="J545" s="275"/>
    </row>
    <row r="546" spans="8:10">
      <c r="H546" s="275"/>
      <c r="I546" s="275"/>
      <c r="J546" s="275"/>
    </row>
    <row r="547" spans="8:10">
      <c r="H547" s="275"/>
      <c r="I547" s="275"/>
      <c r="J547" s="275"/>
    </row>
    <row r="548" spans="8:10">
      <c r="H548" s="275"/>
      <c r="I548" s="275"/>
      <c r="J548" s="275"/>
    </row>
    <row r="549" spans="8:10">
      <c r="H549" s="275"/>
      <c r="I549" s="275"/>
      <c r="J549" s="275"/>
    </row>
    <row r="550" spans="8:10">
      <c r="H550" s="275"/>
      <c r="I550" s="275"/>
      <c r="J550" s="275"/>
    </row>
    <row r="551" spans="8:10">
      <c r="H551" s="275"/>
      <c r="I551" s="275"/>
      <c r="J551" s="275"/>
    </row>
    <row r="552" spans="8:10">
      <c r="H552" s="275"/>
      <c r="I552" s="275"/>
      <c r="J552" s="275"/>
    </row>
    <row r="553" spans="8:10">
      <c r="H553" s="275"/>
      <c r="I553" s="275"/>
      <c r="J553" s="275"/>
    </row>
    <row r="554" spans="8:10">
      <c r="H554" s="275"/>
      <c r="I554" s="275"/>
      <c r="J554" s="275"/>
    </row>
    <row r="555" spans="8:10">
      <c r="H555" s="275"/>
      <c r="I555" s="275"/>
      <c r="J555" s="275"/>
    </row>
    <row r="556" spans="8:10">
      <c r="H556" s="275"/>
      <c r="I556" s="275"/>
      <c r="J556" s="275"/>
    </row>
    <row r="557" spans="8:10">
      <c r="H557" s="275"/>
      <c r="I557" s="275"/>
      <c r="J557" s="275"/>
    </row>
    <row r="558" spans="8:10">
      <c r="H558" s="275"/>
      <c r="I558" s="275"/>
      <c r="J558" s="275"/>
    </row>
    <row r="559" spans="8:10">
      <c r="H559" s="275"/>
      <c r="I559" s="275"/>
      <c r="J559" s="275"/>
    </row>
    <row r="560" spans="8:10">
      <c r="H560" s="275"/>
      <c r="I560" s="275"/>
      <c r="J560" s="275"/>
    </row>
    <row r="561" spans="8:10">
      <c r="H561" s="275"/>
      <c r="I561" s="275"/>
      <c r="J561" s="275"/>
    </row>
    <row r="562" spans="8:10">
      <c r="H562" s="275"/>
      <c r="I562" s="275"/>
      <c r="J562" s="275"/>
    </row>
    <row r="563" spans="8:10">
      <c r="H563" s="275"/>
      <c r="I563" s="275"/>
      <c r="J563" s="275"/>
    </row>
    <row r="564" spans="8:10">
      <c r="H564" s="275"/>
      <c r="I564" s="275"/>
      <c r="J564" s="275"/>
    </row>
    <row r="565" spans="8:10">
      <c r="H565" s="275"/>
      <c r="I565" s="275"/>
      <c r="J565" s="275"/>
    </row>
    <row r="566" spans="8:10">
      <c r="H566" s="275"/>
      <c r="I566" s="275"/>
      <c r="J566" s="275"/>
    </row>
    <row r="567" spans="8:10">
      <c r="H567" s="275"/>
      <c r="I567" s="275"/>
      <c r="J567" s="275"/>
    </row>
    <row r="568" spans="8:10">
      <c r="H568" s="275"/>
      <c r="I568" s="275"/>
      <c r="J568" s="275"/>
    </row>
    <row r="569" spans="8:10">
      <c r="H569" s="275"/>
      <c r="I569" s="275"/>
      <c r="J569" s="275"/>
    </row>
    <row r="570" spans="8:10">
      <c r="H570" s="275"/>
      <c r="I570" s="275"/>
      <c r="J570" s="275"/>
    </row>
    <row r="571" spans="8:10">
      <c r="H571" s="275"/>
      <c r="I571" s="275"/>
      <c r="J571" s="275"/>
    </row>
    <row r="572" spans="8:10">
      <c r="H572" s="275"/>
      <c r="I572" s="275"/>
      <c r="J572" s="275"/>
    </row>
    <row r="573" spans="8:10">
      <c r="H573" s="275"/>
      <c r="I573" s="275"/>
      <c r="J573" s="275"/>
    </row>
    <row r="574" spans="8:10">
      <c r="H574" s="275"/>
      <c r="I574" s="275"/>
      <c r="J574" s="275"/>
    </row>
    <row r="575" spans="8:10">
      <c r="H575" s="275"/>
      <c r="I575" s="275"/>
      <c r="J575" s="275"/>
    </row>
    <row r="576" spans="8:10">
      <c r="H576" s="275"/>
      <c r="I576" s="275"/>
      <c r="J576" s="275"/>
    </row>
    <row r="577" spans="8:10">
      <c r="H577" s="275"/>
      <c r="I577" s="275"/>
      <c r="J577" s="275"/>
    </row>
    <row r="578" spans="8:10">
      <c r="H578" s="275"/>
      <c r="I578" s="275"/>
      <c r="J578" s="275"/>
    </row>
    <row r="579" spans="8:10">
      <c r="H579" s="275"/>
      <c r="I579" s="275"/>
      <c r="J579" s="275"/>
    </row>
    <row r="580" spans="8:10">
      <c r="H580" s="275"/>
      <c r="I580" s="275"/>
      <c r="J580" s="275"/>
    </row>
    <row r="581" spans="8:10">
      <c r="H581" s="275"/>
      <c r="I581" s="275"/>
      <c r="J581" s="275"/>
    </row>
    <row r="582" spans="8:10">
      <c r="H582" s="275"/>
      <c r="I582" s="275"/>
      <c r="J582" s="275"/>
    </row>
    <row r="583" spans="8:10">
      <c r="H583" s="275"/>
      <c r="I583" s="275"/>
      <c r="J583" s="275"/>
    </row>
    <row r="584" spans="8:10">
      <c r="H584" s="275"/>
      <c r="I584" s="275"/>
      <c r="J584" s="275"/>
    </row>
    <row r="585" spans="8:10">
      <c r="H585" s="275"/>
      <c r="I585" s="275"/>
      <c r="J585" s="275"/>
    </row>
    <row r="586" spans="8:10">
      <c r="H586" s="275"/>
      <c r="I586" s="275"/>
      <c r="J586" s="275"/>
    </row>
    <row r="587" spans="8:10">
      <c r="H587" s="275"/>
      <c r="I587" s="275"/>
      <c r="J587" s="275"/>
    </row>
    <row r="588" spans="8:10">
      <c r="H588" s="275"/>
      <c r="I588" s="275"/>
      <c r="J588" s="275"/>
    </row>
    <row r="589" spans="8:10">
      <c r="H589" s="275"/>
      <c r="I589" s="275"/>
      <c r="J589" s="275"/>
    </row>
    <row r="590" spans="8:10">
      <c r="H590" s="275"/>
      <c r="I590" s="275"/>
      <c r="J590" s="275"/>
    </row>
    <row r="591" spans="8:10">
      <c r="H591" s="275"/>
      <c r="I591" s="275"/>
      <c r="J591" s="275"/>
    </row>
    <row r="592" spans="8:10">
      <c r="H592" s="275"/>
      <c r="I592" s="275"/>
      <c r="J592" s="275"/>
    </row>
    <row r="593" spans="8:10">
      <c r="H593" s="275"/>
      <c r="I593" s="275"/>
      <c r="J593" s="275"/>
    </row>
    <row r="594" spans="8:10">
      <c r="H594" s="275"/>
      <c r="I594" s="275"/>
      <c r="J594" s="275"/>
    </row>
    <row r="595" spans="8:10">
      <c r="H595" s="275"/>
      <c r="I595" s="275"/>
      <c r="J595" s="275"/>
    </row>
    <row r="596" spans="8:10">
      <c r="H596" s="275"/>
      <c r="I596" s="275"/>
      <c r="J596" s="275"/>
    </row>
    <row r="597" spans="8:10">
      <c r="H597" s="275"/>
      <c r="I597" s="275"/>
      <c r="J597" s="275"/>
    </row>
    <row r="598" spans="8:10">
      <c r="H598" s="275"/>
      <c r="I598" s="275"/>
      <c r="J598" s="275"/>
    </row>
    <row r="599" spans="8:10">
      <c r="H599" s="275"/>
      <c r="I599" s="275"/>
      <c r="J599" s="275"/>
    </row>
    <row r="600" spans="8:10">
      <c r="H600" s="275"/>
      <c r="I600" s="275"/>
      <c r="J600" s="275"/>
    </row>
    <row r="601" spans="8:10">
      <c r="H601" s="275"/>
      <c r="I601" s="275"/>
      <c r="J601" s="275"/>
    </row>
    <row r="602" spans="8:10">
      <c r="H602" s="275"/>
      <c r="I602" s="275"/>
      <c r="J602" s="275"/>
    </row>
    <row r="603" spans="8:10">
      <c r="H603" s="275"/>
      <c r="I603" s="275"/>
      <c r="J603" s="275"/>
    </row>
    <row r="604" spans="8:10">
      <c r="H604" s="275"/>
      <c r="I604" s="275"/>
      <c r="J604" s="275"/>
    </row>
    <row r="605" spans="8:10">
      <c r="H605" s="275"/>
      <c r="I605" s="275"/>
      <c r="J605" s="275"/>
    </row>
    <row r="606" spans="8:10">
      <c r="H606" s="275"/>
      <c r="I606" s="275"/>
      <c r="J606" s="275"/>
    </row>
    <row r="607" spans="8:10">
      <c r="H607" s="275"/>
      <c r="I607" s="275"/>
      <c r="J607" s="275"/>
    </row>
    <row r="608" spans="8:10">
      <c r="H608" s="275"/>
      <c r="I608" s="275"/>
      <c r="J608" s="275"/>
    </row>
    <row r="609" spans="8:10">
      <c r="H609" s="275"/>
      <c r="I609" s="275"/>
      <c r="J609" s="275"/>
    </row>
    <row r="610" spans="8:10">
      <c r="H610" s="275"/>
      <c r="I610" s="275"/>
      <c r="J610" s="275"/>
    </row>
    <row r="611" spans="8:10">
      <c r="H611" s="275"/>
      <c r="I611" s="275"/>
      <c r="J611" s="275"/>
    </row>
    <row r="612" spans="8:10">
      <c r="H612" s="275"/>
      <c r="I612" s="275"/>
      <c r="J612" s="275"/>
    </row>
    <row r="613" spans="8:10">
      <c r="H613" s="275"/>
      <c r="I613" s="275"/>
      <c r="J613" s="275"/>
    </row>
    <row r="614" spans="8:10">
      <c r="H614" s="275"/>
      <c r="I614" s="275"/>
      <c r="J614" s="275"/>
    </row>
    <row r="615" spans="8:10">
      <c r="H615" s="275"/>
      <c r="I615" s="275"/>
      <c r="J615" s="275"/>
    </row>
    <row r="616" spans="8:10">
      <c r="H616" s="275"/>
      <c r="I616" s="275"/>
      <c r="J616" s="275"/>
    </row>
    <row r="617" spans="8:10">
      <c r="H617" s="275"/>
      <c r="I617" s="275"/>
      <c r="J617" s="275"/>
    </row>
    <row r="618" spans="8:10">
      <c r="H618" s="275"/>
      <c r="I618" s="275"/>
      <c r="J618" s="275"/>
    </row>
    <row r="619" spans="8:10">
      <c r="H619" s="275"/>
      <c r="I619" s="275"/>
      <c r="J619" s="275"/>
    </row>
    <row r="620" spans="8:10">
      <c r="H620" s="275"/>
      <c r="I620" s="275"/>
      <c r="J620" s="275"/>
    </row>
    <row r="621" spans="8:10">
      <c r="H621" s="275"/>
      <c r="I621" s="275"/>
      <c r="J621" s="275"/>
    </row>
    <row r="622" spans="8:10">
      <c r="H622" s="275"/>
      <c r="I622" s="275"/>
      <c r="J622" s="275"/>
    </row>
    <row r="623" spans="8:10">
      <c r="H623" s="275"/>
      <c r="I623" s="275"/>
      <c r="J623" s="275"/>
    </row>
    <row r="624" spans="8:10">
      <c r="H624" s="275"/>
      <c r="I624" s="275"/>
      <c r="J624" s="275"/>
    </row>
    <row r="625" spans="8:10">
      <c r="H625" s="275"/>
      <c r="I625" s="275"/>
      <c r="J625" s="275"/>
    </row>
    <row r="626" spans="8:10">
      <c r="H626" s="275"/>
      <c r="I626" s="275"/>
      <c r="J626" s="275"/>
    </row>
    <row r="627" spans="8:10">
      <c r="H627" s="275"/>
      <c r="I627" s="275"/>
      <c r="J627" s="275"/>
    </row>
    <row r="628" spans="8:10">
      <c r="H628" s="275"/>
      <c r="I628" s="275"/>
      <c r="J628" s="275"/>
    </row>
    <row r="629" spans="8:10">
      <c r="H629" s="275"/>
      <c r="I629" s="275"/>
      <c r="J629" s="275"/>
    </row>
    <row r="630" spans="8:10">
      <c r="H630" s="275"/>
      <c r="I630" s="275"/>
      <c r="J630" s="275"/>
    </row>
    <row r="631" spans="8:10">
      <c r="H631" s="275"/>
      <c r="I631" s="275"/>
      <c r="J631" s="275"/>
    </row>
    <row r="632" spans="8:10">
      <c r="H632" s="275"/>
      <c r="I632" s="275"/>
      <c r="J632" s="275"/>
    </row>
    <row r="633" spans="8:10">
      <c r="H633" s="275"/>
      <c r="I633" s="275"/>
      <c r="J633" s="275"/>
    </row>
    <row r="634" spans="8:10">
      <c r="H634" s="275"/>
      <c r="I634" s="275"/>
      <c r="J634" s="275"/>
    </row>
    <row r="635" spans="8:10">
      <c r="H635" s="275"/>
      <c r="I635" s="275"/>
      <c r="J635" s="275"/>
    </row>
    <row r="636" spans="8:10">
      <c r="H636" s="275"/>
      <c r="I636" s="275"/>
      <c r="J636" s="275"/>
    </row>
    <row r="637" spans="8:10">
      <c r="H637" s="275"/>
      <c r="I637" s="275"/>
      <c r="J637" s="275"/>
    </row>
    <row r="638" spans="8:10">
      <c r="H638" s="275"/>
      <c r="I638" s="275"/>
      <c r="J638" s="275"/>
    </row>
    <row r="639" spans="8:10">
      <c r="H639" s="275"/>
      <c r="I639" s="275"/>
      <c r="J639" s="275"/>
    </row>
    <row r="640" spans="8:10">
      <c r="H640" s="275"/>
      <c r="I640" s="275"/>
      <c r="J640" s="275"/>
    </row>
    <row r="641" spans="8:10">
      <c r="H641" s="275"/>
      <c r="I641" s="275"/>
      <c r="J641" s="275"/>
    </row>
    <row r="642" spans="8:10">
      <c r="H642" s="275"/>
      <c r="I642" s="275"/>
      <c r="J642" s="275"/>
    </row>
    <row r="643" spans="8:10">
      <c r="H643" s="275"/>
      <c r="I643" s="275"/>
      <c r="J643" s="275"/>
    </row>
    <row r="644" spans="8:10">
      <c r="H644" s="275"/>
      <c r="I644" s="275"/>
      <c r="J644" s="275"/>
    </row>
    <row r="645" spans="8:10">
      <c r="H645" s="275"/>
      <c r="I645" s="275"/>
      <c r="J645" s="275"/>
    </row>
    <row r="646" spans="8:10">
      <c r="H646" s="275"/>
      <c r="I646" s="275"/>
      <c r="J646" s="275"/>
    </row>
    <row r="647" spans="8:10">
      <c r="H647" s="275"/>
      <c r="I647" s="275"/>
      <c r="J647" s="275"/>
    </row>
    <row r="648" spans="8:10">
      <c r="H648" s="275"/>
      <c r="I648" s="275"/>
      <c r="J648" s="275"/>
    </row>
    <row r="649" spans="8:10">
      <c r="H649" s="275"/>
      <c r="I649" s="275"/>
      <c r="J649" s="275"/>
    </row>
    <row r="650" spans="8:10">
      <c r="H650" s="275"/>
      <c r="I650" s="275"/>
      <c r="J650" s="275"/>
    </row>
    <row r="651" spans="8:10">
      <c r="H651" s="275"/>
      <c r="I651" s="275"/>
      <c r="J651" s="275"/>
    </row>
    <row r="652" spans="8:10">
      <c r="H652" s="275"/>
      <c r="I652" s="275"/>
      <c r="J652" s="275"/>
    </row>
    <row r="653" spans="8:10">
      <c r="H653" s="275"/>
      <c r="I653" s="275"/>
      <c r="J653" s="275"/>
    </row>
    <row r="654" spans="8:10">
      <c r="H654" s="275"/>
      <c r="I654" s="275"/>
      <c r="J654" s="275"/>
    </row>
    <row r="655" spans="8:10">
      <c r="H655" s="275"/>
      <c r="I655" s="275"/>
      <c r="J655" s="275"/>
    </row>
    <row r="656" spans="8:10">
      <c r="H656" s="275"/>
      <c r="I656" s="275"/>
      <c r="J656" s="275"/>
    </row>
    <row r="657" spans="8:10">
      <c r="H657" s="275"/>
      <c r="I657" s="275"/>
      <c r="J657" s="275"/>
    </row>
    <row r="658" spans="8:10">
      <c r="H658" s="275"/>
      <c r="I658" s="275"/>
      <c r="J658" s="275"/>
    </row>
    <row r="659" spans="8:10">
      <c r="H659" s="275"/>
      <c r="I659" s="275"/>
      <c r="J659" s="275"/>
    </row>
    <row r="660" spans="8:10">
      <c r="H660" s="275"/>
      <c r="I660" s="275"/>
      <c r="J660" s="275"/>
    </row>
    <row r="661" spans="8:10">
      <c r="H661" s="275"/>
      <c r="I661" s="275"/>
      <c r="J661" s="275"/>
    </row>
    <row r="662" spans="8:10">
      <c r="H662" s="275"/>
      <c r="I662" s="275"/>
      <c r="J662" s="275"/>
    </row>
    <row r="663" spans="8:10">
      <c r="H663" s="275"/>
      <c r="I663" s="275"/>
      <c r="J663" s="275"/>
    </row>
    <row r="664" spans="8:10">
      <c r="H664" s="275"/>
      <c r="I664" s="275"/>
      <c r="J664" s="275"/>
    </row>
    <row r="665" spans="8:10">
      <c r="H665" s="275"/>
      <c r="I665" s="275"/>
      <c r="J665" s="275"/>
    </row>
    <row r="666" spans="8:10">
      <c r="H666" s="275"/>
      <c r="I666" s="275"/>
      <c r="J666" s="275"/>
    </row>
    <row r="667" spans="8:10">
      <c r="H667" s="275"/>
      <c r="I667" s="275"/>
      <c r="J667" s="275"/>
    </row>
    <row r="668" spans="8:10">
      <c r="H668" s="275"/>
      <c r="I668" s="275"/>
      <c r="J668" s="275"/>
    </row>
    <row r="669" spans="8:10">
      <c r="H669" s="275"/>
      <c r="I669" s="275"/>
      <c r="J669" s="275"/>
    </row>
    <row r="670" spans="8:10">
      <c r="H670" s="275"/>
      <c r="I670" s="275"/>
      <c r="J670" s="275"/>
    </row>
    <row r="671" spans="8:10">
      <c r="H671" s="275"/>
      <c r="I671" s="275"/>
      <c r="J671" s="275"/>
    </row>
    <row r="672" spans="8:10">
      <c r="H672" s="275"/>
      <c r="I672" s="275"/>
      <c r="J672" s="275"/>
    </row>
    <row r="673" spans="8:10">
      <c r="H673" s="275"/>
      <c r="I673" s="275"/>
      <c r="J673" s="275"/>
    </row>
    <row r="674" spans="8:10">
      <c r="H674" s="275"/>
      <c r="I674" s="275"/>
      <c r="J674" s="275"/>
    </row>
    <row r="675" spans="8:10">
      <c r="H675" s="275"/>
      <c r="I675" s="275"/>
      <c r="J675" s="275"/>
    </row>
    <row r="676" spans="8:10">
      <c r="H676" s="275"/>
      <c r="I676" s="275"/>
      <c r="J676" s="275"/>
    </row>
    <row r="677" spans="8:10">
      <c r="H677" s="275"/>
      <c r="I677" s="275"/>
      <c r="J677" s="275"/>
    </row>
    <row r="678" spans="8:10">
      <c r="H678" s="275"/>
      <c r="I678" s="275"/>
      <c r="J678" s="275"/>
    </row>
    <row r="679" spans="8:10">
      <c r="H679" s="275"/>
      <c r="I679" s="275"/>
      <c r="J679" s="275"/>
    </row>
    <row r="680" spans="8:10">
      <c r="H680" s="275"/>
      <c r="I680" s="275"/>
      <c r="J680" s="275"/>
    </row>
    <row r="681" spans="8:10">
      <c r="H681" s="275"/>
      <c r="I681" s="275"/>
      <c r="J681" s="275"/>
    </row>
    <row r="682" spans="8:10">
      <c r="H682" s="275"/>
      <c r="I682" s="275"/>
      <c r="J682" s="275"/>
    </row>
    <row r="683" spans="8:10">
      <c r="H683" s="275"/>
      <c r="I683" s="275"/>
      <c r="J683" s="275"/>
    </row>
    <row r="684" spans="8:10">
      <c r="H684" s="275"/>
      <c r="I684" s="275"/>
      <c r="J684" s="275"/>
    </row>
    <row r="685" spans="8:10">
      <c r="H685" s="275"/>
      <c r="I685" s="275"/>
      <c r="J685" s="275"/>
    </row>
    <row r="686" spans="8:10">
      <c r="H686" s="275"/>
      <c r="I686" s="275"/>
      <c r="J686" s="275"/>
    </row>
    <row r="687" spans="8:10">
      <c r="H687" s="275"/>
      <c r="I687" s="275"/>
      <c r="J687" s="275"/>
    </row>
    <row r="688" spans="8:10">
      <c r="H688" s="275"/>
      <c r="I688" s="275"/>
      <c r="J688" s="275"/>
    </row>
    <row r="689" spans="8:10">
      <c r="H689" s="275"/>
      <c r="I689" s="275"/>
      <c r="J689" s="275"/>
    </row>
    <row r="690" spans="8:10">
      <c r="H690" s="275"/>
      <c r="I690" s="275"/>
      <c r="J690" s="275"/>
    </row>
    <row r="691" spans="8:10">
      <c r="H691" s="275"/>
      <c r="I691" s="275"/>
      <c r="J691" s="275"/>
    </row>
    <row r="692" spans="8:10">
      <c r="H692" s="275"/>
      <c r="I692" s="275"/>
      <c r="J692" s="275"/>
    </row>
    <row r="693" spans="8:10">
      <c r="H693" s="275"/>
      <c r="I693" s="275"/>
      <c r="J693" s="275"/>
    </row>
    <row r="694" spans="8:10">
      <c r="H694" s="275"/>
      <c r="I694" s="275"/>
      <c r="J694" s="275"/>
    </row>
    <row r="695" spans="8:10">
      <c r="H695" s="275"/>
      <c r="I695" s="275"/>
      <c r="J695" s="275"/>
    </row>
    <row r="696" spans="8:10">
      <c r="H696" s="275"/>
      <c r="I696" s="275"/>
      <c r="J696" s="275"/>
    </row>
    <row r="697" spans="8:10">
      <c r="H697" s="275"/>
      <c r="I697" s="275"/>
      <c r="J697" s="275"/>
    </row>
    <row r="698" spans="8:10">
      <c r="H698" s="275"/>
      <c r="I698" s="275"/>
      <c r="J698" s="275"/>
    </row>
    <row r="699" spans="8:10">
      <c r="H699" s="275"/>
      <c r="I699" s="275"/>
      <c r="J699" s="275"/>
    </row>
    <row r="700" spans="8:10">
      <c r="H700" s="275"/>
      <c r="I700" s="275"/>
      <c r="J700" s="275"/>
    </row>
    <row r="701" spans="8:10">
      <c r="H701" s="275"/>
      <c r="I701" s="275"/>
      <c r="J701" s="275"/>
    </row>
    <row r="702" spans="8:10">
      <c r="H702" s="275"/>
      <c r="I702" s="275"/>
      <c r="J702" s="275"/>
    </row>
    <row r="703" spans="8:10">
      <c r="H703" s="275"/>
      <c r="I703" s="275"/>
      <c r="J703" s="275"/>
    </row>
    <row r="704" spans="8:10">
      <c r="H704" s="275"/>
      <c r="I704" s="275"/>
      <c r="J704" s="275"/>
    </row>
    <row r="705" spans="8:10">
      <c r="H705" s="275"/>
      <c r="I705" s="275"/>
      <c r="J705" s="275"/>
    </row>
    <row r="706" spans="8:10">
      <c r="H706" s="275"/>
      <c r="I706" s="275"/>
      <c r="J706" s="275"/>
    </row>
    <row r="707" spans="8:10">
      <c r="H707" s="275"/>
      <c r="I707" s="275"/>
      <c r="J707" s="275"/>
    </row>
    <row r="708" spans="8:10">
      <c r="H708" s="275"/>
      <c r="I708" s="275"/>
      <c r="J708" s="275"/>
    </row>
    <row r="709" spans="8:10">
      <c r="H709" s="275"/>
      <c r="I709" s="275"/>
      <c r="J709" s="275"/>
    </row>
    <row r="710" spans="8:10">
      <c r="H710" s="275"/>
      <c r="I710" s="275"/>
      <c r="J710" s="275"/>
    </row>
    <row r="711" spans="8:10">
      <c r="H711" s="275"/>
      <c r="I711" s="275"/>
      <c r="J711" s="275"/>
    </row>
    <row r="712" spans="8:10">
      <c r="H712" s="275"/>
      <c r="I712" s="275"/>
      <c r="J712" s="275"/>
    </row>
    <row r="713" spans="8:10">
      <c r="H713" s="275"/>
      <c r="I713" s="275"/>
      <c r="J713" s="275"/>
    </row>
    <row r="714" spans="8:10">
      <c r="H714" s="275"/>
      <c r="I714" s="275"/>
      <c r="J714" s="275"/>
    </row>
    <row r="715" spans="8:10">
      <c r="H715" s="275"/>
      <c r="I715" s="275"/>
      <c r="J715" s="275"/>
    </row>
    <row r="716" spans="8:10">
      <c r="H716" s="275"/>
      <c r="I716" s="275"/>
      <c r="J716" s="275"/>
    </row>
    <row r="717" spans="8:10">
      <c r="H717" s="275"/>
      <c r="I717" s="275"/>
      <c r="J717" s="275"/>
    </row>
    <row r="718" spans="8:10">
      <c r="H718" s="275"/>
      <c r="I718" s="275"/>
      <c r="J718" s="275"/>
    </row>
    <row r="719" spans="8:10">
      <c r="H719" s="275"/>
      <c r="I719" s="275"/>
      <c r="J719" s="275"/>
    </row>
    <row r="720" spans="8:10">
      <c r="H720" s="275"/>
      <c r="I720" s="275"/>
      <c r="J720" s="275"/>
    </row>
    <row r="721" spans="8:10">
      <c r="H721" s="275"/>
      <c r="I721" s="275"/>
      <c r="J721" s="275"/>
    </row>
    <row r="722" spans="8:10">
      <c r="H722" s="275"/>
      <c r="I722" s="275"/>
      <c r="J722" s="275"/>
    </row>
    <row r="723" spans="8:10">
      <c r="H723" s="275"/>
      <c r="I723" s="275"/>
      <c r="J723" s="275"/>
    </row>
    <row r="724" spans="8:10">
      <c r="H724" s="275"/>
      <c r="I724" s="275"/>
      <c r="J724" s="275"/>
    </row>
    <row r="725" spans="8:10">
      <c r="H725" s="275"/>
      <c r="I725" s="275"/>
      <c r="J725" s="275"/>
    </row>
    <row r="726" spans="8:10">
      <c r="H726" s="275"/>
      <c r="I726" s="275"/>
      <c r="J726" s="275"/>
    </row>
    <row r="727" spans="8:10">
      <c r="H727" s="275"/>
      <c r="I727" s="275"/>
      <c r="J727" s="275"/>
    </row>
    <row r="728" spans="8:10">
      <c r="H728" s="275"/>
      <c r="I728" s="275"/>
      <c r="J728" s="275"/>
    </row>
    <row r="729" spans="8:10">
      <c r="H729" s="275"/>
      <c r="I729" s="275"/>
      <c r="J729" s="275"/>
    </row>
    <row r="730" spans="8:10">
      <c r="H730" s="275"/>
      <c r="I730" s="275"/>
      <c r="J730" s="275"/>
    </row>
    <row r="731" spans="8:10">
      <c r="H731" s="275"/>
      <c r="I731" s="275"/>
      <c r="J731" s="275"/>
    </row>
    <row r="732" spans="8:10">
      <c r="H732" s="275"/>
      <c r="I732" s="275"/>
      <c r="J732" s="275"/>
    </row>
    <row r="733" spans="8:10">
      <c r="H733" s="275"/>
      <c r="I733" s="275"/>
      <c r="J733" s="275"/>
    </row>
    <row r="734" spans="8:10">
      <c r="H734" s="275"/>
      <c r="I734" s="275"/>
      <c r="J734" s="275"/>
    </row>
    <row r="735" spans="8:10">
      <c r="H735" s="275"/>
      <c r="I735" s="275"/>
      <c r="J735" s="275"/>
    </row>
    <row r="736" spans="8:10">
      <c r="H736" s="275"/>
      <c r="I736" s="275"/>
      <c r="J736" s="275"/>
    </row>
    <row r="737" spans="8:10">
      <c r="H737" s="275"/>
      <c r="I737" s="275"/>
      <c r="J737" s="275"/>
    </row>
    <row r="738" spans="8:10">
      <c r="H738" s="275"/>
      <c r="I738" s="275"/>
      <c r="J738" s="275"/>
    </row>
    <row r="739" spans="8:10">
      <c r="H739" s="275"/>
      <c r="I739" s="275"/>
      <c r="J739" s="275"/>
    </row>
    <row r="740" spans="8:10">
      <c r="H740" s="275"/>
      <c r="I740" s="275"/>
      <c r="J740" s="275"/>
    </row>
    <row r="741" spans="8:10">
      <c r="H741" s="275"/>
      <c r="I741" s="275"/>
      <c r="J741" s="275"/>
    </row>
    <row r="742" spans="8:10">
      <c r="H742" s="275"/>
      <c r="I742" s="275"/>
      <c r="J742" s="275"/>
    </row>
    <row r="743" spans="8:10">
      <c r="H743" s="275"/>
      <c r="I743" s="275"/>
      <c r="J743" s="275"/>
    </row>
    <row r="744" spans="8:10">
      <c r="H744" s="275"/>
      <c r="I744" s="275"/>
      <c r="J744" s="275"/>
    </row>
    <row r="745" spans="8:10">
      <c r="H745" s="275"/>
      <c r="I745" s="275"/>
      <c r="J745" s="275"/>
    </row>
    <row r="746" spans="8:10">
      <c r="H746" s="275"/>
      <c r="I746" s="275"/>
      <c r="J746" s="275"/>
    </row>
    <row r="747" spans="8:10">
      <c r="H747" s="275"/>
      <c r="I747" s="275"/>
      <c r="J747" s="275"/>
    </row>
    <row r="748" spans="8:10">
      <c r="H748" s="275"/>
      <c r="I748" s="275"/>
      <c r="J748" s="275"/>
    </row>
    <row r="749" spans="8:10">
      <c r="H749" s="275"/>
      <c r="I749" s="275"/>
      <c r="J749" s="275"/>
    </row>
    <row r="750" spans="8:10">
      <c r="H750" s="275"/>
      <c r="I750" s="275"/>
      <c r="J750" s="275"/>
    </row>
    <row r="751" spans="8:10">
      <c r="H751" s="275"/>
      <c r="I751" s="275"/>
      <c r="J751" s="275"/>
    </row>
    <row r="752" spans="8:10">
      <c r="H752" s="275"/>
      <c r="I752" s="275"/>
      <c r="J752" s="275"/>
    </row>
    <row r="753" spans="8:10">
      <c r="H753" s="275"/>
      <c r="I753" s="275"/>
      <c r="J753" s="275"/>
    </row>
    <row r="754" spans="8:10">
      <c r="H754" s="275"/>
      <c r="I754" s="275"/>
      <c r="J754" s="275"/>
    </row>
    <row r="755" spans="8:10">
      <c r="H755" s="275"/>
      <c r="I755" s="275"/>
      <c r="J755" s="275"/>
    </row>
    <row r="756" spans="8:10">
      <c r="H756" s="275"/>
      <c r="I756" s="275"/>
      <c r="J756" s="275"/>
    </row>
    <row r="757" spans="8:10">
      <c r="H757" s="275"/>
      <c r="I757" s="275"/>
      <c r="J757" s="275"/>
    </row>
    <row r="758" spans="8:10">
      <c r="H758" s="275"/>
      <c r="I758" s="275"/>
      <c r="J758" s="275"/>
    </row>
    <row r="759" spans="8:10">
      <c r="H759" s="275"/>
      <c r="I759" s="275"/>
      <c r="J759" s="275"/>
    </row>
    <row r="760" spans="8:10">
      <c r="H760" s="275"/>
      <c r="I760" s="275"/>
      <c r="J760" s="275"/>
    </row>
    <row r="761" spans="8:10">
      <c r="H761" s="275"/>
      <c r="I761" s="275"/>
      <c r="J761" s="275"/>
    </row>
    <row r="762" spans="8:10">
      <c r="H762" s="275"/>
      <c r="I762" s="275"/>
      <c r="J762" s="275"/>
    </row>
    <row r="763" spans="8:10">
      <c r="H763" s="275"/>
      <c r="I763" s="275"/>
      <c r="J763" s="275"/>
    </row>
    <row r="764" spans="8:10">
      <c r="H764" s="275"/>
      <c r="I764" s="275"/>
      <c r="J764" s="275"/>
    </row>
    <row r="765" spans="8:10">
      <c r="H765" s="275"/>
      <c r="I765" s="275"/>
      <c r="J765" s="275"/>
    </row>
    <row r="766" spans="8:10">
      <c r="H766" s="275"/>
      <c r="I766" s="275"/>
      <c r="J766" s="275"/>
    </row>
    <row r="767" spans="8:10">
      <c r="H767" s="275"/>
      <c r="I767" s="275"/>
      <c r="J767" s="275"/>
    </row>
    <row r="768" spans="8:10">
      <c r="H768" s="275"/>
      <c r="I768" s="275"/>
      <c r="J768" s="275"/>
    </row>
    <row r="769" spans="8:10">
      <c r="H769" s="275"/>
      <c r="I769" s="275"/>
      <c r="J769" s="275"/>
    </row>
    <row r="770" spans="8:10">
      <c r="H770" s="275"/>
      <c r="I770" s="275"/>
      <c r="J770" s="275"/>
    </row>
    <row r="771" spans="8:10">
      <c r="H771" s="275"/>
      <c r="I771" s="275"/>
      <c r="J771" s="275"/>
    </row>
    <row r="772" spans="8:10">
      <c r="H772" s="275"/>
      <c r="I772" s="275"/>
      <c r="J772" s="275"/>
    </row>
    <row r="773" spans="8:10">
      <c r="H773" s="275"/>
      <c r="I773" s="275"/>
      <c r="J773" s="275"/>
    </row>
    <row r="774" spans="8:10">
      <c r="H774" s="275"/>
      <c r="I774" s="275"/>
      <c r="J774" s="275"/>
    </row>
    <row r="775" spans="8:10">
      <c r="H775" s="275"/>
      <c r="I775" s="275"/>
      <c r="J775" s="275"/>
    </row>
    <row r="776" spans="8:10">
      <c r="H776" s="275"/>
      <c r="I776" s="275"/>
      <c r="J776" s="275"/>
    </row>
    <row r="777" spans="8:10">
      <c r="H777" s="275"/>
      <c r="I777" s="275"/>
      <c r="J777" s="275"/>
    </row>
    <row r="778" spans="8:10">
      <c r="H778" s="275"/>
      <c r="I778" s="275"/>
      <c r="J778" s="275"/>
    </row>
    <row r="779" spans="8:10">
      <c r="H779" s="275"/>
      <c r="I779" s="275"/>
      <c r="J779" s="275"/>
    </row>
    <row r="780" spans="8:10">
      <c r="H780" s="275"/>
      <c r="I780" s="275"/>
      <c r="J780" s="275"/>
    </row>
    <row r="781" spans="8:10">
      <c r="H781" s="275"/>
      <c r="I781" s="275"/>
      <c r="J781" s="275"/>
    </row>
    <row r="782" spans="8:10">
      <c r="H782" s="275"/>
      <c r="I782" s="275"/>
      <c r="J782" s="275"/>
    </row>
    <row r="783" spans="8:10">
      <c r="H783" s="275"/>
      <c r="I783" s="275"/>
      <c r="J783" s="275"/>
    </row>
    <row r="784" spans="8:10">
      <c r="H784" s="275"/>
      <c r="I784" s="275"/>
      <c r="J784" s="275"/>
    </row>
    <row r="785" spans="8:10">
      <c r="H785" s="275"/>
      <c r="I785" s="275"/>
      <c r="J785" s="275"/>
    </row>
    <row r="786" spans="8:10">
      <c r="H786" s="275"/>
      <c r="I786" s="275"/>
      <c r="J786" s="275"/>
    </row>
    <row r="787" spans="8:10">
      <c r="H787" s="275"/>
      <c r="I787" s="275"/>
      <c r="J787" s="275"/>
    </row>
    <row r="788" spans="8:10">
      <c r="H788" s="275"/>
      <c r="I788" s="275"/>
      <c r="J788" s="275"/>
    </row>
    <row r="789" spans="8:10">
      <c r="H789" s="275"/>
      <c r="I789" s="275"/>
      <c r="J789" s="275"/>
    </row>
    <row r="790" spans="8:10">
      <c r="H790" s="275"/>
      <c r="I790" s="275"/>
      <c r="J790" s="275"/>
    </row>
  </sheetData>
  <mergeCells count="3">
    <mergeCell ref="C1:E1"/>
    <mergeCell ref="H5:J5"/>
    <mergeCell ref="H6:J6"/>
  </mergeCells>
  <hyperlinks>
    <hyperlink ref="C10" location="'SWM Chts'!A1" display="Charts" xr:uid="{00000000-0004-0000-0000-000000000000}"/>
    <hyperlink ref="C6" location="'Smmy Chts'!A1" display="Charts" xr:uid="{00000000-0004-0000-0000-000001000000}"/>
    <hyperlink ref="C11" location="'MBG Chts'!A1" display="Charts" xr:uid="{00000000-0004-0000-0000-000002000000}"/>
    <hyperlink ref="D6" location="'Smmy Sum'!A1" display="Summary" xr:uid="{00000000-0004-0000-0000-000003000000}"/>
    <hyperlink ref="E6" location="'Smmy FGD'!A1" display="FGD" xr:uid="{00000000-0004-0000-0000-000004000000}"/>
    <hyperlink ref="F6" location="'Smmy Fnts'!A1" display="Footnotes" xr:uid="{00000000-0004-0000-0000-000005000000}"/>
    <hyperlink ref="D10" location="'SWM Sum'!A1" display="Summary" xr:uid="{00000000-0004-0000-0000-000006000000}"/>
    <hyperlink ref="E10" location="'SWM FGD'!A1" display="FGD" xr:uid="{00000000-0004-0000-0000-000007000000}"/>
    <hyperlink ref="F10" location="'SWM Fnts'!A1" display="Footnotes" xr:uid="{00000000-0004-0000-0000-000008000000}"/>
    <hyperlink ref="D11" location="'MBG Sum'!A1" display="Summary" xr:uid="{00000000-0004-0000-0000-000009000000}"/>
    <hyperlink ref="E11" location="'MBG FGD'!A1" display="FGD" xr:uid="{00000000-0004-0000-0000-00000A000000}"/>
    <hyperlink ref="F11" location="'MBG Fnts'!A1" display="Footnotes" xr:uid="{00000000-0004-0000-0000-00000B000000}"/>
    <hyperlink ref="C12" location="'HSH Chts'!A1" display="Charts" xr:uid="{00000000-0004-0000-0000-00000C000000}"/>
    <hyperlink ref="D12" location="'HSH Sum'!A1" display="Summary" xr:uid="{00000000-0004-0000-0000-00000D000000}"/>
    <hyperlink ref="E12" location="'HSH FGD'!A1" display="FGD" xr:uid="{00000000-0004-0000-0000-00000E000000}"/>
    <hyperlink ref="F12" location="'HSH Fnts'!A1" display="Footnotes" xr:uid="{00000000-0004-0000-0000-00000F000000}"/>
    <hyperlink ref="C13" location="'HSSA Chts'!A1" display="Charts" xr:uid="{00000000-0004-0000-0000-000010000000}"/>
    <hyperlink ref="D13" location="'HSSA Sum'!A1" display="Summary" xr:uid="{00000000-0004-0000-0000-000011000000}"/>
    <hyperlink ref="E13" location="'HSSA FGD'!A1" display="FGD" xr:uid="{00000000-0004-0000-0000-000012000000}"/>
    <hyperlink ref="F13" location="'HSSA Fnts'!A1" display="Footnotes" xr:uid="{00000000-0004-0000-0000-000013000000}"/>
    <hyperlink ref="C14" location="'MDA Chts'!A1" display="Charts" xr:uid="{00000000-0004-0000-0000-000014000000}"/>
    <hyperlink ref="D14" location="'MDA Sum'!A1" display="Summary" xr:uid="{00000000-0004-0000-0000-000015000000}"/>
    <hyperlink ref="E14" location="'MDA FGD'!A1" display="FGD" xr:uid="{00000000-0004-0000-0000-000016000000}"/>
    <hyperlink ref="F14" location="'MDA Fnts'!A1" display="Footnotes" xr:uid="{00000000-0004-0000-0000-000017000000}"/>
    <hyperlink ref="C15" location="'THC Chts'!A1" display="Charts" xr:uid="{00000000-0004-0000-0000-000018000000}"/>
    <hyperlink ref="D15" location="'THC Sum'!A1" display="Summary" xr:uid="{00000000-0004-0000-0000-000019000000}"/>
    <hyperlink ref="E15" location="'THC FGD'!A1" display="FGD" xr:uid="{00000000-0004-0000-0000-00001A000000}"/>
    <hyperlink ref="F15" location="'THC Fnts'!A1" display="Footnotes" xr:uid="{00000000-0004-0000-0000-00001B000000}"/>
    <hyperlink ref="C16" location="'TAMHSC Chts'!A1" display="Charts" xr:uid="{00000000-0004-0000-0000-00001C000000}"/>
    <hyperlink ref="E16" location="'TAMHSC FGD'!A1" display="FGD" xr:uid="{00000000-0004-0000-0000-00001D000000}"/>
    <hyperlink ref="F16" location="'TAMHSC Fnts'!A1" display="Footnotes" xr:uid="{00000000-0004-0000-0000-00001E000000}"/>
    <hyperlink ref="B7" location="'Smmy HRI SbS'!A1" display="HRI  Institutions - Side by Side Summary" xr:uid="{00000000-0004-0000-0000-00001F000000}"/>
    <hyperlink ref="B31" location="FTSE!A1" display="FTSE &amp; FTFE " xr:uid="{00000000-0004-0000-0000-000020000000}"/>
    <hyperlink ref="B32" location="Names!A1" display="Names Schedule" xr:uid="{00000000-0004-0000-0000-000021000000}"/>
    <hyperlink ref="B33" location="Input!A1" display="Template Input Schedule" xr:uid="{00000000-0004-0000-0000-000022000000}"/>
    <hyperlink ref="B42" location="'T&amp;F Summary'!A1" display="T&amp;F Summary" xr:uid="{00000000-0004-0000-0000-000023000000}"/>
    <hyperlink ref="C17" location="'UNTHSC1 Chts'!A1" display="Charts" xr:uid="{00000000-0004-0000-0000-000025000000}"/>
    <hyperlink ref="C21" location="'RGVM Chts'!A1" display="Charts" xr:uid="{00000000-0004-0000-0000-000026000000}"/>
    <hyperlink ref="D17" location="'UNTHS1 Sum'!A1" display="Summary" xr:uid="{00000000-0004-0000-0000-000027000000}"/>
    <hyperlink ref="D21" location="'RGVM Sum'!A1" display="Summary" xr:uid="{00000000-0004-0000-0000-000028000000}"/>
    <hyperlink ref="E17" location="'UNTHSC1 FGD'!A1" display="FGD" xr:uid="{00000000-0004-0000-0000-000029000000}"/>
    <hyperlink ref="E21" location="'RGVM FGD'!A1" display="FGD" xr:uid="{00000000-0004-0000-0000-00002A000000}"/>
    <hyperlink ref="F17" location="'UNTHSC1 Fnts'!A1" display="Footnotes" xr:uid="{00000000-0004-0000-0000-00002B000000}"/>
    <hyperlink ref="F21" location="'RGVM Fnts'!A1" display="Footnotes" xr:uid="{00000000-0004-0000-0000-00002C000000}"/>
    <hyperlink ref="D16" location="'TAMHSC Sum'!A1" display="Summary" xr:uid="{00000000-0004-0000-0000-00002D000000}"/>
    <hyperlink ref="C18" location="'TTUHSC Chts'!A1" display="Charts" xr:uid="{00000000-0004-0000-0000-00002E000000}"/>
    <hyperlink ref="D18" location="'TTUHSC Sum'!A1" display="Summary" xr:uid="{00000000-0004-0000-0000-00002F000000}"/>
    <hyperlink ref="E18" location="'TTUHSC FGD'!A1" display="FGD" xr:uid="{00000000-0004-0000-0000-000030000000}"/>
    <hyperlink ref="F18" location="'TTUHSC Fnts'!A1" display="Footnotes" xr:uid="{00000000-0004-0000-0000-000031000000}"/>
    <hyperlink ref="C19" location="'TTUHSCEP Chts'!A1" display="Charts" xr:uid="{00000000-0004-0000-0000-000032000000}"/>
    <hyperlink ref="D19" location="'TTUHSCEP Sum'!A1" display="Summary" xr:uid="{00000000-0004-0000-0000-000033000000}"/>
    <hyperlink ref="E19" location="'TTUHSCEP FGD'!A1" display="FGD" xr:uid="{00000000-0004-0000-0000-000034000000}"/>
    <hyperlink ref="F19" location="'TTUHSCEP Fnts'!A1" display="Footnotes" xr:uid="{00000000-0004-0000-0000-000035000000}"/>
    <hyperlink ref="C20" location="'AUSM Chts'!A1" display="Charts" xr:uid="{00000000-0004-0000-0000-000036000000}"/>
    <hyperlink ref="D20" location="'AUSM Sum'!A1" display="Summary" xr:uid="{00000000-0004-0000-0000-000037000000}"/>
    <hyperlink ref="E20" location="'AUSM FGD'!A1" display="FGD" xr:uid="{00000000-0004-0000-0000-000038000000}"/>
    <hyperlink ref="F20" location="'AUSM Fnts'!A1" display="Footnotes" xr:uid="{00000000-0004-0000-0000-000039000000}"/>
    <hyperlink ref="B37" location="'SREB Input'!A1" display="SREB Input" xr:uid="{00000000-0004-0000-0000-00003A000000}"/>
    <hyperlink ref="B38" location="Healthcare!A1" display="Healthcare" xr:uid="{00000000-0004-0000-0000-00003B000000}"/>
    <hyperlink ref="B39" location="'IFRS Smmy (2)'!A1" display="IFRS Smmy (2)" xr:uid="{00000000-0004-0000-0000-00003C000000}"/>
    <hyperlink ref="B40" location="Almanac!A1" display="Almanac" xr:uid="{00000000-0004-0000-0000-00003D000000}"/>
    <hyperlink ref="B43" location="HRI_IE_Context!A1" display="HRI_IE_Context" xr:uid="{00000000-0004-0000-0000-00003E000000}"/>
    <hyperlink ref="B44" location="HRI_IE_Keys!A1" display="HRI_IE_Keys" xr:uid="{00000000-0004-0000-0000-00003F000000}"/>
    <hyperlink ref="B45" location="'HRI Context NA'!A1" display="HRI Context NA" xr:uid="{00000000-0004-0000-0000-000040000000}"/>
    <hyperlink ref="B46" location="'HRI Keys NA'!A1" display="HRI Keys NA" xr:uid="{00000000-0004-0000-0000-000041000000}"/>
    <hyperlink ref="B47" location="ComRpt!A1" display="ComRpt" xr:uid="{00000000-0004-0000-0000-000042000000}"/>
    <hyperlink ref="C22" location="'UHM Chts'!A1" display="Charts" xr:uid="{00000000-0004-0000-0000-000043000000}"/>
    <hyperlink ref="D22" location="'UHM Sum'!A1" display="Summary" xr:uid="{00000000-0004-0000-0000-000044000000}"/>
    <hyperlink ref="E22" location="'UHM FGD'!A1" display="FGD" xr:uid="{00000000-0004-0000-0000-000045000000}"/>
    <hyperlink ref="F22" location="'UHM Fnts'!A1" display="Footnotes" xr:uid="{00000000-0004-0000-0000-000046000000}"/>
    <hyperlink ref="C26" location="'SHNF Chts'!Print_Area" display="Charts" xr:uid="{00000000-0004-0000-0000-000047000000}"/>
    <hyperlink ref="C27" location="'UNTHSCPM Chts'!A1" display="Charts" xr:uid="{00000000-0004-0000-0000-000048000000}"/>
    <hyperlink ref="C28" location="'UNTHSC Chts'!A1" display="Charts" xr:uid="{00000000-0004-0000-0000-000049000000}"/>
    <hyperlink ref="D26" location="'SHNF FGD'!Print_Area" display="Summary" xr:uid="{00000000-0004-0000-0000-00004A000000}"/>
    <hyperlink ref="D27" location="'UNTHSCPM Sum'!A1" display="Summary" xr:uid="{00000000-0004-0000-0000-00004B000000}"/>
    <hyperlink ref="D28" location="'UNTHSC Sum'!A1" display="Summary" xr:uid="{00000000-0004-0000-0000-00004C000000}"/>
    <hyperlink ref="E26" location="'SHNF FGD'!A1" display="FGD" xr:uid="{00000000-0004-0000-0000-00004D000000}"/>
    <hyperlink ref="E27" location="'UNTHSCPM FGD'!A1" display="FGD" xr:uid="{00000000-0004-0000-0000-00004E000000}"/>
    <hyperlink ref="E28" location="'UNTHSC FGD'!A1" display="FGD" xr:uid="{00000000-0004-0000-0000-00004F000000}"/>
    <hyperlink ref="F26" location="'SHNF Fnts'!A1" display="Footnotes" xr:uid="{00000000-0004-0000-0000-000050000000}"/>
    <hyperlink ref="F27" location="'UNTHSCPM Fnts'!A1" display="Footnotes" xr:uid="{00000000-0004-0000-0000-000051000000}"/>
    <hyperlink ref="F28" location="'UNTHSC Fnts'!A1" display="Footnotes" xr:uid="{00000000-0004-0000-0000-000052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transitionEntry="1">
    <tabColor indexed="13"/>
  </sheetPr>
  <dimension ref="A1:KW92"/>
  <sheetViews>
    <sheetView showGridLines="0" zoomScale="90" zoomScaleNormal="90" workbookViewId="0">
      <pane xSplit="1" ySplit="6" topLeftCell="B7" activePane="bottomRight" state="frozen"/>
      <selection activeCell="B4" sqref="A1:XFD1048576"/>
      <selection pane="topRight" activeCell="B4" sqref="A1:XFD1048576"/>
      <selection pane="bottomLeft" activeCell="B4" sqref="A1:XFD1048576"/>
      <selection pane="bottomRight"/>
    </sheetView>
  </sheetViews>
  <sheetFormatPr defaultColWidth="9.109375" defaultRowHeight="13.2"/>
  <cols>
    <col min="1" max="1" width="48" style="277" customWidth="1"/>
    <col min="2" max="2" width="17.88671875" style="277" customWidth="1"/>
    <col min="3" max="3" width="14.6640625" style="277" customWidth="1"/>
    <col min="4" max="4" width="17.88671875" style="277" customWidth="1"/>
    <col min="5" max="5" width="14.6640625" style="277" customWidth="1"/>
    <col min="6" max="6" width="17.88671875" style="277" customWidth="1"/>
    <col min="7" max="7" width="14.6640625" style="277" customWidth="1"/>
    <col min="8" max="8" width="17.88671875" style="277" customWidth="1"/>
    <col min="9" max="9" width="14.6640625" style="277" customWidth="1"/>
    <col min="10" max="10" width="17.88671875" style="277" customWidth="1"/>
    <col min="11" max="11" width="14.6640625" style="277" customWidth="1"/>
    <col min="12" max="12" width="17.88671875" style="277" customWidth="1"/>
    <col min="13" max="13" width="14.6640625" style="277" customWidth="1"/>
    <col min="14" max="14" width="17.88671875" style="277" customWidth="1"/>
    <col min="15" max="15" width="14.6640625" style="277" customWidth="1"/>
    <col min="16" max="16" width="17.88671875" style="277" customWidth="1"/>
    <col min="17" max="17" width="14.6640625" style="277" customWidth="1"/>
    <col min="18" max="18" width="17.88671875" style="277" customWidth="1"/>
    <col min="19" max="19" width="14.6640625" style="277" customWidth="1"/>
    <col min="20" max="20" width="17.88671875" style="277" customWidth="1"/>
    <col min="21" max="21" width="14.6640625" style="277" customWidth="1"/>
    <col min="22" max="22" width="17.88671875" style="277" customWidth="1"/>
    <col min="23" max="23" width="14.6640625" style="277" customWidth="1"/>
    <col min="24" max="24" width="17.88671875" style="277" customWidth="1"/>
    <col min="25" max="25" width="14.6640625" style="277" customWidth="1"/>
    <col min="26" max="26" width="17.88671875" style="277" customWidth="1"/>
    <col min="27" max="27" width="14.6640625" style="277" customWidth="1"/>
    <col min="28" max="28" width="17.88671875" style="277" customWidth="1"/>
    <col min="29" max="29" width="14.6640625" style="277" customWidth="1"/>
    <col min="30" max="16384" width="9.109375" style="277"/>
  </cols>
  <sheetData>
    <row r="1" spans="1:29" ht="16.2" thickBot="1">
      <c r="A1" s="900" t="s">
        <v>466</v>
      </c>
      <c r="B1" s="1085"/>
      <c r="C1" s="754"/>
      <c r="D1" s="1085"/>
      <c r="E1" s="545" t="s">
        <v>51</v>
      </c>
      <c r="F1" s="1085"/>
      <c r="G1" s="754"/>
      <c r="H1" s="1085"/>
      <c r="I1" s="754"/>
      <c r="J1" s="1085"/>
      <c r="K1" s="754"/>
      <c r="L1" s="1085"/>
      <c r="M1" s="754"/>
      <c r="N1" s="1085"/>
      <c r="O1" s="754"/>
      <c r="P1" s="1085"/>
      <c r="Q1" s="754"/>
      <c r="R1" s="1085"/>
      <c r="S1" s="754"/>
      <c r="T1" s="1085"/>
      <c r="U1" s="754"/>
      <c r="V1" s="1085"/>
      <c r="W1" s="754"/>
      <c r="X1" s="1085"/>
      <c r="Y1" s="754"/>
      <c r="Z1" s="1085"/>
      <c r="AA1" s="754"/>
      <c r="AB1" s="1085"/>
      <c r="AC1" s="754"/>
    </row>
    <row r="2" spans="1:29" ht="15.6">
      <c r="A2" s="900" t="str">
        <f>'Smmy Chts'!$A$2</f>
        <v>For the Year Ended August 31, 2022</v>
      </c>
      <c r="B2" s="754"/>
      <c r="C2" s="754"/>
      <c r="D2" s="754"/>
      <c r="E2" s="754"/>
      <c r="F2" s="754"/>
      <c r="G2" s="754"/>
      <c r="H2" s="754"/>
      <c r="I2" s="754"/>
      <c r="J2" s="754"/>
      <c r="K2" s="754"/>
      <c r="L2" s="754"/>
      <c r="M2" s="754"/>
      <c r="N2" s="754"/>
      <c r="O2" s="754"/>
      <c r="P2" s="754"/>
      <c r="Q2" s="754"/>
      <c r="R2" s="754"/>
      <c r="S2" s="754"/>
      <c r="T2" s="754"/>
      <c r="U2" s="754"/>
      <c r="V2" s="754"/>
      <c r="W2" s="754"/>
      <c r="X2" s="754"/>
      <c r="Y2" s="754"/>
      <c r="Z2" s="754"/>
      <c r="AA2" s="754"/>
      <c r="AB2" s="754"/>
      <c r="AC2" s="754"/>
    </row>
    <row r="3" spans="1:29" ht="15.6">
      <c r="A3" s="900" t="str">
        <f>'Smmy Chts'!$A$3</f>
        <v>Source: FY 2022 Annual Financial Report</v>
      </c>
      <c r="B3" s="754"/>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754"/>
      <c r="AC3" s="754"/>
    </row>
    <row r="4" spans="1:29" ht="37.799999999999997" customHeight="1">
      <c r="B4" s="1135" t="s">
        <v>11</v>
      </c>
      <c r="C4" s="1134"/>
      <c r="D4" s="1133" t="str">
        <f>'SWM Sum'!$A$1</f>
        <v>The University of Texas Southwestern Medical Center</v>
      </c>
      <c r="E4" s="1134"/>
      <c r="F4" s="1133" t="str">
        <f>'MBG Sum'!$A$1</f>
        <v>The University of Texas Medical Branch at Galveston</v>
      </c>
      <c r="G4" s="1134"/>
      <c r="H4" s="1133" t="str">
        <f>'HSH Sum'!$A$1</f>
        <v>The University of Texas Health Science Center at Houston</v>
      </c>
      <c r="I4" s="1134"/>
      <c r="J4" s="1133" t="str">
        <f>'HSSA Sum'!$A$1</f>
        <v>The University of Texas Health Science Center at San Antonio</v>
      </c>
      <c r="K4" s="1134"/>
      <c r="L4" s="1133" t="str">
        <f>'MDA Sum'!$A$1</f>
        <v>The University of Texas M.D. Anderson Cancer Center</v>
      </c>
      <c r="M4" s="1134"/>
      <c r="N4" s="1133" t="str">
        <f>'THC Sum'!$A$1</f>
        <v>The University of Texas Health Science Center at Tyler</v>
      </c>
      <c r="O4" s="1134"/>
      <c r="P4" s="1133" t="str">
        <f>'TAMHSC Sum'!$A$1</f>
        <v>Texas A&amp;M University System Health Science Center</v>
      </c>
      <c r="Q4" s="1134"/>
      <c r="R4" s="1133" t="str">
        <f>'UNTHS1 Sum'!$A$1</f>
        <v>University of North Texas Health Science Center at Fort Worth (Public Medical)</v>
      </c>
      <c r="S4" s="1134"/>
      <c r="T4" s="1133" t="str">
        <f>'TTUHSC Sum'!$A$1</f>
        <v>Texas Tech University Health Sciences Center</v>
      </c>
      <c r="U4" s="1134"/>
      <c r="V4" s="1133" t="str">
        <f>'TTUHSCEP Sum'!$A$1</f>
        <v>Texas Tech University Health Sciences Center at El Paso</v>
      </c>
      <c r="W4" s="1134"/>
      <c r="X4" s="1133" t="str">
        <f>'AUSM Sum'!$A$1</f>
        <v>The University of Texas at Austin Medical School (M)</v>
      </c>
      <c r="Y4" s="1134"/>
      <c r="Z4" s="1133" t="str">
        <f>'RGVM Sum'!$A$1</f>
        <v>The University of Texas Rio Grande Valley Medical School (M)</v>
      </c>
      <c r="AA4" s="1134"/>
      <c r="AB4" s="1133" t="str">
        <f>'UHM Sum'!$A$1</f>
        <v>University of Houston Medical School (M)</v>
      </c>
      <c r="AC4" s="1134"/>
    </row>
    <row r="5" spans="1:29" ht="17.399999999999999">
      <c r="A5" s="903" t="str">
        <f>'Smmy Chts'!$C$35</f>
        <v>Summary Worksheet FY 2022</v>
      </c>
      <c r="B5" s="1086" t="s">
        <v>458</v>
      </c>
      <c r="C5" s="1086" t="s">
        <v>148</v>
      </c>
      <c r="D5" s="1086" t="s">
        <v>458</v>
      </c>
      <c r="E5" s="1086" t="s">
        <v>148</v>
      </c>
      <c r="F5" s="1086" t="s">
        <v>458</v>
      </c>
      <c r="G5" s="1086" t="s">
        <v>148</v>
      </c>
      <c r="H5" s="1086" t="s">
        <v>458</v>
      </c>
      <c r="I5" s="1086" t="s">
        <v>148</v>
      </c>
      <c r="J5" s="1086" t="s">
        <v>458</v>
      </c>
      <c r="K5" s="1086" t="s">
        <v>148</v>
      </c>
      <c r="L5" s="1086" t="s">
        <v>458</v>
      </c>
      <c r="M5" s="1086" t="s">
        <v>148</v>
      </c>
      <c r="N5" s="1086" t="s">
        <v>458</v>
      </c>
      <c r="O5" s="1086" t="s">
        <v>148</v>
      </c>
      <c r="P5" s="1086" t="s">
        <v>458</v>
      </c>
      <c r="Q5" s="1086" t="s">
        <v>148</v>
      </c>
      <c r="R5" s="1086" t="s">
        <v>458</v>
      </c>
      <c r="S5" s="1086" t="s">
        <v>148</v>
      </c>
      <c r="T5" s="1086" t="s">
        <v>458</v>
      </c>
      <c r="U5" s="1086" t="s">
        <v>148</v>
      </c>
      <c r="V5" s="1086" t="s">
        <v>458</v>
      </c>
      <c r="W5" s="1086" t="s">
        <v>148</v>
      </c>
      <c r="X5" s="1086" t="s">
        <v>458</v>
      </c>
      <c r="Y5" s="1086" t="s">
        <v>148</v>
      </c>
      <c r="Z5" s="1086" t="s">
        <v>458</v>
      </c>
      <c r="AA5" s="1086" t="s">
        <v>148</v>
      </c>
      <c r="AB5" s="1086" t="s">
        <v>458</v>
      </c>
      <c r="AC5" s="1086" t="s">
        <v>148</v>
      </c>
    </row>
    <row r="6" spans="1:29">
      <c r="A6" s="279" t="s">
        <v>147</v>
      </c>
      <c r="B6" s="909"/>
      <c r="C6" s="1087">
        <f>SUM(D6:AC6)</f>
        <v>29805.46</v>
      </c>
      <c r="D6" s="909"/>
      <c r="E6" s="1087">
        <f>'SWM Sum'!$C6</f>
        <v>2301.35</v>
      </c>
      <c r="F6" s="909"/>
      <c r="G6" s="1087">
        <f>'MBG Sum'!$C6</f>
        <v>3859.84</v>
      </c>
      <c r="H6" s="909"/>
      <c r="I6" s="1087">
        <f>'HSH Sum'!$C6</f>
        <v>5267.72</v>
      </c>
      <c r="J6" s="909"/>
      <c r="K6" s="1087">
        <f>'HSSA Sum'!$C6</f>
        <v>3971.78</v>
      </c>
      <c r="L6" s="909"/>
      <c r="M6" s="1087">
        <f>'MDA Sum'!$C6</f>
        <v>382.05</v>
      </c>
      <c r="N6" s="909"/>
      <c r="O6" s="1087">
        <f>'THC Sum'!$C6</f>
        <v>80.5</v>
      </c>
      <c r="P6" s="909"/>
      <c r="Q6" s="1087">
        <f>'TAMHSC Sum'!$C6</f>
        <v>3607.6499999999996</v>
      </c>
      <c r="R6" s="909"/>
      <c r="S6" s="1087">
        <f>'UNTHS1 Sum'!$C6</f>
        <v>2988.4</v>
      </c>
      <c r="T6" s="909"/>
      <c r="U6" s="1087">
        <f>'TTUHSC Sum'!$C6</f>
        <v>6016.07</v>
      </c>
      <c r="V6" s="909"/>
      <c r="W6" s="1087">
        <f>'TTUHSCEP Sum'!$C6</f>
        <v>851.1</v>
      </c>
      <c r="X6" s="909"/>
      <c r="Y6" s="1087">
        <f>'AUSM Sum'!$C6</f>
        <v>197</v>
      </c>
      <c r="Z6" s="909"/>
      <c r="AA6" s="1087">
        <f>'RGVM Sum'!$C6</f>
        <v>222</v>
      </c>
      <c r="AB6" s="909"/>
      <c r="AC6" s="1087">
        <f>'UHM Sum'!$C6</f>
        <v>60</v>
      </c>
    </row>
    <row r="7" spans="1:29">
      <c r="B7" s="909"/>
      <c r="C7" s="1088" t="str">
        <f>IF(C6&lt;&gt;'Smmy Sum'!$C$19,"Error","")</f>
        <v/>
      </c>
      <c r="E7" s="1088" t="str">
        <f>IF(E6&lt;&gt;'SWM Sum'!$C$6,"Error","")</f>
        <v/>
      </c>
      <c r="G7" s="1088" t="str">
        <f>IF(G6&lt;&gt;'MBG Sum'!$C$6,"Error","")</f>
        <v/>
      </c>
      <c r="I7" s="1088" t="str">
        <f>IF(I6&lt;&gt;'HSH Sum'!$C$6,"Error","")</f>
        <v/>
      </c>
      <c r="K7" s="1088" t="str">
        <f>IF(K6&lt;&gt;'HSSA Sum'!$C$6,"Error","")</f>
        <v/>
      </c>
      <c r="M7" s="1088" t="str">
        <f>IF(M6&lt;&gt;'MDA Sum'!$C$6,"Error","")</f>
        <v/>
      </c>
      <c r="O7" s="1088" t="str">
        <f>IF(O6&lt;&gt;'THC Sum'!$C$6,"Error","")</f>
        <v/>
      </c>
      <c r="Q7" s="1088" t="str">
        <f>IF(Q6&lt;&gt;'TAMHSC Sum'!$C$6,"Error","")</f>
        <v/>
      </c>
      <c r="S7" s="1088" t="str">
        <f>IF(S6&lt;&gt;'UNTHS1 Sum'!$C$6,"Error","")</f>
        <v/>
      </c>
      <c r="U7" s="1088" t="str">
        <f>IF(U6&lt;&gt;'TTUHSC Sum'!$C$6,"Error","")</f>
        <v/>
      </c>
      <c r="W7" s="1088" t="str">
        <f>IF(W6&lt;&gt;'TTUHSCEP Sum'!$C$6,"Error","")</f>
        <v/>
      </c>
      <c r="Y7" s="1088" t="str">
        <f>IF(Y6&lt;&gt;'AUSM Sum'!$C$6,"Error","")</f>
        <v/>
      </c>
      <c r="AA7" s="1088" t="str">
        <f>IF(AA6&lt;&gt;'RGVM Sum'!$C$6,"Error","")</f>
        <v/>
      </c>
      <c r="AC7" s="1088" t="str">
        <f>IF(AC6&lt;&gt;'UHM Sum'!$C$6,"Error","")</f>
        <v/>
      </c>
    </row>
    <row r="8" spans="1:29">
      <c r="A8" s="912" t="s">
        <v>151</v>
      </c>
      <c r="B8" s="912"/>
      <c r="C8" s="912"/>
      <c r="D8" s="912"/>
      <c r="E8" s="912"/>
      <c r="F8" s="912"/>
      <c r="G8" s="912"/>
      <c r="H8" s="912"/>
      <c r="I8" s="912"/>
      <c r="J8" s="912"/>
      <c r="K8" s="912"/>
      <c r="L8" s="912"/>
      <c r="M8" s="912"/>
      <c r="N8" s="912"/>
      <c r="O8" s="912"/>
      <c r="P8" s="912"/>
      <c r="Q8" s="912"/>
      <c r="R8" s="912"/>
      <c r="S8" s="912"/>
      <c r="T8" s="912"/>
      <c r="U8" s="912"/>
      <c r="V8" s="912"/>
      <c r="W8" s="912"/>
      <c r="X8" s="912"/>
      <c r="Y8" s="912"/>
      <c r="Z8" s="912"/>
      <c r="AA8" s="912"/>
      <c r="AB8" s="912"/>
      <c r="AC8" s="912"/>
    </row>
    <row r="9" spans="1:29" ht="12.75" customHeight="1">
      <c r="A9" s="279" t="s">
        <v>152</v>
      </c>
      <c r="B9" s="915"/>
      <c r="C9" s="915"/>
      <c r="D9" s="915"/>
      <c r="E9" s="915"/>
      <c r="F9" s="915"/>
      <c r="G9" s="915"/>
      <c r="H9" s="915"/>
      <c r="I9" s="915"/>
      <c r="J9" s="915"/>
      <c r="K9" s="915"/>
      <c r="L9" s="915"/>
      <c r="M9" s="915"/>
      <c r="N9" s="915"/>
      <c r="O9" s="915"/>
      <c r="P9" s="915"/>
      <c r="Q9" s="915"/>
      <c r="R9" s="915"/>
      <c r="S9" s="915"/>
      <c r="T9" s="915"/>
      <c r="U9" s="915"/>
      <c r="V9" s="915"/>
      <c r="W9" s="915"/>
      <c r="X9" s="915"/>
      <c r="Y9" s="915"/>
      <c r="Z9" s="915"/>
      <c r="AA9" s="915"/>
      <c r="AB9" s="915"/>
      <c r="AC9" s="915"/>
    </row>
    <row r="10" spans="1:29" ht="12.75" customHeight="1">
      <c r="A10" s="277" t="s">
        <v>101</v>
      </c>
      <c r="B10" s="501">
        <f ca="1">SUMIF(D$77:AC$77,$B$77,D10:AA10)</f>
        <v>1918801288</v>
      </c>
      <c r="C10" s="501">
        <f ca="1">ROUND(B10/C$6,0)</f>
        <v>64378</v>
      </c>
      <c r="D10" s="501">
        <f>'SWM FGD'!$M10</f>
        <v>214022335</v>
      </c>
      <c r="E10" s="501">
        <f>ROUND(D10/E$6,0)</f>
        <v>92999</v>
      </c>
      <c r="F10" s="501">
        <f>'MBG FGD'!$M10</f>
        <v>379544163</v>
      </c>
      <c r="G10" s="501">
        <f>ROUND(F10/G$6,0)</f>
        <v>98332</v>
      </c>
      <c r="H10" s="501">
        <f>'HSH FGD'!$M10</f>
        <v>240771921</v>
      </c>
      <c r="I10" s="501">
        <f>ROUND(H10/I$6,0)</f>
        <v>45707</v>
      </c>
      <c r="J10" s="501">
        <f>'HSSA FGD'!$M10</f>
        <v>183996390</v>
      </c>
      <c r="K10" s="501">
        <f>ROUND(J10/K$6,0)</f>
        <v>46326</v>
      </c>
      <c r="L10" s="501">
        <f>'MDA FGD'!$M10</f>
        <v>222277361</v>
      </c>
      <c r="M10" s="501"/>
      <c r="N10" s="501">
        <f>'THC FGD'!$M10</f>
        <v>55239453</v>
      </c>
      <c r="O10" s="501"/>
      <c r="P10" s="501">
        <f>'TAMHSC FGD'!$M10</f>
        <v>176061466</v>
      </c>
      <c r="Q10" s="501">
        <f>ROUND(P10/Q$6,0)</f>
        <v>48802</v>
      </c>
      <c r="R10" s="501">
        <f>'UNTHSC1 FGD'!$M10</f>
        <v>112276178</v>
      </c>
      <c r="S10" s="501">
        <f>ROUND(R10/S$6,0)</f>
        <v>37571</v>
      </c>
      <c r="T10" s="501">
        <f>'TTUHSC FGD'!$M10</f>
        <v>179806241</v>
      </c>
      <c r="U10" s="501">
        <f>ROUND(T10/U$6,0)</f>
        <v>29888</v>
      </c>
      <c r="V10" s="501">
        <f>'TTUHSCEP FGD'!$M10</f>
        <v>80558351</v>
      </c>
      <c r="W10" s="501">
        <f>ROUND(V10/W$6,0)</f>
        <v>94652</v>
      </c>
      <c r="X10" s="501">
        <f>'AUSM FGD'!$M10</f>
        <v>16760652</v>
      </c>
      <c r="Y10" s="501"/>
      <c r="Z10" s="501">
        <f>'RGVM FGD'!$M10</f>
        <v>42597486</v>
      </c>
      <c r="AA10" s="501"/>
      <c r="AB10" s="501">
        <f>'UHM FGD'!$M10</f>
        <v>14889291</v>
      </c>
      <c r="AC10" s="501"/>
    </row>
    <row r="11" spans="1:29" ht="12.75" customHeight="1">
      <c r="A11" s="277" t="s">
        <v>134</v>
      </c>
      <c r="B11" s="921">
        <f ca="1">SUMIF(D$77:AC$77,$B$77,D11:AA11)</f>
        <v>186025714</v>
      </c>
      <c r="C11" s="669">
        <f t="shared" ref="C11:C14" ca="1" si="0">ROUND(B11/C$6,0)</f>
        <v>6241</v>
      </c>
      <c r="D11" s="921">
        <f>'SWM FGD'!$M11</f>
        <v>46301272</v>
      </c>
      <c r="E11" s="669">
        <f t="shared" ref="E11:E14" si="1">ROUND(D11/E$6,0)</f>
        <v>20119</v>
      </c>
      <c r="F11" s="921">
        <f>'MBG FGD'!$M11</f>
        <v>13092401</v>
      </c>
      <c r="G11" s="669">
        <f t="shared" ref="G11:G14" si="2">ROUND(F11/G$6,0)</f>
        <v>3392</v>
      </c>
      <c r="H11" s="921">
        <f>'HSH FGD'!$M11</f>
        <v>19529401</v>
      </c>
      <c r="I11" s="669">
        <f t="shared" ref="I11:I14" si="3">ROUND(H11/I$6,0)</f>
        <v>3707</v>
      </c>
      <c r="J11" s="921">
        <f>'HSSA FGD'!$M11</f>
        <v>18670717</v>
      </c>
      <c r="K11" s="669">
        <f t="shared" ref="K11:K14" si="4">ROUND(J11/K$6,0)</f>
        <v>4701</v>
      </c>
      <c r="L11" s="921">
        <f>'MDA FGD'!$M11</f>
        <v>39367704</v>
      </c>
      <c r="M11" s="669"/>
      <c r="N11" s="921">
        <f>'THC FGD'!$M11</f>
        <v>6545482</v>
      </c>
      <c r="O11" s="669"/>
      <c r="P11" s="921">
        <f>'TAMHSC FGD'!$M11</f>
        <v>7143757</v>
      </c>
      <c r="Q11" s="669">
        <f t="shared" ref="Q11:Q14" si="5">ROUND(P11/Q$6,0)</f>
        <v>1980</v>
      </c>
      <c r="R11" s="921">
        <f>'UNTHSC1 FGD'!$M11</f>
        <v>2092669</v>
      </c>
      <c r="S11" s="669">
        <f t="shared" ref="S11:S14" si="6">ROUND(R11/S$6,0)</f>
        <v>700</v>
      </c>
      <c r="T11" s="921">
        <f>'TTUHSC FGD'!$M11</f>
        <v>15709651</v>
      </c>
      <c r="U11" s="669">
        <f t="shared" ref="U11:U14" si="7">ROUND(T11/U$6,0)</f>
        <v>2611</v>
      </c>
      <c r="V11" s="921">
        <f>'TTUHSCEP FGD'!$M11</f>
        <v>6199293</v>
      </c>
      <c r="W11" s="669">
        <f t="shared" ref="W11:W14" si="8">ROUND(V11/W$6,0)</f>
        <v>7284</v>
      </c>
      <c r="X11" s="921">
        <f>'AUSM FGD'!$M11</f>
        <v>4445326</v>
      </c>
      <c r="Y11" s="669"/>
      <c r="Z11" s="921">
        <f>'RGVM FGD'!$M11</f>
        <v>6877069</v>
      </c>
      <c r="AA11" s="669"/>
      <c r="AB11" s="921">
        <f>'UHM FGD'!$M11</f>
        <v>50972</v>
      </c>
      <c r="AC11" s="669"/>
    </row>
    <row r="12" spans="1:29" ht="12.75" hidden="1" customHeight="1">
      <c r="A12" s="277" t="s">
        <v>467</v>
      </c>
      <c r="B12" s="921"/>
      <c r="C12" s="669"/>
      <c r="D12" s="921"/>
      <c r="E12" s="669"/>
      <c r="F12" s="921"/>
      <c r="G12" s="669"/>
      <c r="H12" s="921"/>
      <c r="I12" s="669"/>
      <c r="J12" s="921"/>
      <c r="K12" s="669"/>
      <c r="L12" s="921"/>
      <c r="M12" s="669"/>
      <c r="N12" s="921"/>
      <c r="O12" s="669"/>
      <c r="P12" s="921"/>
      <c r="Q12" s="669"/>
      <c r="R12" s="921"/>
      <c r="S12" s="669"/>
      <c r="T12" s="921"/>
      <c r="U12" s="669"/>
      <c r="V12" s="921"/>
      <c r="W12" s="669"/>
      <c r="X12" s="921"/>
      <c r="Y12" s="669"/>
      <c r="Z12" s="921"/>
      <c r="AA12" s="669"/>
      <c r="AB12" s="921"/>
      <c r="AC12" s="669"/>
    </row>
    <row r="13" spans="1:29" ht="12.75" customHeight="1">
      <c r="A13" s="277" t="s">
        <v>468</v>
      </c>
      <c r="B13" s="921">
        <f ca="1">SUMIF(D$77:AC$77,$B$77,D13:AA13)</f>
        <v>42335466</v>
      </c>
      <c r="C13" s="669">
        <f t="shared" ca="1" si="0"/>
        <v>1420</v>
      </c>
      <c r="D13" s="921">
        <f>'SWM FGD'!$M13</f>
        <v>0</v>
      </c>
      <c r="E13" s="669">
        <f t="shared" si="1"/>
        <v>0</v>
      </c>
      <c r="F13" s="921">
        <f>'MBG FGD'!$M13</f>
        <v>0</v>
      </c>
      <c r="G13" s="669">
        <f t="shared" si="2"/>
        <v>0</v>
      </c>
      <c r="H13" s="921">
        <f>'HSH FGD'!$M13</f>
        <v>0</v>
      </c>
      <c r="I13" s="669">
        <f t="shared" si="3"/>
        <v>0</v>
      </c>
      <c r="J13" s="921">
        <f>'HSSA FGD'!$M13</f>
        <v>0</v>
      </c>
      <c r="K13" s="669">
        <f t="shared" si="4"/>
        <v>0</v>
      </c>
      <c r="L13" s="921">
        <f>'MDA FGD'!$M13</f>
        <v>0</v>
      </c>
      <c r="M13" s="669"/>
      <c r="N13" s="921">
        <f>'THC FGD'!$M13</f>
        <v>0</v>
      </c>
      <c r="O13" s="669"/>
      <c r="P13" s="921">
        <f>'TAMHSC FGD'!$M13</f>
        <v>0</v>
      </c>
      <c r="Q13" s="669">
        <f t="shared" si="5"/>
        <v>0</v>
      </c>
      <c r="R13" s="921">
        <f>'UNTHSC1 FGD'!$M13</f>
        <v>15125502</v>
      </c>
      <c r="S13" s="669">
        <f t="shared" si="6"/>
        <v>5061</v>
      </c>
      <c r="T13" s="921">
        <f>'TTUHSC FGD'!$M13</f>
        <v>21652392</v>
      </c>
      <c r="U13" s="669">
        <f t="shared" si="7"/>
        <v>3599</v>
      </c>
      <c r="V13" s="921">
        <f>'TTUHSCEP FGD'!$M13</f>
        <v>5557572</v>
      </c>
      <c r="W13" s="669">
        <f t="shared" si="8"/>
        <v>6530</v>
      </c>
      <c r="X13" s="921">
        <f>'AUSM FGD'!$M13</f>
        <v>0</v>
      </c>
      <c r="Y13" s="669"/>
      <c r="Z13" s="921">
        <f>'RGVM FGD'!$M13</f>
        <v>0</v>
      </c>
      <c r="AA13" s="669"/>
      <c r="AB13" s="921">
        <f>'UHM FGD'!$M13</f>
        <v>0</v>
      </c>
      <c r="AC13" s="669"/>
    </row>
    <row r="14" spans="1:29" ht="12.75" customHeight="1">
      <c r="A14" s="277" t="s">
        <v>135</v>
      </c>
      <c r="B14" s="921">
        <f ca="1">SUMIF(D$77:AC$77,$B$77,D14:AA14)</f>
        <v>71953196</v>
      </c>
      <c r="C14" s="669">
        <f t="shared" ca="1" si="0"/>
        <v>2414</v>
      </c>
      <c r="D14" s="921">
        <f>'SWM FGD'!$M14</f>
        <v>0</v>
      </c>
      <c r="E14" s="669">
        <f t="shared" si="1"/>
        <v>0</v>
      </c>
      <c r="F14" s="921">
        <f>'MBG FGD'!$M14</f>
        <v>0</v>
      </c>
      <c r="G14" s="669">
        <f t="shared" si="2"/>
        <v>0</v>
      </c>
      <c r="H14" s="921">
        <f>'HSH FGD'!$M14</f>
        <v>0</v>
      </c>
      <c r="I14" s="669">
        <f t="shared" si="3"/>
        <v>0</v>
      </c>
      <c r="J14" s="921">
        <f>'HSSA FGD'!$M14</f>
        <v>0</v>
      </c>
      <c r="K14" s="669">
        <f t="shared" si="4"/>
        <v>0</v>
      </c>
      <c r="L14" s="921">
        <f>'MDA FGD'!$M14</f>
        <v>0</v>
      </c>
      <c r="M14" s="669"/>
      <c r="N14" s="921">
        <f>'THC FGD'!$M14</f>
        <v>0</v>
      </c>
      <c r="O14" s="669"/>
      <c r="P14" s="921">
        <f>'TAMHSC FGD'!$M14</f>
        <v>46943006</v>
      </c>
      <c r="Q14" s="669">
        <f t="shared" si="5"/>
        <v>13012</v>
      </c>
      <c r="R14" s="921">
        <f>'UNTHSC1 FGD'!$M14</f>
        <v>0</v>
      </c>
      <c r="S14" s="669">
        <f t="shared" si="6"/>
        <v>0</v>
      </c>
      <c r="T14" s="921">
        <f>'TTUHSC FGD'!$M14</f>
        <v>0</v>
      </c>
      <c r="U14" s="669">
        <f t="shared" si="7"/>
        <v>0</v>
      </c>
      <c r="V14" s="921">
        <f>'TTUHSCEP FGD'!$M14</f>
        <v>0</v>
      </c>
      <c r="W14" s="669">
        <f t="shared" si="8"/>
        <v>0</v>
      </c>
      <c r="X14" s="921">
        <f>'AUSM FGD'!$M14</f>
        <v>25010190</v>
      </c>
      <c r="Y14" s="669"/>
      <c r="Z14" s="921">
        <f>'RGVM FGD'!$M14</f>
        <v>0</v>
      </c>
      <c r="AA14" s="669"/>
      <c r="AB14" s="921">
        <f>'UHM FGD'!$M14</f>
        <v>0</v>
      </c>
      <c r="AC14" s="669"/>
    </row>
    <row r="15" spans="1:29" ht="12.75" customHeight="1">
      <c r="A15" s="936" t="s">
        <v>155</v>
      </c>
      <c r="B15" s="937">
        <f t="shared" ref="B15:E15" ca="1" si="9">SUM(B10:B14)</f>
        <v>2219115664</v>
      </c>
      <c r="C15" s="937">
        <f t="shared" ca="1" si="9"/>
        <v>74453</v>
      </c>
      <c r="D15" s="937">
        <f t="shared" si="9"/>
        <v>260323607</v>
      </c>
      <c r="E15" s="937">
        <f t="shared" si="9"/>
        <v>113118</v>
      </c>
      <c r="F15" s="937">
        <f t="shared" ref="F15:U15" si="10">SUM(F10:F14)</f>
        <v>392636564</v>
      </c>
      <c r="G15" s="937">
        <f t="shared" si="10"/>
        <v>101724</v>
      </c>
      <c r="H15" s="937">
        <f t="shared" si="10"/>
        <v>260301322</v>
      </c>
      <c r="I15" s="937">
        <f t="shared" si="10"/>
        <v>49414</v>
      </c>
      <c r="J15" s="937">
        <f t="shared" si="10"/>
        <v>202667107</v>
      </c>
      <c r="K15" s="937">
        <f t="shared" si="10"/>
        <v>51027</v>
      </c>
      <c r="L15" s="937">
        <f t="shared" si="10"/>
        <v>261645065</v>
      </c>
      <c r="M15" s="937">
        <f t="shared" si="10"/>
        <v>0</v>
      </c>
      <c r="N15" s="937">
        <f t="shared" si="10"/>
        <v>61784935</v>
      </c>
      <c r="O15" s="937">
        <f t="shared" si="10"/>
        <v>0</v>
      </c>
      <c r="P15" s="937">
        <f t="shared" si="10"/>
        <v>230148229</v>
      </c>
      <c r="Q15" s="937">
        <f t="shared" si="10"/>
        <v>63794</v>
      </c>
      <c r="R15" s="937">
        <f t="shared" si="10"/>
        <v>129494349</v>
      </c>
      <c r="S15" s="937">
        <f t="shared" si="10"/>
        <v>43332</v>
      </c>
      <c r="T15" s="937">
        <f t="shared" si="10"/>
        <v>217168284</v>
      </c>
      <c r="U15" s="937">
        <f t="shared" si="10"/>
        <v>36098</v>
      </c>
      <c r="V15" s="937">
        <f t="shared" ref="V15:Z15" si="11">SUM(V10:V14)</f>
        <v>92315216</v>
      </c>
      <c r="W15" s="937">
        <f t="shared" si="11"/>
        <v>108466</v>
      </c>
      <c r="X15" s="937">
        <f t="shared" si="11"/>
        <v>46216168</v>
      </c>
      <c r="Y15" s="937"/>
      <c r="Z15" s="937">
        <f t="shared" si="11"/>
        <v>49474555</v>
      </c>
      <c r="AA15" s="937"/>
      <c r="AB15" s="937">
        <f t="shared" ref="AB15" si="12">SUM(AB10:AB14)</f>
        <v>14940263</v>
      </c>
      <c r="AC15" s="937"/>
    </row>
    <row r="16" spans="1:29">
      <c r="B16" s="1088" t="str">
        <f ca="1">IF(B15&lt;&gt;'Smmy Sum'!B28,"Error","")</f>
        <v/>
      </c>
      <c r="C16" s="1088" t="str">
        <f ca="1">IF(C15&lt;&gt;'Smmy Sum'!C28,"Error","")</f>
        <v/>
      </c>
      <c r="D16" s="1088" t="str">
        <f>IF(D15&lt;&gt;'SWM FGD'!$M15,"Error","")</f>
        <v/>
      </c>
      <c r="E16" s="1088" t="str">
        <f>IF(E15&lt;&gt;'SWM Sum'!$C15,"Error","")</f>
        <v/>
      </c>
      <c r="F16" s="1088" t="str">
        <f>IF(F15&lt;&gt;'MBG FGD'!$M15,"Error","")</f>
        <v/>
      </c>
      <c r="G16" s="1088" t="str">
        <f>IF(G15&lt;&gt;'MBG Sum'!$C15,"Error","")</f>
        <v/>
      </c>
      <c r="H16" s="1088" t="str">
        <f>IF(H15&lt;&gt;'HSH FGD'!$M15,"Error","")</f>
        <v/>
      </c>
      <c r="I16" s="1088" t="str">
        <f>IF(I15&lt;&gt;'HSH Sum'!$C15,"Error","")</f>
        <v/>
      </c>
      <c r="J16" s="1088" t="str">
        <f>IF(J15&lt;&gt;'HSSA FGD'!$M15,"Error","")</f>
        <v/>
      </c>
      <c r="K16" s="1088" t="str">
        <f>IF(K15&lt;&gt;'HSSA Sum'!$C15,"Error","")</f>
        <v/>
      </c>
      <c r="L16" s="1088" t="str">
        <f>IF(L15&lt;&gt;'MDA FGD'!$M15,"Error","")</f>
        <v/>
      </c>
      <c r="M16" s="1088" t="str">
        <f>IF(M15&lt;&gt;'MDA Sum'!$C15,"Error","")</f>
        <v/>
      </c>
      <c r="N16" s="1088" t="str">
        <f>IF(N15&lt;&gt;'THC FGD'!$M15,"Error","")</f>
        <v/>
      </c>
      <c r="O16" s="1088" t="str">
        <f>IF(O15&lt;&gt;'THC Sum'!$C15,"Error","")</f>
        <v/>
      </c>
      <c r="P16" s="1088" t="str">
        <f>IF(P15&lt;&gt;'TAMHSC FGD'!$M15,"Error","")</f>
        <v/>
      </c>
      <c r="Q16" s="1088" t="str">
        <f>IF(Q15&lt;&gt;'TAMHSC Sum'!$C15,"Error","")</f>
        <v/>
      </c>
      <c r="R16" s="1088" t="str">
        <f>IF(R15&lt;&gt;'UNTHSC1 FGD'!$M15,"Error","")</f>
        <v/>
      </c>
      <c r="S16" s="1088" t="str">
        <f>IF(S15&lt;&gt;'UNTHS1 Sum'!$C15,"Error","")</f>
        <v/>
      </c>
      <c r="T16" s="1088" t="str">
        <f>IF(T15&lt;&gt;'TTUHSC FGD'!$M15,"Error","")</f>
        <v/>
      </c>
      <c r="U16" s="1088" t="str">
        <f>IF(U15&lt;&gt;'TTUHSC Sum'!$C15,"Error","")</f>
        <v/>
      </c>
      <c r="V16" s="1088" t="str">
        <f>IF(V15&lt;&gt;'TTUHSCEP FGD'!$M15,"Error","")</f>
        <v/>
      </c>
      <c r="W16" s="1088" t="str">
        <f>IF(W15&lt;&gt;'TTUHSCEP Sum'!$C15,"Error","")</f>
        <v/>
      </c>
      <c r="X16" s="1088" t="str">
        <f>IF(X15&lt;&gt;'AUSM FGD'!$M15,"Error","")</f>
        <v/>
      </c>
      <c r="Y16" s="1088"/>
      <c r="Z16" s="1088" t="str">
        <f>IF(Z15&lt;&gt;'RGVM FGD'!$M15,"Error","")</f>
        <v/>
      </c>
      <c r="AA16" s="1088"/>
      <c r="AB16" s="1088" t="str">
        <f>IF(AB15&lt;&gt;'UHM FGD'!$M15,"Error","")</f>
        <v/>
      </c>
      <c r="AC16" s="1088"/>
    </row>
    <row r="17" spans="1:309">
      <c r="A17" s="279" t="s">
        <v>161</v>
      </c>
      <c r="B17" s="1088"/>
      <c r="C17" s="1088"/>
      <c r="D17" s="1088"/>
      <c r="E17" s="1088"/>
      <c r="F17" s="1088"/>
      <c r="G17" s="1088"/>
      <c r="H17" s="1088"/>
      <c r="I17" s="1088"/>
      <c r="J17" s="1088"/>
      <c r="K17" s="1088"/>
      <c r="L17" s="1088"/>
      <c r="M17" s="1088"/>
      <c r="N17" s="1088"/>
      <c r="O17" s="1088"/>
      <c r="P17" s="1088"/>
      <c r="Q17" s="1088"/>
      <c r="R17" s="1088"/>
      <c r="S17" s="1088"/>
      <c r="T17" s="1088"/>
      <c r="U17" s="1088"/>
      <c r="V17" s="1088"/>
      <c r="W17" s="1088"/>
      <c r="X17" s="1088"/>
      <c r="Y17" s="1088"/>
      <c r="Z17" s="1088"/>
      <c r="AA17" s="1088"/>
      <c r="AB17" s="1088"/>
      <c r="AC17" s="1088"/>
    </row>
    <row r="18" spans="1:309">
      <c r="A18" s="320" t="s">
        <v>233</v>
      </c>
      <c r="B18" s="501">
        <f ca="1">SUMIF(D$77:AC$77,$B$77,D18:AA18)</f>
        <v>323731142</v>
      </c>
      <c r="C18" s="501">
        <f ca="1">ROUND(B18/C$6,0)</f>
        <v>10861</v>
      </c>
      <c r="D18" s="921">
        <f>'SWM FGD'!$M23</f>
        <v>28039951</v>
      </c>
      <c r="E18" s="669">
        <f>ROUND(D18/E$6,0)</f>
        <v>12184</v>
      </c>
      <c r="F18" s="921">
        <f>'MBG FGD'!$M23</f>
        <v>41412627</v>
      </c>
      <c r="G18" s="669">
        <f>ROUND(F18/G$6,0)</f>
        <v>10729</v>
      </c>
      <c r="H18" s="921">
        <f>'HSH FGD'!$M23</f>
        <v>58774953</v>
      </c>
      <c r="I18" s="669">
        <f>ROUND(H18/I$6,0)</f>
        <v>11158</v>
      </c>
      <c r="J18" s="921">
        <f>'HSSA FGD'!$M23</f>
        <v>56015128</v>
      </c>
      <c r="K18" s="669">
        <f>ROUND(J18/K$6,0)</f>
        <v>14103</v>
      </c>
      <c r="L18" s="921">
        <f>'MDA FGD'!$M23</f>
        <v>1490946</v>
      </c>
      <c r="M18" s="669"/>
      <c r="N18" s="921">
        <f>'THC FGD'!$M23</f>
        <v>548210</v>
      </c>
      <c r="O18" s="669"/>
      <c r="P18" s="921">
        <f>'TAMHSC FGD'!$M23</f>
        <v>39149086</v>
      </c>
      <c r="Q18" s="669">
        <f>ROUND(P18/Q$6,0)</f>
        <v>10852</v>
      </c>
      <c r="R18" s="921">
        <f>'UNTHSC1 FGD'!$M23</f>
        <v>25438891</v>
      </c>
      <c r="S18" s="669">
        <f>ROUND(R18/S$6,0)</f>
        <v>8513</v>
      </c>
      <c r="T18" s="921">
        <f>'TTUHSC FGD'!$M23</f>
        <v>52740395</v>
      </c>
      <c r="U18" s="669">
        <f>ROUND(T18/U$6,0)</f>
        <v>8767</v>
      </c>
      <c r="V18" s="921">
        <f>'TTUHSCEP FGD'!$M23</f>
        <v>11257270</v>
      </c>
      <c r="W18" s="669">
        <f>ROUND(V18/W$6,0)</f>
        <v>13227</v>
      </c>
      <c r="X18" s="921">
        <f>'AUSM FGD'!$M23</f>
        <v>3803301</v>
      </c>
      <c r="Y18" s="669"/>
      <c r="Z18" s="921">
        <f>'RGVM FGD'!$M23</f>
        <v>3900907</v>
      </c>
      <c r="AA18" s="669"/>
      <c r="AB18" s="921">
        <f>'UHM FGD'!$M23</f>
        <v>1159477</v>
      </c>
      <c r="AC18" s="669"/>
    </row>
    <row r="19" spans="1:309">
      <c r="A19" s="277" t="s">
        <v>469</v>
      </c>
      <c r="B19" s="921">
        <f ca="1">SUMIF(D$77:AC$77,$B$77,D19:AA19)</f>
        <v>-28504411</v>
      </c>
      <c r="C19" s="669">
        <f t="shared" ref="C19" ca="1" si="13">ROUND(B19/C$6,0)</f>
        <v>-956</v>
      </c>
      <c r="D19" s="921">
        <f>SUM('SWM FGD'!$M24:'SWM FGD'!$M28)</f>
        <v>-1904649</v>
      </c>
      <c r="E19" s="669">
        <f>ROUND(D19/E$6,0)</f>
        <v>-828</v>
      </c>
      <c r="F19" s="921">
        <f>SUM('MBG FGD'!$M24:'MBG FGD'!$M28)</f>
        <v>-4298004</v>
      </c>
      <c r="G19" s="669">
        <f>ROUND(F19/G$6,0)</f>
        <v>-1114</v>
      </c>
      <c r="H19" s="921">
        <f>SUM('HSH FGD'!$M24:'HSH FGD'!$M28)</f>
        <v>-1558305</v>
      </c>
      <c r="I19" s="669">
        <f>ROUND(H19/I$6,0)</f>
        <v>-296</v>
      </c>
      <c r="J19" s="921">
        <f>SUM('HSSA FGD'!$M24:'HSSA FGD'!$M28)</f>
        <v>-3129106</v>
      </c>
      <c r="K19" s="669">
        <f>ROUND(J19/K$6,0)</f>
        <v>-788</v>
      </c>
      <c r="L19" s="921">
        <f>SUM('MDA FGD'!$M24:'MDA FGD'!$M28)</f>
        <v>-2707</v>
      </c>
      <c r="M19" s="669"/>
      <c r="N19" s="921">
        <f>SUM('THC FGD'!$M24:'THC FGD'!$M28)</f>
        <v>0</v>
      </c>
      <c r="O19" s="669"/>
      <c r="P19" s="921">
        <f>SUM('TAMHSC FGD'!$M24:'TAMHSC FGD'!$M28)</f>
        <v>-3376921</v>
      </c>
      <c r="Q19" s="669">
        <f>ROUND(P19/Q$6,0)</f>
        <v>-936</v>
      </c>
      <c r="R19" s="921">
        <f>SUM('UNTHSC1 FGD'!$M24:'UNTHSC1 FGD'!$M28)</f>
        <v>-2268454</v>
      </c>
      <c r="S19" s="669">
        <f>ROUND(R19/S$6,0)+1</f>
        <v>-758</v>
      </c>
      <c r="T19" s="921">
        <f>SUM('TTUHSC FGD'!$M24:'TTUHSC FGD'!$M28)</f>
        <v>-8286977</v>
      </c>
      <c r="U19" s="669">
        <f>ROUND(T19/U$6,0)</f>
        <v>-1377</v>
      </c>
      <c r="V19" s="921">
        <f>SUM('TTUHSCEP FGD'!$M24:'TTUHSCEP FGD'!$M28)</f>
        <v>-2826239</v>
      </c>
      <c r="W19" s="669">
        <f>ROUND(V19/W$6,0)</f>
        <v>-3321</v>
      </c>
      <c r="X19" s="921">
        <f>SUM('AUSM FGD'!$M24:'AUSM FGD'!$M28)</f>
        <v>-380153</v>
      </c>
      <c r="Y19" s="669"/>
      <c r="Z19" s="921">
        <f>SUM('RGVM FGD'!$M24:'RGVM FGD'!$M28)</f>
        <v>-97102</v>
      </c>
      <c r="AA19" s="669"/>
      <c r="AB19" s="921">
        <f>SUM('UHM FGD'!$M24:'UHM FGD'!$M28)</f>
        <v>-375794</v>
      </c>
      <c r="AC19" s="669"/>
    </row>
    <row r="20" spans="1:309">
      <c r="A20" s="795" t="s">
        <v>165</v>
      </c>
      <c r="B20" s="1008">
        <f t="shared" ref="B20:C20" ca="1" si="14">B19+B18</f>
        <v>295226731</v>
      </c>
      <c r="C20" s="1008">
        <f t="shared" ca="1" si="14"/>
        <v>9905</v>
      </c>
      <c r="D20" s="1008">
        <f t="shared" ref="D20:U20" si="15">D19+D18</f>
        <v>26135302</v>
      </c>
      <c r="E20" s="1008">
        <f t="shared" si="15"/>
        <v>11356</v>
      </c>
      <c r="F20" s="1008">
        <f t="shared" si="15"/>
        <v>37114623</v>
      </c>
      <c r="G20" s="1008">
        <f t="shared" si="15"/>
        <v>9615</v>
      </c>
      <c r="H20" s="1008">
        <f t="shared" si="15"/>
        <v>57216648</v>
      </c>
      <c r="I20" s="1008">
        <f t="shared" si="15"/>
        <v>10862</v>
      </c>
      <c r="J20" s="1008">
        <f t="shared" si="15"/>
        <v>52886022</v>
      </c>
      <c r="K20" s="1008">
        <f t="shared" si="15"/>
        <v>13315</v>
      </c>
      <c r="L20" s="1008">
        <f t="shared" si="15"/>
        <v>1488239</v>
      </c>
      <c r="M20" s="1008">
        <f t="shared" si="15"/>
        <v>0</v>
      </c>
      <c r="N20" s="1008">
        <f t="shared" si="15"/>
        <v>548210</v>
      </c>
      <c r="O20" s="1008">
        <f t="shared" si="15"/>
        <v>0</v>
      </c>
      <c r="P20" s="1008">
        <f t="shared" si="15"/>
        <v>35772165</v>
      </c>
      <c r="Q20" s="1008">
        <f t="shared" si="15"/>
        <v>9916</v>
      </c>
      <c r="R20" s="1008">
        <f t="shared" si="15"/>
        <v>23170437</v>
      </c>
      <c r="S20" s="1008">
        <f t="shared" si="15"/>
        <v>7755</v>
      </c>
      <c r="T20" s="1008">
        <f t="shared" si="15"/>
        <v>44453418</v>
      </c>
      <c r="U20" s="1008">
        <f t="shared" si="15"/>
        <v>7390</v>
      </c>
      <c r="V20" s="1008">
        <f t="shared" ref="V20:Z20" si="16">V19+V18</f>
        <v>8431031</v>
      </c>
      <c r="W20" s="1008">
        <f t="shared" si="16"/>
        <v>9906</v>
      </c>
      <c r="X20" s="1008">
        <f t="shared" si="16"/>
        <v>3423148</v>
      </c>
      <c r="Y20" s="1008"/>
      <c r="Z20" s="1008">
        <f t="shared" si="16"/>
        <v>3803805</v>
      </c>
      <c r="AA20" s="1008"/>
      <c r="AB20" s="1008">
        <f t="shared" ref="AB20" si="17">AB19+AB18</f>
        <v>783683</v>
      </c>
      <c r="AC20" s="1008"/>
    </row>
    <row r="21" spans="1:309">
      <c r="A21" s="279"/>
      <c r="B21" s="921"/>
      <c r="C21" s="669"/>
      <c r="D21" s="921"/>
      <c r="E21" s="669"/>
      <c r="F21" s="921"/>
      <c r="G21" s="669"/>
      <c r="H21" s="921"/>
      <c r="I21" s="669"/>
      <c r="J21" s="921"/>
      <c r="K21" s="669"/>
      <c r="L21" s="921"/>
      <c r="M21" s="669"/>
      <c r="N21" s="921"/>
      <c r="O21" s="669"/>
      <c r="P21" s="921"/>
      <c r="Q21" s="669"/>
      <c r="R21" s="921"/>
      <c r="S21" s="669"/>
      <c r="T21" s="921"/>
      <c r="U21" s="669"/>
      <c r="V21" s="921"/>
      <c r="W21" s="669"/>
      <c r="X21" s="921"/>
      <c r="Y21" s="669"/>
      <c r="Z21" s="921"/>
      <c r="AA21" s="669"/>
      <c r="AB21" s="921"/>
      <c r="AC21" s="669"/>
    </row>
    <row r="22" spans="1:309">
      <c r="A22" s="320" t="s">
        <v>239</v>
      </c>
      <c r="B22" s="501">
        <f ca="1">SUMIF(D$77:AC$77,$B$77,D22:AA22)</f>
        <v>104944431</v>
      </c>
      <c r="C22" s="501">
        <f ca="1">ROUND(B22/C$6,0)</f>
        <v>3521</v>
      </c>
      <c r="D22" s="921">
        <f>'SWM FGD'!$M36</f>
        <v>2823165</v>
      </c>
      <c r="E22" s="669">
        <f>ROUND(D22/E$6,0)</f>
        <v>1227</v>
      </c>
      <c r="F22" s="921">
        <f>'MBG FGD'!$M36</f>
        <v>15090257</v>
      </c>
      <c r="G22" s="669">
        <f>ROUND(F22/G$6,0)</f>
        <v>3910</v>
      </c>
      <c r="H22" s="921">
        <f>'HSH FGD'!$M36</f>
        <v>14861073</v>
      </c>
      <c r="I22" s="669">
        <f>ROUND(H22/I$6,0)</f>
        <v>2821</v>
      </c>
      <c r="J22" s="921">
        <f>'HSSA FGD'!$M36</f>
        <v>3100750</v>
      </c>
      <c r="K22" s="669">
        <f>ROUND(J22/K$6,0)</f>
        <v>781</v>
      </c>
      <c r="L22" s="921">
        <f>'MDA FGD'!$M36</f>
        <v>346459</v>
      </c>
      <c r="M22" s="669"/>
      <c r="N22" s="921">
        <f>'THC FGD'!$M36</f>
        <v>97102</v>
      </c>
      <c r="O22" s="669"/>
      <c r="P22" s="921">
        <f>'TAMHSC FGD'!$M36</f>
        <v>20009607</v>
      </c>
      <c r="Q22" s="669">
        <f>ROUND(P22/Q$6,0)</f>
        <v>5546</v>
      </c>
      <c r="R22" s="921">
        <f>'UNTHSC1 FGD'!$M36</f>
        <v>11896207</v>
      </c>
      <c r="S22" s="669">
        <f>ROUND(R22/S$6,0)</f>
        <v>3981</v>
      </c>
      <c r="T22" s="921">
        <f>'TTUHSC FGD'!$M36</f>
        <v>29107003</v>
      </c>
      <c r="U22" s="669">
        <f>ROUND(T22/U$6,0)</f>
        <v>4838</v>
      </c>
      <c r="V22" s="921">
        <f>'TTUHSCEP FGD'!$M36</f>
        <v>4954136</v>
      </c>
      <c r="W22" s="669">
        <f>ROUND(V22/W$6,0)</f>
        <v>5821</v>
      </c>
      <c r="X22" s="921">
        <f>'AUSM FGD'!$M36</f>
        <v>1157497</v>
      </c>
      <c r="Y22" s="669"/>
      <c r="Z22" s="921">
        <f>'RGVM FGD'!$M36</f>
        <v>1044013</v>
      </c>
      <c r="AA22" s="669"/>
      <c r="AB22" s="921">
        <f>'UHM FGD'!$M36</f>
        <v>457162</v>
      </c>
      <c r="AC22" s="669"/>
    </row>
    <row r="23" spans="1:309">
      <c r="A23" s="277" t="s">
        <v>469</v>
      </c>
      <c r="B23" s="921">
        <f ca="1">SUMIF(D$77:AC$77,$B$77,D23:AA23)</f>
        <v>-8069209</v>
      </c>
      <c r="C23" s="669">
        <f t="shared" ref="C23" ca="1" si="18">ROUND(B23/C$6,0)</f>
        <v>-271</v>
      </c>
      <c r="D23" s="921">
        <f>SUM('SWM FGD'!$M37:'SWM FGD'!$M41)</f>
        <v>-698604</v>
      </c>
      <c r="E23" s="669">
        <f>ROUND(D23/E$6,0)</f>
        <v>-304</v>
      </c>
      <c r="F23" s="921">
        <f>SUM('MBG FGD'!$M37:'MBG FGD'!$M41)</f>
        <v>-1013453</v>
      </c>
      <c r="G23" s="669">
        <f>ROUND(F23/G$6,0)</f>
        <v>-263</v>
      </c>
      <c r="H23" s="921">
        <f>SUM('HSH FGD'!$M37:'HSH FGD'!$M41)</f>
        <v>-281349</v>
      </c>
      <c r="I23" s="669">
        <f>ROUND(H23/I$6,0)</f>
        <v>-53</v>
      </c>
      <c r="J23" s="921">
        <f>SUM('HSSA FGD'!$M37:'HSSA FGD'!$M41)</f>
        <v>-347678</v>
      </c>
      <c r="K23" s="669">
        <f>ROUND(J23/K$6,0)</f>
        <v>-88</v>
      </c>
      <c r="L23" s="921">
        <f>SUM('MDA FGD'!$M37:'MDA FGD'!$M41)</f>
        <v>-838</v>
      </c>
      <c r="M23" s="669"/>
      <c r="N23" s="921">
        <f>SUM('THC FGD'!$M37:'THC FGD'!$M41)</f>
        <v>0</v>
      </c>
      <c r="O23" s="669"/>
      <c r="P23" s="921">
        <f>SUM('TAMHSC FGD'!$M37:'TAMHSC FGD'!$M41)</f>
        <v>-1725989</v>
      </c>
      <c r="Q23" s="669">
        <f>ROUND(P23/Q$6,0)</f>
        <v>-478</v>
      </c>
      <c r="R23" s="921">
        <f>SUM('UNTHSC1 FGD'!$M37:'UNTHSC1 FGD'!$M41)</f>
        <v>-588832</v>
      </c>
      <c r="S23" s="669">
        <f>ROUND(R23/S$6,0)</f>
        <v>-197</v>
      </c>
      <c r="T23" s="921">
        <f>SUM('TTUHSC FGD'!$M37:'TTUHSC FGD'!$M41)</f>
        <v>-2040556</v>
      </c>
      <c r="U23" s="669">
        <f>ROUND(T23/U$6,0)+1</f>
        <v>-338</v>
      </c>
      <c r="V23" s="921">
        <f>SUM('TTUHSCEP FGD'!$M37:'TTUHSCEP FGD'!$M41)</f>
        <v>-128175</v>
      </c>
      <c r="W23" s="669">
        <f>ROUND(V23/W$6,0)+1</f>
        <v>-150</v>
      </c>
      <c r="X23" s="921">
        <f>SUM('AUSM FGD'!$M37:'AUSM FGD'!$M41)</f>
        <v>-1091432</v>
      </c>
      <c r="Y23" s="669"/>
      <c r="Z23" s="921">
        <f>SUM('RGVM FGD'!$M37:'RGVM FGD'!$M41)</f>
        <v>-4133</v>
      </c>
      <c r="AA23" s="669"/>
      <c r="AB23" s="921">
        <f>SUM('UHM FGD'!$M37:'UHM FGD'!$M41)</f>
        <v>-148170</v>
      </c>
      <c r="AC23" s="669"/>
    </row>
    <row r="24" spans="1:309">
      <c r="A24" s="795" t="s">
        <v>166</v>
      </c>
      <c r="B24" s="1008">
        <f t="shared" ref="B24:C24" ca="1" si="19">B23+B22</f>
        <v>96875222</v>
      </c>
      <c r="C24" s="1008">
        <f t="shared" ca="1" si="19"/>
        <v>3250</v>
      </c>
      <c r="D24" s="1008">
        <f t="shared" ref="D24:U24" si="20">D23+D22</f>
        <v>2124561</v>
      </c>
      <c r="E24" s="1008">
        <f t="shared" si="20"/>
        <v>923</v>
      </c>
      <c r="F24" s="1008">
        <f t="shared" si="20"/>
        <v>14076804</v>
      </c>
      <c r="G24" s="1008">
        <f t="shared" si="20"/>
        <v>3647</v>
      </c>
      <c r="H24" s="1008">
        <f t="shared" si="20"/>
        <v>14579724</v>
      </c>
      <c r="I24" s="1008">
        <f t="shared" si="20"/>
        <v>2768</v>
      </c>
      <c r="J24" s="1008">
        <f t="shared" si="20"/>
        <v>2753072</v>
      </c>
      <c r="K24" s="1008">
        <f t="shared" si="20"/>
        <v>693</v>
      </c>
      <c r="L24" s="1008">
        <f t="shared" si="20"/>
        <v>345621</v>
      </c>
      <c r="M24" s="1008">
        <f t="shared" si="20"/>
        <v>0</v>
      </c>
      <c r="N24" s="1008">
        <f t="shared" si="20"/>
        <v>97102</v>
      </c>
      <c r="O24" s="1008">
        <f t="shared" si="20"/>
        <v>0</v>
      </c>
      <c r="P24" s="1008">
        <f t="shared" si="20"/>
        <v>18283618</v>
      </c>
      <c r="Q24" s="1008">
        <f t="shared" si="20"/>
        <v>5068</v>
      </c>
      <c r="R24" s="1008">
        <f t="shared" si="20"/>
        <v>11307375</v>
      </c>
      <c r="S24" s="1008">
        <f t="shared" si="20"/>
        <v>3784</v>
      </c>
      <c r="T24" s="1008">
        <f t="shared" si="20"/>
        <v>27066447</v>
      </c>
      <c r="U24" s="1008">
        <f t="shared" si="20"/>
        <v>4500</v>
      </c>
      <c r="V24" s="1008">
        <f t="shared" ref="V24:Z24" si="21">V23+V22</f>
        <v>4825961</v>
      </c>
      <c r="W24" s="1008">
        <f t="shared" si="21"/>
        <v>5671</v>
      </c>
      <c r="X24" s="1008">
        <f t="shared" si="21"/>
        <v>66065</v>
      </c>
      <c r="Y24" s="1008"/>
      <c r="Z24" s="1008">
        <f t="shared" si="21"/>
        <v>1039880</v>
      </c>
      <c r="AA24" s="1008"/>
      <c r="AB24" s="1008">
        <f t="shared" ref="AB24" si="22">AB23+AB22</f>
        <v>308992</v>
      </c>
      <c r="AC24" s="1008"/>
    </row>
    <row r="25" spans="1:309">
      <c r="A25" s="279"/>
      <c r="B25" s="921"/>
      <c r="C25" s="669"/>
      <c r="D25" s="921"/>
      <c r="E25" s="669"/>
      <c r="F25" s="921"/>
      <c r="G25" s="669"/>
      <c r="H25" s="921"/>
      <c r="I25" s="669"/>
      <c r="J25" s="921"/>
      <c r="K25" s="669"/>
      <c r="L25" s="921"/>
      <c r="M25" s="669"/>
      <c r="N25" s="921"/>
      <c r="O25" s="669"/>
      <c r="P25" s="921"/>
      <c r="Q25" s="669"/>
      <c r="R25" s="921"/>
      <c r="S25" s="669"/>
      <c r="T25" s="921"/>
      <c r="U25" s="669"/>
      <c r="V25" s="921"/>
      <c r="W25" s="669"/>
      <c r="X25" s="921"/>
      <c r="Y25" s="669"/>
      <c r="Z25" s="921"/>
      <c r="AA25" s="669"/>
      <c r="AB25" s="921"/>
      <c r="AC25" s="669"/>
    </row>
    <row r="26" spans="1:309">
      <c r="A26" s="1089" t="s">
        <v>470</v>
      </c>
      <c r="B26" s="1008">
        <f t="shared" ref="B26:C26" ca="1" si="23">B24+B20</f>
        <v>392101953</v>
      </c>
      <c r="C26" s="1008">
        <f t="shared" ca="1" si="23"/>
        <v>13155</v>
      </c>
      <c r="D26" s="1008">
        <f t="shared" ref="D26:T26" si="24">D24+D20</f>
        <v>28259863</v>
      </c>
      <c r="E26" s="1008">
        <f>E24+E20</f>
        <v>12279</v>
      </c>
      <c r="F26" s="1008">
        <f t="shared" si="24"/>
        <v>51191427</v>
      </c>
      <c r="G26" s="1008">
        <f>G24+G20</f>
        <v>13262</v>
      </c>
      <c r="H26" s="1008">
        <f t="shared" si="24"/>
        <v>71796372</v>
      </c>
      <c r="I26" s="1008">
        <f>I24+I20+1</f>
        <v>13631</v>
      </c>
      <c r="J26" s="1008">
        <f t="shared" si="24"/>
        <v>55639094</v>
      </c>
      <c r="K26" s="1008">
        <f>K24+K20</f>
        <v>14008</v>
      </c>
      <c r="L26" s="1008">
        <f t="shared" si="24"/>
        <v>1833860</v>
      </c>
      <c r="M26" s="1008">
        <f t="shared" si="24"/>
        <v>0</v>
      </c>
      <c r="N26" s="1008">
        <f t="shared" si="24"/>
        <v>645312</v>
      </c>
      <c r="O26" s="1008">
        <f t="shared" si="24"/>
        <v>0</v>
      </c>
      <c r="P26" s="1008">
        <f t="shared" si="24"/>
        <v>54055783</v>
      </c>
      <c r="Q26" s="1008">
        <f>Q24+Q20</f>
        <v>14984</v>
      </c>
      <c r="R26" s="1008">
        <f t="shared" si="24"/>
        <v>34477812</v>
      </c>
      <c r="S26" s="1008">
        <f>S24+S20-2</f>
        <v>11537</v>
      </c>
      <c r="T26" s="1008">
        <f t="shared" si="24"/>
        <v>71519865</v>
      </c>
      <c r="U26" s="1008">
        <f>U24+U20-2</f>
        <v>11888</v>
      </c>
      <c r="V26" s="1008">
        <f t="shared" ref="V26:Z26" si="25">V24+V20</f>
        <v>13256992</v>
      </c>
      <c r="W26" s="1008">
        <f>W24+W20-2</f>
        <v>15575</v>
      </c>
      <c r="X26" s="1008">
        <f t="shared" si="25"/>
        <v>3489213</v>
      </c>
      <c r="Y26" s="1008"/>
      <c r="Z26" s="1008">
        <f t="shared" si="25"/>
        <v>4843685</v>
      </c>
      <c r="AA26" s="1008"/>
      <c r="AB26" s="1008">
        <f t="shared" ref="AB26" si="26">AB24+AB20</f>
        <v>1092675</v>
      </c>
      <c r="AC26" s="1008"/>
    </row>
    <row r="27" spans="1:309">
      <c r="B27" s="1088" t="str">
        <f ca="1">IF(ABS(B26-'Smmy Sum'!B33)&gt;5,"Error","")</f>
        <v/>
      </c>
      <c r="C27" s="1088"/>
      <c r="D27" s="1090" t="str">
        <f>IF(ABS(D26-'SWM FGD'!$M44)&gt;5,"Error","")</f>
        <v/>
      </c>
      <c r="E27" s="1090" t="str">
        <f>IF(ABS(E26-'SWM Sum'!$C20)&gt;5,"Error","")</f>
        <v/>
      </c>
      <c r="F27" s="1090" t="str">
        <f>IF(ABS(F26-'MBG FGD'!$M44)&gt;5,"Error","")</f>
        <v/>
      </c>
      <c r="G27" s="1090" t="str">
        <f>IF(ABS(G26-'MBG Sum'!$C20)&gt;5,"Error","")</f>
        <v/>
      </c>
      <c r="H27" s="1090" t="str">
        <f>IF(ABS(H26-'HSH FGD'!$M44)&gt;5,"Error","")</f>
        <v/>
      </c>
      <c r="I27" s="1090" t="str">
        <f>IF(ABS(I26-'HSH Sum'!$C20)&gt;5,"Error","")</f>
        <v/>
      </c>
      <c r="J27" s="1090" t="str">
        <f>IF(ABS(J26-'HSSA FGD'!$M44)&gt;5,"Error","")</f>
        <v/>
      </c>
      <c r="K27" s="1090" t="str">
        <f>IF(ABS(K26-'HSSA Sum'!$C20)&gt;5,"Error","")</f>
        <v/>
      </c>
      <c r="L27" s="1090" t="str">
        <f>IF(ABS(L26-'MDA FGD'!$M44)&gt;5,"Error","")</f>
        <v/>
      </c>
      <c r="M27" s="1090" t="str">
        <f>IF(ABS(M26-'MDA Sum'!$C20)&gt;5,"Error","")</f>
        <v/>
      </c>
      <c r="N27" s="1090" t="str">
        <f>IF(ABS(N26-'THC FGD'!$M44)&gt;5,"Error","")</f>
        <v/>
      </c>
      <c r="O27" s="1090" t="str">
        <f>IF(ABS(O26-'THC Sum'!$C20)&gt;5,"Error","")</f>
        <v/>
      </c>
      <c r="P27" s="1090" t="str">
        <f>IF(ABS(P26-'TAMHSC FGD'!$M44)&gt;5,"Error","")</f>
        <v/>
      </c>
      <c r="Q27" s="1090" t="str">
        <f>IF(ABS(Q26-'TAMHSC Sum'!$C20)&gt;5,"Error","")</f>
        <v/>
      </c>
      <c r="R27" s="1090" t="str">
        <f>IF(ABS(R26-'UNTHSC1 FGD'!$M44)&gt;5,"Error","")</f>
        <v/>
      </c>
      <c r="S27" s="1090" t="str">
        <f>IF(ABS(S26-'UNTHS1 Sum'!$C20)&gt;5,"Error","")</f>
        <v/>
      </c>
      <c r="T27" s="1090" t="str">
        <f>IF(ABS(T26-'TTUHSC FGD'!$M44)&gt;5,"Error","")</f>
        <v/>
      </c>
      <c r="U27" s="1090" t="str">
        <f>IF(ABS(U26-'TTUHSC Sum'!$C20)&gt;5,"Error","")</f>
        <v/>
      </c>
      <c r="V27" s="1090" t="str">
        <f>IF(ABS(V26-'TTUHSCEP FGD'!$M44)&gt;5,"Error","")</f>
        <v/>
      </c>
      <c r="W27" s="1090" t="str">
        <f>IF(ABS(W26-'TTUHSCEP Sum'!$C20)&gt;5,"Error","")</f>
        <v/>
      </c>
      <c r="X27" s="1090" t="str">
        <f>IF(ABS(X26-'AUSM FGD'!$M44)&gt;5,"Error","")</f>
        <v/>
      </c>
      <c r="Y27" s="1090"/>
      <c r="Z27" s="1090" t="str">
        <f>IF(Z26&lt;&gt;'RGVM FGD'!$M44,"Error","")</f>
        <v/>
      </c>
      <c r="AA27" s="1090"/>
      <c r="AB27" s="1090" t="str">
        <f>IF(AB26&lt;&gt;'UHM FGD'!$M44,"Error","")</f>
        <v/>
      </c>
      <c r="AC27" s="1090"/>
    </row>
    <row r="28" spans="1:309">
      <c r="A28" s="279" t="s">
        <v>162</v>
      </c>
      <c r="B28" s="982"/>
      <c r="D28" s="982"/>
      <c r="F28" s="982"/>
      <c r="H28" s="982"/>
      <c r="J28" s="982"/>
      <c r="L28" s="982"/>
      <c r="N28" s="982"/>
      <c r="P28" s="982"/>
      <c r="R28" s="982"/>
      <c r="T28" s="982"/>
      <c r="V28" s="982"/>
      <c r="X28" s="982"/>
      <c r="Z28" s="982"/>
      <c r="AB28" s="982"/>
    </row>
    <row r="29" spans="1:309">
      <c r="A29" s="936" t="s">
        <v>168</v>
      </c>
      <c r="B29" s="1013">
        <f ca="1">SUMIF(D$77:AC$77,$B$77,D29:AA29)</f>
        <v>1487986562</v>
      </c>
      <c r="C29" s="937"/>
      <c r="D29" s="1013">
        <f>'SWM FGD'!$M47</f>
        <v>322461621</v>
      </c>
      <c r="E29" s="937"/>
      <c r="F29" s="1013">
        <f>'MBG FGD'!$M47</f>
        <v>179173759</v>
      </c>
      <c r="G29" s="937"/>
      <c r="H29" s="1013">
        <f>'HSH FGD'!$M47</f>
        <v>249224368</v>
      </c>
      <c r="I29" s="937"/>
      <c r="J29" s="1013">
        <f>'HSSA FGD'!$M47</f>
        <v>207996481</v>
      </c>
      <c r="K29" s="937"/>
      <c r="L29" s="1013">
        <f>'MDA FGD'!$M47</f>
        <v>306905101</v>
      </c>
      <c r="M29" s="937"/>
      <c r="N29" s="1013">
        <f>'THC FGD'!$M47</f>
        <v>21490496</v>
      </c>
      <c r="O29" s="937"/>
      <c r="P29" s="1013">
        <f>'TAMHSC FGD'!$M47</f>
        <v>85141456</v>
      </c>
      <c r="Q29" s="937"/>
      <c r="R29" s="1013">
        <f>'UNTHSC1 FGD'!$M47</f>
        <v>55261728</v>
      </c>
      <c r="S29" s="937"/>
      <c r="T29" s="1013">
        <f>'TTUHSC FGD'!$M47</f>
        <v>34704177</v>
      </c>
      <c r="U29" s="937"/>
      <c r="V29" s="1013">
        <f>'TTUHSCEP FGD'!$M47</f>
        <v>4397437</v>
      </c>
      <c r="W29" s="937"/>
      <c r="X29" s="1013">
        <f>'AUSM FGD'!$M47</f>
        <v>12717100</v>
      </c>
      <c r="Y29" s="937"/>
      <c r="Z29" s="1013">
        <f>'RGVM FGD'!$M47</f>
        <v>7981482</v>
      </c>
      <c r="AA29" s="937"/>
      <c r="AB29" s="1013">
        <f>'UHM FGD'!$M47</f>
        <v>531356</v>
      </c>
      <c r="AC29" s="937"/>
    </row>
    <row r="30" spans="1:309">
      <c r="B30" s="1088" t="str">
        <f ca="1">IF(B29&lt;&gt;'Smmy Sum'!B36,"Error","")</f>
        <v/>
      </c>
      <c r="C30" s="1088"/>
      <c r="D30" s="1088" t="str">
        <f>IF(D29&lt;&gt;'SWM FGD'!$M47,"Error","")</f>
        <v/>
      </c>
      <c r="E30" s="1088"/>
      <c r="F30" s="1088" t="str">
        <f>IF(F29&lt;&gt;'MBG FGD'!$M47,"Error","")</f>
        <v/>
      </c>
      <c r="G30" s="1088"/>
      <c r="H30" s="1088" t="str">
        <f>IF(H29&lt;&gt;'HSH FGD'!$M47,"Error","")</f>
        <v/>
      </c>
      <c r="I30" s="1088"/>
      <c r="J30" s="1088" t="str">
        <f>IF(J29&lt;&gt;'HSSA FGD'!$M47,"Error","")</f>
        <v/>
      </c>
      <c r="K30" s="1088"/>
      <c r="L30" s="1088" t="str">
        <f>IF(L29&lt;&gt;'MDA FGD'!$M47,"Error","")</f>
        <v/>
      </c>
      <c r="M30" s="1088" t="str">
        <f>IF(M29&lt;&gt;'MDA Sum'!$C23,"Error","")</f>
        <v/>
      </c>
      <c r="N30" s="1088" t="str">
        <f>IF(N29&lt;&gt;'THC FGD'!$M47,"Error","")</f>
        <v/>
      </c>
      <c r="O30" s="1088" t="str">
        <f>IF(O29&lt;&gt;'THC Sum'!$C31,"Error","")</f>
        <v/>
      </c>
      <c r="P30" s="1088" t="str">
        <f>IF(P29&lt;&gt;'TAMHSC FGD'!$M47,"Error","")</f>
        <v/>
      </c>
      <c r="Q30" s="1088"/>
      <c r="R30" s="1088" t="str">
        <f>IF(R29&lt;&gt;'UNTHSC1 FGD'!$M47,"Error","")</f>
        <v/>
      </c>
      <c r="S30" s="1088"/>
      <c r="T30" s="1088" t="str">
        <f>IF(T29&lt;&gt;'TTUHSC FGD'!$M47,"Error","")</f>
        <v/>
      </c>
      <c r="U30" s="1088"/>
      <c r="V30" s="1088" t="str">
        <f>IF(V29&lt;&gt;'TTUHSCEP FGD'!$M47,"Error","")</f>
        <v/>
      </c>
      <c r="W30" s="1088"/>
      <c r="X30" s="1088" t="str">
        <f>IF(X29&lt;&gt;'AUSM FGD'!$M47,"Error","")</f>
        <v/>
      </c>
      <c r="Y30" s="1088"/>
      <c r="Z30" s="1088" t="str">
        <f>IF(Z29&lt;&gt;'RGVM FGD'!$M47,"Error","")</f>
        <v/>
      </c>
      <c r="AA30" s="1088"/>
      <c r="AB30" s="1088" t="str">
        <f>IF(AB29&lt;&gt;'UHM FGD'!$M47,"Error","")</f>
        <v/>
      </c>
      <c r="AC30" s="1088"/>
    </row>
    <row r="31" spans="1:309">
      <c r="A31" s="279" t="s">
        <v>163</v>
      </c>
      <c r="B31" s="1088"/>
      <c r="C31" s="1088"/>
      <c r="D31" s="1088"/>
      <c r="E31" s="1088"/>
      <c r="F31" s="1088"/>
      <c r="G31" s="1088"/>
      <c r="H31" s="1088"/>
      <c r="I31" s="1088"/>
      <c r="J31" s="1088"/>
      <c r="K31" s="1088"/>
      <c r="L31" s="1088"/>
      <c r="M31" s="1088"/>
      <c r="N31" s="1088"/>
      <c r="O31" s="1088"/>
      <c r="P31" s="1088"/>
      <c r="Q31" s="1088"/>
      <c r="R31" s="1088"/>
      <c r="S31" s="1088"/>
      <c r="T31" s="1088"/>
      <c r="U31" s="1088"/>
      <c r="V31" s="1088"/>
      <c r="W31" s="1088"/>
      <c r="X31" s="1088"/>
      <c r="Y31" s="1088"/>
      <c r="Z31" s="1088"/>
      <c r="AA31" s="1088"/>
      <c r="AB31" s="1088"/>
      <c r="AC31" s="1088"/>
    </row>
    <row r="32" spans="1:309" s="1013" customFormat="1">
      <c r="A32" s="1013" t="s">
        <v>200</v>
      </c>
      <c r="B32" s="1013">
        <f ca="1">SUMIF(D$77:AC$77,$B$77,D32:AA32)</f>
        <v>2674054948</v>
      </c>
      <c r="C32" s="937"/>
      <c r="D32" s="949">
        <f>'SWM FGD'!$M50</f>
        <v>811029427</v>
      </c>
      <c r="E32" s="937"/>
      <c r="F32" s="949">
        <f>'MBG FGD'!$M50</f>
        <v>256863176</v>
      </c>
      <c r="G32" s="937"/>
      <c r="H32" s="949">
        <f>'HSH FGD'!$M50</f>
        <v>456328123</v>
      </c>
      <c r="I32" s="937"/>
      <c r="J32" s="949">
        <f>'HSSA FGD'!$M50</f>
        <v>332331158</v>
      </c>
      <c r="K32" s="937"/>
      <c r="L32" s="949">
        <f>'MDA FGD'!$M50</f>
        <v>446606991</v>
      </c>
      <c r="M32" s="937"/>
      <c r="N32" s="949">
        <f>'THC FGD'!$M50</f>
        <v>19660488</v>
      </c>
      <c r="O32" s="937"/>
      <c r="P32" s="949">
        <f>'TAMHSC FGD'!$M50</f>
        <v>1073754</v>
      </c>
      <c r="Q32" s="937"/>
      <c r="R32" s="949">
        <f>'UNTHSC1 FGD'!$M50</f>
        <v>12885666</v>
      </c>
      <c r="S32" s="937"/>
      <c r="T32" s="949">
        <f>'TTUHSC FGD'!$M50</f>
        <v>247811272</v>
      </c>
      <c r="U32" s="937"/>
      <c r="V32" s="949">
        <f>'TTUHSCEP FGD'!$M50</f>
        <v>57620664</v>
      </c>
      <c r="W32" s="937"/>
      <c r="X32" s="949">
        <f>'AUSM FGD'!$M50</f>
        <v>12639757</v>
      </c>
      <c r="Y32" s="937"/>
      <c r="Z32" s="949">
        <f>'RGVM FGD'!$M50</f>
        <v>19204472</v>
      </c>
      <c r="AA32" s="937"/>
      <c r="AB32" s="949">
        <f>'UHM FGD'!$M50</f>
        <v>0</v>
      </c>
      <c r="AC32" s="937"/>
      <c r="AD32" s="277"/>
      <c r="AE32" s="277"/>
      <c r="AF32" s="277"/>
      <c r="AG32" s="277"/>
      <c r="AH32" s="277"/>
      <c r="AI32" s="277"/>
      <c r="AJ32" s="277"/>
      <c r="AK32" s="277"/>
      <c r="AL32" s="277"/>
      <c r="AM32" s="277"/>
      <c r="AN32" s="277"/>
      <c r="AO32" s="277"/>
      <c r="AP32" s="277"/>
      <c r="AQ32" s="277"/>
      <c r="AR32" s="277"/>
      <c r="AS32" s="277"/>
      <c r="AT32" s="277"/>
      <c r="AU32" s="277"/>
      <c r="AV32" s="277"/>
      <c r="AW32" s="277"/>
      <c r="AX32" s="277"/>
      <c r="AY32" s="277"/>
      <c r="AZ32" s="277"/>
      <c r="BA32" s="277"/>
      <c r="BB32" s="277"/>
      <c r="BC32" s="277"/>
      <c r="BD32" s="277"/>
      <c r="BE32" s="277"/>
      <c r="BF32" s="277"/>
      <c r="BG32" s="277"/>
      <c r="BH32" s="277"/>
      <c r="BI32" s="277"/>
      <c r="BJ32" s="277"/>
      <c r="BK32" s="277"/>
      <c r="BL32" s="277"/>
      <c r="BM32" s="277"/>
      <c r="BN32" s="277"/>
      <c r="BO32" s="277"/>
      <c r="BP32" s="277"/>
      <c r="BQ32" s="277"/>
      <c r="BR32" s="277"/>
      <c r="BS32" s="277"/>
      <c r="BT32" s="277"/>
      <c r="BU32" s="277"/>
      <c r="BV32" s="277"/>
      <c r="BW32" s="277"/>
      <c r="BX32" s="277"/>
      <c r="BY32" s="277"/>
      <c r="BZ32" s="277"/>
      <c r="CA32" s="277"/>
      <c r="CB32" s="277"/>
      <c r="CC32" s="277"/>
      <c r="CD32" s="277"/>
      <c r="CE32" s="277"/>
      <c r="CF32" s="277"/>
      <c r="CG32" s="277"/>
      <c r="CH32" s="277"/>
      <c r="CI32" s="277"/>
      <c r="CJ32" s="277"/>
      <c r="CK32" s="277"/>
      <c r="CL32" s="277"/>
      <c r="CM32" s="277"/>
      <c r="CN32" s="277"/>
      <c r="CO32" s="277"/>
      <c r="CP32" s="277"/>
      <c r="CQ32" s="277"/>
      <c r="CR32" s="277"/>
      <c r="CS32" s="277"/>
      <c r="CT32" s="277"/>
      <c r="CU32" s="277"/>
      <c r="CV32" s="277"/>
      <c r="CW32" s="277"/>
      <c r="CX32" s="277"/>
      <c r="CY32" s="277"/>
      <c r="CZ32" s="277"/>
      <c r="DA32" s="277"/>
      <c r="DB32" s="277"/>
      <c r="DC32" s="277"/>
      <c r="DD32" s="277"/>
      <c r="DE32" s="277"/>
      <c r="DF32" s="277"/>
      <c r="DG32" s="277"/>
      <c r="DH32" s="277"/>
      <c r="DI32" s="277"/>
      <c r="DJ32" s="277"/>
      <c r="DK32" s="277"/>
      <c r="DL32" s="277"/>
      <c r="DM32" s="277"/>
      <c r="DN32" s="277"/>
      <c r="DO32" s="277"/>
      <c r="DP32" s="277"/>
      <c r="DQ32" s="277"/>
      <c r="DR32" s="277"/>
      <c r="DS32" s="277"/>
      <c r="DT32" s="277"/>
      <c r="DU32" s="277"/>
      <c r="DV32" s="277"/>
      <c r="DW32" s="277"/>
      <c r="DX32" s="277"/>
      <c r="DY32" s="277"/>
      <c r="DZ32" s="277"/>
      <c r="EA32" s="277"/>
      <c r="EB32" s="277"/>
      <c r="EC32" s="277"/>
      <c r="ED32" s="277"/>
      <c r="EE32" s="277"/>
      <c r="EF32" s="277"/>
      <c r="EG32" s="277"/>
      <c r="EH32" s="277"/>
      <c r="EI32" s="277"/>
      <c r="EJ32" s="277"/>
      <c r="EK32" s="277"/>
      <c r="EL32" s="277"/>
      <c r="EM32" s="277"/>
      <c r="EN32" s="277"/>
      <c r="EO32" s="277"/>
      <c r="EP32" s="277"/>
      <c r="EQ32" s="277"/>
      <c r="ER32" s="277"/>
      <c r="ES32" s="277"/>
      <c r="ET32" s="277"/>
      <c r="EU32" s="277"/>
      <c r="EV32" s="277"/>
      <c r="EW32" s="277"/>
      <c r="EX32" s="277"/>
      <c r="EY32" s="277"/>
      <c r="EZ32" s="277"/>
      <c r="FA32" s="277"/>
      <c r="FB32" s="277"/>
      <c r="FC32" s="277"/>
      <c r="FD32" s="277"/>
      <c r="FE32" s="277"/>
      <c r="FF32" s="277"/>
      <c r="FG32" s="277"/>
      <c r="FH32" s="277"/>
      <c r="FI32" s="277"/>
      <c r="FJ32" s="277"/>
      <c r="FK32" s="277"/>
      <c r="FL32" s="277"/>
      <c r="FM32" s="277"/>
      <c r="FN32" s="277"/>
      <c r="FO32" s="277"/>
      <c r="FP32" s="277"/>
      <c r="FQ32" s="277"/>
      <c r="FR32" s="277"/>
      <c r="FS32" s="277"/>
      <c r="FT32" s="277"/>
      <c r="FU32" s="277"/>
      <c r="FV32" s="277"/>
      <c r="FW32" s="277"/>
      <c r="FX32" s="277"/>
      <c r="FY32" s="277"/>
      <c r="FZ32" s="277"/>
      <c r="GA32" s="277"/>
      <c r="GB32" s="277"/>
      <c r="GC32" s="277"/>
      <c r="GD32" s="277"/>
      <c r="GE32" s="277"/>
      <c r="GF32" s="277"/>
      <c r="GG32" s="277"/>
      <c r="GH32" s="277"/>
      <c r="GI32" s="277"/>
      <c r="GJ32" s="277"/>
      <c r="GK32" s="277"/>
      <c r="GL32" s="277"/>
      <c r="GM32" s="277"/>
      <c r="GN32" s="277"/>
      <c r="GO32" s="277"/>
      <c r="GP32" s="277"/>
      <c r="GQ32" s="277"/>
      <c r="GR32" s="277"/>
      <c r="GS32" s="277"/>
      <c r="GT32" s="277"/>
      <c r="GU32" s="277"/>
      <c r="GV32" s="277"/>
      <c r="GW32" s="277"/>
      <c r="GX32" s="277"/>
      <c r="GY32" s="277"/>
      <c r="GZ32" s="277"/>
      <c r="HA32" s="277"/>
      <c r="HB32" s="277"/>
      <c r="HC32" s="277"/>
      <c r="HD32" s="277"/>
      <c r="HE32" s="277"/>
      <c r="HF32" s="277"/>
      <c r="HG32" s="277"/>
      <c r="HH32" s="277"/>
      <c r="HI32" s="277"/>
      <c r="HJ32" s="277"/>
      <c r="HK32" s="277"/>
      <c r="HL32" s="277"/>
      <c r="HM32" s="277"/>
      <c r="HN32" s="277"/>
      <c r="HO32" s="277"/>
      <c r="HP32" s="277"/>
      <c r="HQ32" s="277"/>
      <c r="HR32" s="277"/>
      <c r="HS32" s="277"/>
      <c r="HT32" s="277"/>
      <c r="HU32" s="277"/>
      <c r="HV32" s="277"/>
      <c r="HW32" s="277"/>
      <c r="HX32" s="277"/>
      <c r="HY32" s="277"/>
      <c r="HZ32" s="277"/>
      <c r="IA32" s="277"/>
      <c r="IB32" s="277"/>
      <c r="IC32" s="277"/>
      <c r="ID32" s="277"/>
      <c r="IE32" s="277"/>
      <c r="IF32" s="277"/>
      <c r="IG32" s="277"/>
      <c r="IH32" s="277"/>
      <c r="II32" s="277"/>
      <c r="IJ32" s="277"/>
      <c r="IK32" s="277"/>
      <c r="IL32" s="277"/>
      <c r="IM32" s="277"/>
      <c r="IN32" s="277"/>
      <c r="IO32" s="277"/>
      <c r="IP32" s="277"/>
      <c r="IQ32" s="277"/>
      <c r="IR32" s="277"/>
      <c r="IS32" s="277"/>
      <c r="IT32" s="277"/>
      <c r="IU32" s="277"/>
      <c r="IV32" s="277"/>
      <c r="IW32" s="277"/>
      <c r="IX32" s="277"/>
      <c r="IY32" s="277"/>
      <c r="IZ32" s="277"/>
      <c r="JA32" s="277"/>
      <c r="JB32" s="277"/>
      <c r="JC32" s="277"/>
      <c r="JD32" s="277"/>
      <c r="JE32" s="277"/>
      <c r="JF32" s="277"/>
      <c r="JG32" s="277"/>
      <c r="JH32" s="277"/>
      <c r="JI32" s="277"/>
      <c r="JJ32" s="277"/>
      <c r="JK32" s="277"/>
      <c r="JL32" s="277"/>
      <c r="JM32" s="277"/>
      <c r="JN32" s="277"/>
      <c r="JO32" s="277"/>
      <c r="JP32" s="277"/>
      <c r="JQ32" s="277"/>
      <c r="JR32" s="277"/>
      <c r="JS32" s="277"/>
      <c r="JT32" s="277"/>
      <c r="JU32" s="277"/>
      <c r="JV32" s="277"/>
      <c r="JW32" s="277"/>
      <c r="JX32" s="277"/>
      <c r="JY32" s="277"/>
      <c r="JZ32" s="277"/>
      <c r="KA32" s="277"/>
      <c r="KB32" s="277"/>
      <c r="KC32" s="277"/>
      <c r="KD32" s="277"/>
      <c r="KE32" s="277"/>
      <c r="KF32" s="277"/>
      <c r="KG32" s="277"/>
      <c r="KH32" s="277"/>
      <c r="KI32" s="277"/>
      <c r="KJ32" s="277"/>
      <c r="KK32" s="277"/>
      <c r="KL32" s="277"/>
      <c r="KM32" s="277"/>
      <c r="KN32" s="277"/>
      <c r="KO32" s="277"/>
      <c r="KP32" s="277"/>
      <c r="KQ32" s="277"/>
      <c r="KR32" s="277"/>
      <c r="KS32" s="277"/>
      <c r="KT32" s="277"/>
      <c r="KU32" s="277"/>
      <c r="KV32" s="277"/>
      <c r="KW32" s="277"/>
    </row>
    <row r="33" spans="1:309">
      <c r="B33" s="1088" t="str">
        <f ca="1">IF(B32&lt;&gt;'Smmy Sum'!B39,"Error","")</f>
        <v/>
      </c>
      <c r="C33" s="1088"/>
      <c r="D33" s="1088" t="str">
        <f>IF(D32&lt;&gt;'SWM FGD'!$M50,"Error","")</f>
        <v/>
      </c>
      <c r="E33" s="1088"/>
      <c r="F33" s="1088" t="str">
        <f>IF(F32&lt;&gt;'MBG FGD'!$M50,"Error","")</f>
        <v/>
      </c>
      <c r="G33" s="1088"/>
      <c r="H33" s="1088" t="str">
        <f>IF(H32&lt;&gt;'HSH FGD'!$M50,"Error","")</f>
        <v/>
      </c>
      <c r="I33" s="1088"/>
      <c r="J33" s="1088" t="str">
        <f>IF(J32&lt;&gt;'HSSA FGD'!$M50,"Error","")</f>
        <v/>
      </c>
      <c r="K33" s="1088"/>
      <c r="L33" s="1088" t="str">
        <f>IF(L32&lt;&gt;'MDA FGD'!$M50,"Error","")</f>
        <v/>
      </c>
      <c r="M33" s="1088" t="str">
        <f>IF(M32&lt;&gt;'MDA Sum'!$C26,"Error","")</f>
        <v/>
      </c>
      <c r="N33" s="1088" t="str">
        <f>IF(N32&lt;&gt;'THC FGD'!$M50,"Error","")</f>
        <v/>
      </c>
      <c r="O33" s="1088" t="str">
        <f>IF(O32&lt;&gt;'THC Sum'!$C34,"Error","")</f>
        <v/>
      </c>
      <c r="P33" s="1088" t="str">
        <f>IF(P32&lt;&gt;'TAMHSC FGD'!$M50,"Error","")</f>
        <v/>
      </c>
      <c r="Q33" s="1088"/>
      <c r="R33" s="1088" t="str">
        <f>IF(R32&lt;&gt;'UNTHSC1 FGD'!$M50,"Error","")</f>
        <v/>
      </c>
      <c r="S33" s="1088"/>
      <c r="T33" s="1088" t="str">
        <f>IF(T32&lt;&gt;'TTUHSC FGD'!$M50,"Error","")</f>
        <v/>
      </c>
      <c r="U33" s="1088"/>
      <c r="V33" s="1088" t="str">
        <f>IF(V32&lt;&gt;'TTUHSCEP FGD'!$M50,"Error","")</f>
        <v/>
      </c>
      <c r="W33" s="1088"/>
      <c r="X33" s="1088" t="str">
        <f>IF(X32&lt;&gt;'AUSM FGD'!$M50,"Error","")</f>
        <v/>
      </c>
      <c r="Y33" s="1088"/>
      <c r="Z33" s="1088" t="str">
        <f>IF(Z32&lt;&gt;'RGVM FGD'!$M50,"Error","")</f>
        <v/>
      </c>
      <c r="AA33" s="1088"/>
      <c r="AB33" s="1088" t="str">
        <f>IF(AB32&lt;&gt;'UHM FGD'!$M50,"Error","")</f>
        <v/>
      </c>
      <c r="AC33" s="1088"/>
    </row>
    <row r="34" spans="1:309">
      <c r="A34" s="279" t="s">
        <v>164</v>
      </c>
      <c r="B34" s="1088"/>
      <c r="C34" s="1088"/>
      <c r="D34" s="1088"/>
      <c r="E34" s="1088"/>
      <c r="F34" s="1088"/>
      <c r="G34" s="1088"/>
      <c r="H34" s="1088"/>
      <c r="I34" s="1088"/>
      <c r="J34" s="1088"/>
      <c r="K34" s="1088"/>
      <c r="L34" s="1088"/>
      <c r="M34" s="1088"/>
      <c r="N34" s="1088"/>
      <c r="O34" s="1088"/>
      <c r="P34" s="1088"/>
      <c r="Q34" s="1088"/>
      <c r="R34" s="1088"/>
      <c r="S34" s="1088"/>
      <c r="T34" s="1088"/>
      <c r="U34" s="1088"/>
      <c r="V34" s="1088"/>
      <c r="W34" s="1088"/>
      <c r="X34" s="1088"/>
      <c r="Y34" s="1088"/>
      <c r="Z34" s="1088"/>
      <c r="AA34" s="1088"/>
      <c r="AB34" s="1088"/>
      <c r="AC34" s="1088"/>
    </row>
    <row r="35" spans="1:309" s="1013" customFormat="1">
      <c r="A35" s="1013" t="s">
        <v>200</v>
      </c>
      <c r="B35" s="1013">
        <f ca="1">SUMIF(D$77:AC$77,$B$77,D35:AA35)</f>
        <v>8737119024</v>
      </c>
      <c r="C35" s="937"/>
      <c r="D35" s="949">
        <f>'SWM FGD'!$M53</f>
        <v>2096225524</v>
      </c>
      <c r="E35" s="937"/>
      <c r="F35" s="949">
        <f>'MBG FGD'!$M53</f>
        <v>1538729525</v>
      </c>
      <c r="G35" s="937"/>
      <c r="H35" s="949">
        <f>'HSH FGD'!$M53</f>
        <v>96837661</v>
      </c>
      <c r="I35" s="937"/>
      <c r="J35" s="949">
        <f>'HSSA FGD'!$M53</f>
        <v>0</v>
      </c>
      <c r="K35" s="937"/>
      <c r="L35" s="949">
        <f>'MDA FGD'!$M53</f>
        <v>4849724589</v>
      </c>
      <c r="M35" s="937"/>
      <c r="N35" s="949">
        <f>'THC FGD'!$M53</f>
        <v>154142258</v>
      </c>
      <c r="O35" s="937"/>
      <c r="P35" s="949">
        <f>'TAMHSC FGD'!$M53</f>
        <v>0</v>
      </c>
      <c r="Q35" s="937"/>
      <c r="R35" s="949">
        <f>'UNTHSC1 FGD'!$M53</f>
        <v>0</v>
      </c>
      <c r="S35" s="937"/>
      <c r="T35" s="949">
        <f>'TTUHSC FGD'!$M53</f>
        <v>0</v>
      </c>
      <c r="U35" s="937"/>
      <c r="V35" s="949">
        <f>'TTUHSCEP FGD'!$M53</f>
        <v>0</v>
      </c>
      <c r="W35" s="937"/>
      <c r="X35" s="949">
        <f>'AUSM FGD'!$M53</f>
        <v>1459467</v>
      </c>
      <c r="Y35" s="937"/>
      <c r="Z35" s="949">
        <f>'RGVM FGD'!$M53</f>
        <v>0</v>
      </c>
      <c r="AA35" s="937"/>
      <c r="AB35" s="949">
        <f>'UHM FGD'!$M53</f>
        <v>0</v>
      </c>
      <c r="AC35" s="937"/>
      <c r="AD35" s="277"/>
      <c r="AE35" s="277"/>
      <c r="AF35" s="277"/>
      <c r="AG35" s="277"/>
      <c r="AH35" s="277"/>
      <c r="AI35" s="277"/>
      <c r="AJ35" s="277"/>
      <c r="AK35" s="277"/>
      <c r="AL35" s="277"/>
      <c r="AM35" s="277"/>
      <c r="AN35" s="277"/>
      <c r="AO35" s="277"/>
      <c r="AP35" s="277"/>
      <c r="AQ35" s="277"/>
      <c r="AR35" s="277"/>
      <c r="AS35" s="277"/>
      <c r="AT35" s="277"/>
      <c r="AU35" s="277"/>
      <c r="AV35" s="277"/>
      <c r="AW35" s="277"/>
      <c r="AX35" s="277"/>
      <c r="AY35" s="277"/>
      <c r="AZ35" s="277"/>
      <c r="BA35" s="277"/>
      <c r="BB35" s="277"/>
      <c r="BC35" s="277"/>
      <c r="BD35" s="277"/>
      <c r="BE35" s="277"/>
      <c r="BF35" s="277"/>
      <c r="BG35" s="277"/>
      <c r="BH35" s="277"/>
      <c r="BI35" s="277"/>
      <c r="BJ35" s="277"/>
      <c r="BK35" s="277"/>
      <c r="BL35" s="277"/>
      <c r="BM35" s="277"/>
      <c r="BN35" s="277"/>
      <c r="BO35" s="277"/>
      <c r="BP35" s="277"/>
      <c r="BQ35" s="277"/>
      <c r="BR35" s="277"/>
      <c r="BS35" s="277"/>
      <c r="BT35" s="277"/>
      <c r="BU35" s="277"/>
      <c r="BV35" s="277"/>
      <c r="BW35" s="277"/>
      <c r="BX35" s="277"/>
      <c r="BY35" s="277"/>
      <c r="BZ35" s="277"/>
      <c r="CA35" s="277"/>
      <c r="CB35" s="277"/>
      <c r="CC35" s="277"/>
      <c r="CD35" s="277"/>
      <c r="CE35" s="277"/>
      <c r="CF35" s="277"/>
      <c r="CG35" s="277"/>
      <c r="CH35" s="277"/>
      <c r="CI35" s="277"/>
      <c r="CJ35" s="277"/>
      <c r="CK35" s="277"/>
      <c r="CL35" s="277"/>
      <c r="CM35" s="277"/>
      <c r="CN35" s="277"/>
      <c r="CO35" s="277"/>
      <c r="CP35" s="277"/>
      <c r="CQ35" s="277"/>
      <c r="CR35" s="277"/>
      <c r="CS35" s="277"/>
      <c r="CT35" s="277"/>
      <c r="CU35" s="277"/>
      <c r="CV35" s="277"/>
      <c r="CW35" s="277"/>
      <c r="CX35" s="277"/>
      <c r="CY35" s="277"/>
      <c r="CZ35" s="277"/>
      <c r="DA35" s="277"/>
      <c r="DB35" s="277"/>
      <c r="DC35" s="277"/>
      <c r="DD35" s="277"/>
      <c r="DE35" s="277"/>
      <c r="DF35" s="277"/>
      <c r="DG35" s="277"/>
      <c r="DH35" s="277"/>
      <c r="DI35" s="277"/>
      <c r="DJ35" s="277"/>
      <c r="DK35" s="277"/>
      <c r="DL35" s="277"/>
      <c r="DM35" s="277"/>
      <c r="DN35" s="277"/>
      <c r="DO35" s="277"/>
      <c r="DP35" s="277"/>
      <c r="DQ35" s="277"/>
      <c r="DR35" s="277"/>
      <c r="DS35" s="277"/>
      <c r="DT35" s="277"/>
      <c r="DU35" s="277"/>
      <c r="DV35" s="277"/>
      <c r="DW35" s="277"/>
      <c r="DX35" s="277"/>
      <c r="DY35" s="277"/>
      <c r="DZ35" s="277"/>
      <c r="EA35" s="277"/>
      <c r="EB35" s="277"/>
      <c r="EC35" s="277"/>
      <c r="ED35" s="277"/>
      <c r="EE35" s="277"/>
      <c r="EF35" s="277"/>
      <c r="EG35" s="277"/>
      <c r="EH35" s="277"/>
      <c r="EI35" s="277"/>
      <c r="EJ35" s="277"/>
      <c r="EK35" s="277"/>
      <c r="EL35" s="277"/>
      <c r="EM35" s="277"/>
      <c r="EN35" s="277"/>
      <c r="EO35" s="277"/>
      <c r="EP35" s="277"/>
      <c r="EQ35" s="277"/>
      <c r="ER35" s="277"/>
      <c r="ES35" s="277"/>
      <c r="ET35" s="277"/>
      <c r="EU35" s="277"/>
      <c r="EV35" s="277"/>
      <c r="EW35" s="277"/>
      <c r="EX35" s="277"/>
      <c r="EY35" s="277"/>
      <c r="EZ35" s="277"/>
      <c r="FA35" s="277"/>
      <c r="FB35" s="277"/>
      <c r="FC35" s="277"/>
      <c r="FD35" s="277"/>
      <c r="FE35" s="277"/>
      <c r="FF35" s="277"/>
      <c r="FG35" s="277"/>
      <c r="FH35" s="277"/>
      <c r="FI35" s="277"/>
      <c r="FJ35" s="277"/>
      <c r="FK35" s="277"/>
      <c r="FL35" s="277"/>
      <c r="FM35" s="277"/>
      <c r="FN35" s="277"/>
      <c r="FO35" s="277"/>
      <c r="FP35" s="277"/>
      <c r="FQ35" s="277"/>
      <c r="FR35" s="277"/>
      <c r="FS35" s="277"/>
      <c r="FT35" s="277"/>
      <c r="FU35" s="277"/>
      <c r="FV35" s="277"/>
      <c r="FW35" s="277"/>
      <c r="FX35" s="277"/>
      <c r="FY35" s="277"/>
      <c r="FZ35" s="277"/>
      <c r="GA35" s="277"/>
      <c r="GB35" s="277"/>
      <c r="GC35" s="277"/>
      <c r="GD35" s="277"/>
      <c r="GE35" s="277"/>
      <c r="GF35" s="277"/>
      <c r="GG35" s="277"/>
      <c r="GH35" s="277"/>
      <c r="GI35" s="277"/>
      <c r="GJ35" s="277"/>
      <c r="GK35" s="277"/>
      <c r="GL35" s="277"/>
      <c r="GM35" s="277"/>
      <c r="GN35" s="277"/>
      <c r="GO35" s="277"/>
      <c r="GP35" s="277"/>
      <c r="GQ35" s="277"/>
      <c r="GR35" s="277"/>
      <c r="GS35" s="277"/>
      <c r="GT35" s="277"/>
      <c r="GU35" s="277"/>
      <c r="GV35" s="277"/>
      <c r="GW35" s="277"/>
      <c r="GX35" s="277"/>
      <c r="GY35" s="277"/>
      <c r="GZ35" s="277"/>
      <c r="HA35" s="277"/>
      <c r="HB35" s="277"/>
      <c r="HC35" s="277"/>
      <c r="HD35" s="277"/>
      <c r="HE35" s="277"/>
      <c r="HF35" s="277"/>
      <c r="HG35" s="277"/>
      <c r="HH35" s="277"/>
      <c r="HI35" s="277"/>
      <c r="HJ35" s="277"/>
      <c r="HK35" s="277"/>
      <c r="HL35" s="277"/>
      <c r="HM35" s="277"/>
      <c r="HN35" s="277"/>
      <c r="HO35" s="277"/>
      <c r="HP35" s="277"/>
      <c r="HQ35" s="277"/>
      <c r="HR35" s="277"/>
      <c r="HS35" s="277"/>
      <c r="HT35" s="277"/>
      <c r="HU35" s="277"/>
      <c r="HV35" s="277"/>
      <c r="HW35" s="277"/>
      <c r="HX35" s="277"/>
      <c r="HY35" s="277"/>
      <c r="HZ35" s="277"/>
      <c r="IA35" s="277"/>
      <c r="IB35" s="277"/>
      <c r="IC35" s="277"/>
      <c r="ID35" s="277"/>
      <c r="IE35" s="277"/>
      <c r="IF35" s="277"/>
      <c r="IG35" s="277"/>
      <c r="IH35" s="277"/>
      <c r="II35" s="277"/>
      <c r="IJ35" s="277"/>
      <c r="IK35" s="277"/>
      <c r="IL35" s="277"/>
      <c r="IM35" s="277"/>
      <c r="IN35" s="277"/>
      <c r="IO35" s="277"/>
      <c r="IP35" s="277"/>
      <c r="IQ35" s="277"/>
      <c r="IR35" s="277"/>
      <c r="IS35" s="277"/>
      <c r="IT35" s="277"/>
      <c r="IU35" s="277"/>
      <c r="IV35" s="277"/>
      <c r="IW35" s="277"/>
      <c r="IX35" s="277"/>
      <c r="IY35" s="277"/>
      <c r="IZ35" s="277"/>
      <c r="JA35" s="277"/>
      <c r="JB35" s="277"/>
      <c r="JC35" s="277"/>
      <c r="JD35" s="277"/>
      <c r="JE35" s="277"/>
      <c r="JF35" s="277"/>
      <c r="JG35" s="277"/>
      <c r="JH35" s="277"/>
      <c r="JI35" s="277"/>
      <c r="JJ35" s="277"/>
      <c r="JK35" s="277"/>
      <c r="JL35" s="277"/>
      <c r="JM35" s="277"/>
      <c r="JN35" s="277"/>
      <c r="JO35" s="277"/>
      <c r="JP35" s="277"/>
      <c r="JQ35" s="277"/>
      <c r="JR35" s="277"/>
      <c r="JS35" s="277"/>
      <c r="JT35" s="277"/>
      <c r="JU35" s="277"/>
      <c r="JV35" s="277"/>
      <c r="JW35" s="277"/>
      <c r="JX35" s="277"/>
      <c r="JY35" s="277"/>
      <c r="JZ35" s="277"/>
      <c r="KA35" s="277"/>
      <c r="KB35" s="277"/>
      <c r="KC35" s="277"/>
      <c r="KD35" s="277"/>
      <c r="KE35" s="277"/>
      <c r="KF35" s="277"/>
      <c r="KG35" s="277"/>
      <c r="KH35" s="277"/>
      <c r="KI35" s="277"/>
      <c r="KJ35" s="277"/>
      <c r="KK35" s="277"/>
      <c r="KL35" s="277"/>
      <c r="KM35" s="277"/>
      <c r="KN35" s="277"/>
      <c r="KO35" s="277"/>
      <c r="KP35" s="277"/>
      <c r="KQ35" s="277"/>
      <c r="KR35" s="277"/>
      <c r="KS35" s="277"/>
      <c r="KT35" s="277"/>
      <c r="KU35" s="277"/>
      <c r="KV35" s="277"/>
      <c r="KW35" s="277"/>
    </row>
    <row r="36" spans="1:309">
      <c r="B36" s="1088" t="str">
        <f ca="1">IF(B35&lt;&gt;'Smmy Sum'!B42,"Error","")</f>
        <v/>
      </c>
      <c r="C36" s="1088"/>
      <c r="D36" s="1088" t="str">
        <f>IF(D35&lt;&gt;'SWM FGD'!$M53,"Error","")</f>
        <v/>
      </c>
      <c r="E36" s="1088"/>
      <c r="F36" s="1088" t="str">
        <f>IF(F35&lt;&gt;'MBG FGD'!$M53,"Error","")</f>
        <v/>
      </c>
      <c r="G36" s="1088"/>
      <c r="H36" s="1088" t="str">
        <f>IF(H35&lt;&gt;'HSH FGD'!$M53,"Error","")</f>
        <v/>
      </c>
      <c r="I36" s="1088"/>
      <c r="J36" s="1088" t="str">
        <f>IF(J35&lt;&gt;'HSSA FGD'!$M53,"Error","")</f>
        <v/>
      </c>
      <c r="K36" s="1088" t="str">
        <f>IF(K35&lt;&gt;'HSSA Sum'!$C29,"Error","")</f>
        <v/>
      </c>
      <c r="L36" s="1088" t="str">
        <f>IF(L35&lt;&gt;'MDA FGD'!$M53,"Error","")</f>
        <v/>
      </c>
      <c r="M36" s="1088" t="str">
        <f>IF(M35&lt;&gt;'MDA Sum'!$C29,"Error","")</f>
        <v/>
      </c>
      <c r="N36" s="1088" t="str">
        <f>IF(N35&lt;&gt;'THC FGD'!$M53,"Error","")</f>
        <v/>
      </c>
      <c r="O36" s="1088" t="str">
        <f>IF(O35&lt;&gt;'THC Sum'!$C37,"Error","")</f>
        <v/>
      </c>
      <c r="P36" s="1088" t="str">
        <f>IF(P35&lt;&gt;'TAMHSC FGD'!$M53,"Error","")</f>
        <v/>
      </c>
      <c r="Q36" s="1088"/>
      <c r="R36" s="1088" t="str">
        <f>IF(R35&lt;&gt;'UNTHSC1 FGD'!$M53,"Error","")</f>
        <v/>
      </c>
      <c r="S36" s="1088"/>
      <c r="T36" s="1088" t="str">
        <f>IF(T35&lt;&gt;'TTUHSC FGD'!$M53,"Error","")</f>
        <v/>
      </c>
      <c r="U36" s="1088"/>
      <c r="V36" s="1088" t="str">
        <f>IF(V35&lt;&gt;'TTUHSCEP FGD'!$M53,"Error","")</f>
        <v/>
      </c>
      <c r="W36" s="1088"/>
      <c r="X36" s="1088" t="str">
        <f>IF(X35&lt;&gt;'AUSM FGD'!$M53,"Error","")</f>
        <v/>
      </c>
      <c r="Y36" s="1088"/>
      <c r="Z36" s="1088" t="str">
        <f>IF(Z35&lt;&gt;'RGVM FGD'!$M53,"Error","")</f>
        <v/>
      </c>
      <c r="AA36" s="1088"/>
      <c r="AB36" s="1088" t="str">
        <f>IF(AB35&lt;&gt;'UHM FGD'!$M53,"Error","")</f>
        <v/>
      </c>
      <c r="AC36" s="1088"/>
    </row>
    <row r="37" spans="1:309">
      <c r="A37" s="279" t="s">
        <v>171</v>
      </c>
      <c r="B37" s="982"/>
      <c r="D37" s="982"/>
      <c r="F37" s="982"/>
      <c r="H37" s="982"/>
      <c r="J37" s="982"/>
      <c r="L37" s="982"/>
      <c r="N37" s="982"/>
      <c r="P37" s="982"/>
      <c r="R37" s="982"/>
      <c r="T37" s="982"/>
      <c r="V37" s="982"/>
      <c r="X37" s="982"/>
      <c r="Z37" s="982"/>
      <c r="AB37" s="982"/>
    </row>
    <row r="38" spans="1:309">
      <c r="A38" s="277" t="s">
        <v>172</v>
      </c>
      <c r="B38" s="501">
        <f t="shared" ref="B38:B43" ca="1" si="27">SUMIF(D$77:AC$77,$B$77,D38:AA38)</f>
        <v>980039776</v>
      </c>
      <c r="C38" s="501"/>
      <c r="D38" s="501">
        <f>'SWM FGD'!$M56</f>
        <v>264650983</v>
      </c>
      <c r="E38" s="501"/>
      <c r="F38" s="501">
        <f>'MBG FGD'!$M56</f>
        <v>70672961</v>
      </c>
      <c r="G38" s="501"/>
      <c r="H38" s="501">
        <f>'HSH FGD'!$M56</f>
        <v>84160089</v>
      </c>
      <c r="I38" s="501"/>
      <c r="J38" s="501">
        <f>'HSSA FGD'!$M56</f>
        <v>55696429</v>
      </c>
      <c r="K38" s="501"/>
      <c r="L38" s="501">
        <f>'MDA FGD'!$M56</f>
        <v>459967078</v>
      </c>
      <c r="M38" s="501"/>
      <c r="N38" s="501">
        <f>'THC FGD'!$M56</f>
        <v>4332367</v>
      </c>
      <c r="O38" s="501"/>
      <c r="P38" s="501">
        <f>'TAMHSC FGD'!$M56</f>
        <v>1538319</v>
      </c>
      <c r="Q38" s="501"/>
      <c r="R38" s="501">
        <f>'UNTHSC1 FGD'!$M56</f>
        <v>16617179</v>
      </c>
      <c r="S38" s="501"/>
      <c r="T38" s="501">
        <f>'TTUHSC FGD'!$M56</f>
        <v>13250888</v>
      </c>
      <c r="U38" s="501"/>
      <c r="V38" s="501">
        <f>'TTUHSCEP FGD'!$M56</f>
        <v>5714445</v>
      </c>
      <c r="W38" s="501"/>
      <c r="X38" s="501">
        <f>'AUSM FGD'!$M56</f>
        <v>2051180</v>
      </c>
      <c r="Y38" s="501"/>
      <c r="Z38" s="501">
        <f>'RGVM FGD'!$M56</f>
        <v>1387858</v>
      </c>
      <c r="AA38" s="501"/>
      <c r="AB38" s="501">
        <f>'UHM FGD'!$M56</f>
        <v>0</v>
      </c>
      <c r="AC38" s="501"/>
    </row>
    <row r="39" spans="1:309">
      <c r="A39" s="277" t="s">
        <v>173</v>
      </c>
      <c r="B39" s="921">
        <f t="shared" ca="1" si="27"/>
        <v>1239221600</v>
      </c>
      <c r="C39" s="669"/>
      <c r="D39" s="921">
        <f>'SWM FGD'!$M57</f>
        <v>152576008</v>
      </c>
      <c r="E39" s="669"/>
      <c r="F39" s="921">
        <f>'MBG FGD'!$M57</f>
        <v>740330</v>
      </c>
      <c r="G39" s="669"/>
      <c r="H39" s="921">
        <f>'HSH FGD'!$M57</f>
        <v>633507207</v>
      </c>
      <c r="I39" s="669"/>
      <c r="J39" s="921">
        <f>'HSSA FGD'!$M57</f>
        <v>216812826</v>
      </c>
      <c r="K39" s="669"/>
      <c r="L39" s="921">
        <f>'MDA FGD'!$M57</f>
        <v>0</v>
      </c>
      <c r="M39" s="669"/>
      <c r="N39" s="921">
        <f>'THC FGD'!$M57</f>
        <v>0</v>
      </c>
      <c r="O39" s="669"/>
      <c r="P39" s="921">
        <f>'TAMHSC FGD'!$M57</f>
        <v>0</v>
      </c>
      <c r="Q39" s="669"/>
      <c r="R39" s="921">
        <f>'UNTHSC1 FGD'!$M57</f>
        <v>1046856</v>
      </c>
      <c r="S39" s="669"/>
      <c r="T39" s="921">
        <f>'TTUHSC FGD'!$M57</f>
        <v>97864959</v>
      </c>
      <c r="U39" s="669"/>
      <c r="V39" s="921">
        <f>'TTUHSCEP FGD'!$M57</f>
        <v>69313252</v>
      </c>
      <c r="W39" s="669"/>
      <c r="X39" s="921">
        <f>'AUSM FGD'!$M57</f>
        <v>35115904</v>
      </c>
      <c r="Y39" s="669"/>
      <c r="Z39" s="921">
        <f>'RGVM FGD'!$M57</f>
        <v>32007401</v>
      </c>
      <c r="AA39" s="669"/>
      <c r="AB39" s="921">
        <f>'UHM FGD'!$M57</f>
        <v>236857</v>
      </c>
      <c r="AC39" s="669"/>
    </row>
    <row r="40" spans="1:309">
      <c r="A40" s="277" t="s">
        <v>174</v>
      </c>
      <c r="B40" s="921">
        <f t="shared" ca="1" si="27"/>
        <v>1562161069</v>
      </c>
      <c r="C40" s="669"/>
      <c r="D40" s="921">
        <f>'SWM FGD'!$M58</f>
        <v>482488023</v>
      </c>
      <c r="E40" s="669"/>
      <c r="F40" s="921">
        <f>'MBG FGD'!$M58</f>
        <v>128646634</v>
      </c>
      <c r="G40" s="669"/>
      <c r="H40" s="921">
        <f>'HSH FGD'!$M58</f>
        <v>198827297</v>
      </c>
      <c r="I40" s="669"/>
      <c r="J40" s="921">
        <f>'HSSA FGD'!$M58</f>
        <v>47825441</v>
      </c>
      <c r="K40" s="669"/>
      <c r="L40" s="921">
        <f>'MDA FGD'!$M58</f>
        <v>372373856</v>
      </c>
      <c r="M40" s="669"/>
      <c r="N40" s="921">
        <f>'THC FGD'!$M58</f>
        <v>76202258</v>
      </c>
      <c r="O40" s="669"/>
      <c r="P40" s="921">
        <f>'TAMHSC FGD'!$M58</f>
        <v>13401216</v>
      </c>
      <c r="Q40" s="669"/>
      <c r="R40" s="921">
        <f>'UNTHSC1 FGD'!$M58</f>
        <v>3951843</v>
      </c>
      <c r="S40" s="669"/>
      <c r="T40" s="921">
        <f>'TTUHSC FGD'!$M58</f>
        <v>73861674</v>
      </c>
      <c r="U40" s="669"/>
      <c r="V40" s="921">
        <f>'TTUHSCEP FGD'!$M58</f>
        <v>30853584</v>
      </c>
      <c r="W40" s="669"/>
      <c r="X40" s="921">
        <f>'AUSM FGD'!$M58</f>
        <v>120581706</v>
      </c>
      <c r="Y40" s="669"/>
      <c r="Z40" s="921">
        <f>'RGVM FGD'!$M58</f>
        <v>9942824</v>
      </c>
      <c r="AA40" s="669"/>
      <c r="AB40" s="921">
        <f>'UHM FGD'!$M58</f>
        <v>3204713</v>
      </c>
      <c r="AC40" s="669"/>
    </row>
    <row r="41" spans="1:309">
      <c r="A41" s="277" t="s">
        <v>175</v>
      </c>
      <c r="B41" s="921">
        <f t="shared" ca="1" si="27"/>
        <v>243471837</v>
      </c>
      <c r="C41" s="669"/>
      <c r="D41" s="921">
        <f>'SWM FGD'!$M59</f>
        <v>12254959</v>
      </c>
      <c r="E41" s="669"/>
      <c r="F41" s="921">
        <f>'MBG FGD'!$M59</f>
        <v>11810769</v>
      </c>
      <c r="G41" s="669"/>
      <c r="H41" s="921">
        <f>'HSH FGD'!$M59</f>
        <v>41075039</v>
      </c>
      <c r="I41" s="669"/>
      <c r="J41" s="921">
        <f>'HSSA FGD'!$M59</f>
        <v>53892737</v>
      </c>
      <c r="K41" s="669"/>
      <c r="L41" s="921">
        <f>'MDA FGD'!$M59</f>
        <v>1604852</v>
      </c>
      <c r="M41" s="669"/>
      <c r="N41" s="921">
        <f>'THC FGD'!$M59</f>
        <v>7310391</v>
      </c>
      <c r="O41" s="669"/>
      <c r="P41" s="921">
        <f>'TAMHSC FGD'!$M59</f>
        <v>43167057</v>
      </c>
      <c r="Q41" s="669"/>
      <c r="R41" s="921">
        <f>'UNTHSC1 FGD'!$M59</f>
        <v>52490499</v>
      </c>
      <c r="S41" s="669"/>
      <c r="T41" s="921">
        <f>'TTUHSC FGD'!$M59</f>
        <v>13010680</v>
      </c>
      <c r="U41" s="669"/>
      <c r="V41" s="921">
        <f>'TTUHSCEP FGD'!$M59</f>
        <v>358872</v>
      </c>
      <c r="W41" s="669"/>
      <c r="X41" s="921">
        <f>'AUSM FGD'!$M59</f>
        <v>3868656</v>
      </c>
      <c r="Y41" s="669"/>
      <c r="Z41" s="921">
        <f>'RGVM FGD'!$M59</f>
        <v>1524703</v>
      </c>
      <c r="AA41" s="669"/>
      <c r="AB41" s="921">
        <f>'UHM FGD'!$M59</f>
        <v>1102623</v>
      </c>
      <c r="AC41" s="669"/>
    </row>
    <row r="42" spans="1:309">
      <c r="A42" s="277" t="s">
        <v>471</v>
      </c>
      <c r="B42" s="632">
        <f t="shared" ca="1" si="27"/>
        <v>109585127</v>
      </c>
      <c r="C42" s="669"/>
      <c r="D42" s="632">
        <f>'SWM FGD'!$M60</f>
        <v>27911529</v>
      </c>
      <c r="E42" s="669"/>
      <c r="F42" s="632">
        <f>'MBG FGD'!$M60</f>
        <v>13321025</v>
      </c>
      <c r="G42" s="669"/>
      <c r="H42" s="632">
        <f>'HSH FGD'!$M60</f>
        <v>20906789</v>
      </c>
      <c r="I42" s="669"/>
      <c r="J42" s="632">
        <f>'HSSA FGD'!$M60</f>
        <v>5080625</v>
      </c>
      <c r="K42" s="669"/>
      <c r="L42" s="632">
        <f>'MDA FGD'!$M60</f>
        <v>34980243</v>
      </c>
      <c r="M42" s="669"/>
      <c r="N42" s="632">
        <f>'THC FGD'!$M60</f>
        <v>136714</v>
      </c>
      <c r="O42" s="669"/>
      <c r="P42" s="632">
        <f>'TAMHSC FGD'!$M60</f>
        <v>2067081</v>
      </c>
      <c r="Q42" s="669"/>
      <c r="R42" s="632">
        <f>'UNTHSC1 FGD'!$M60</f>
        <v>695653</v>
      </c>
      <c r="S42" s="669"/>
      <c r="T42" s="632">
        <f>'TTUHSC FGD'!$M60</f>
        <v>938468</v>
      </c>
      <c r="U42" s="669"/>
      <c r="V42" s="632">
        <f>'TTUHSCEP FGD'!$M60</f>
        <v>290446</v>
      </c>
      <c r="W42" s="669"/>
      <c r="X42" s="632">
        <f>'AUSM FGD'!$M60</f>
        <v>3148117</v>
      </c>
      <c r="Y42" s="669"/>
      <c r="Z42" s="632">
        <f>'RGVM FGD'!$M60</f>
        <v>108437</v>
      </c>
      <c r="AA42" s="669"/>
      <c r="AB42" s="632">
        <f>'UHM FGD'!$M60</f>
        <v>0</v>
      </c>
      <c r="AC42" s="669"/>
    </row>
    <row r="43" spans="1:309">
      <c r="A43" s="538" t="s">
        <v>177</v>
      </c>
      <c r="B43" s="921">
        <f t="shared" ca="1" si="27"/>
        <v>811675864</v>
      </c>
      <c r="C43" s="669"/>
      <c r="D43" s="921">
        <f>'SWM FGD'!$M61</f>
        <v>270782311</v>
      </c>
      <c r="E43" s="669"/>
      <c r="F43" s="921">
        <f>'MBG FGD'!$M61</f>
        <v>113668409</v>
      </c>
      <c r="G43" s="669"/>
      <c r="H43" s="921">
        <f>'HSH FGD'!$M61</f>
        <v>109261165</v>
      </c>
      <c r="I43" s="669"/>
      <c r="J43" s="921">
        <f>'HSSA FGD'!$M61</f>
        <v>45113321</v>
      </c>
      <c r="K43" s="669"/>
      <c r="L43" s="921">
        <f>'MDA FGD'!$M61</f>
        <v>138147783</v>
      </c>
      <c r="M43" s="669"/>
      <c r="N43" s="921">
        <f>'THC FGD'!$M61</f>
        <v>17518923</v>
      </c>
      <c r="O43" s="669"/>
      <c r="P43" s="921">
        <f>'TAMHSC FGD'!$M61</f>
        <v>7948203</v>
      </c>
      <c r="Q43" s="669"/>
      <c r="R43" s="921">
        <f>'UNTHSC1 FGD'!$M61</f>
        <v>6123295</v>
      </c>
      <c r="S43" s="669"/>
      <c r="T43" s="921">
        <f>'TTUHSC FGD'!$M61</f>
        <v>57938030</v>
      </c>
      <c r="U43" s="669"/>
      <c r="V43" s="921">
        <f>'TTUHSCEP FGD'!$M61</f>
        <v>26393915</v>
      </c>
      <c r="W43" s="669"/>
      <c r="X43" s="921">
        <f>'AUSM FGD'!$M61</f>
        <v>1812956</v>
      </c>
      <c r="Y43" s="669"/>
      <c r="Z43" s="921">
        <f>'RGVM FGD'!$M61</f>
        <v>15902370</v>
      </c>
      <c r="AA43" s="669"/>
      <c r="AB43" s="921">
        <f>'UHM FGD'!$M61</f>
        <v>1065183</v>
      </c>
      <c r="AC43" s="669"/>
      <c r="AD43" s="333"/>
      <c r="AE43" s="333"/>
      <c r="AF43" s="333"/>
      <c r="AG43" s="333"/>
      <c r="AH43" s="333"/>
      <c r="AI43" s="333"/>
      <c r="AJ43" s="333"/>
      <c r="AK43" s="333"/>
      <c r="AL43" s="333"/>
    </row>
    <row r="44" spans="1:309">
      <c r="A44" s="936" t="s">
        <v>155</v>
      </c>
      <c r="B44" s="937">
        <f t="shared" ref="B44:D44" ca="1" si="28">SUM(B38:B43)</f>
        <v>4946155273</v>
      </c>
      <c r="C44" s="937"/>
      <c r="D44" s="937">
        <f t="shared" si="28"/>
        <v>1210663813</v>
      </c>
      <c r="E44" s="937"/>
      <c r="F44" s="937">
        <f t="shared" ref="F44:T44" si="29">SUM(F38:F43)</f>
        <v>338860128</v>
      </c>
      <c r="G44" s="937"/>
      <c r="H44" s="937">
        <f t="shared" si="29"/>
        <v>1087737586</v>
      </c>
      <c r="I44" s="937"/>
      <c r="J44" s="937">
        <f t="shared" si="29"/>
        <v>424421379</v>
      </c>
      <c r="K44" s="937"/>
      <c r="L44" s="937">
        <f t="shared" si="29"/>
        <v>1007073812</v>
      </c>
      <c r="M44" s="937"/>
      <c r="N44" s="937">
        <f t="shared" si="29"/>
        <v>105500653</v>
      </c>
      <c r="O44" s="937"/>
      <c r="P44" s="937">
        <f t="shared" si="29"/>
        <v>68121876</v>
      </c>
      <c r="Q44" s="937"/>
      <c r="R44" s="937">
        <f t="shared" si="29"/>
        <v>80925325</v>
      </c>
      <c r="S44" s="937"/>
      <c r="T44" s="937">
        <f t="shared" si="29"/>
        <v>256864699</v>
      </c>
      <c r="U44" s="937"/>
      <c r="V44" s="937">
        <f t="shared" ref="V44" si="30">SUM(V38:V43)</f>
        <v>132924514</v>
      </c>
      <c r="W44" s="937"/>
      <c r="X44" s="937">
        <f t="shared" ref="X44" si="31">SUM(X38:X43)</f>
        <v>166578519</v>
      </c>
      <c r="Y44" s="937"/>
      <c r="Z44" s="937">
        <f t="shared" ref="Z44" si="32">SUM(Z38:Z43)</f>
        <v>60873593</v>
      </c>
      <c r="AA44" s="937"/>
      <c r="AB44" s="937">
        <f t="shared" ref="AB44" si="33">SUM(AB38:AB43)</f>
        <v>5609376</v>
      </c>
      <c r="AC44" s="937"/>
    </row>
    <row r="45" spans="1:309">
      <c r="A45" s="953" t="s">
        <v>201</v>
      </c>
      <c r="B45" s="955">
        <f ca="1">B15+B26+B29+B44+B32+B35</f>
        <v>20456533424</v>
      </c>
      <c r="C45" s="955"/>
      <c r="D45" s="955">
        <f>D15+D26+D29+D44+D32+D35</f>
        <v>4728963855</v>
      </c>
      <c r="E45" s="955"/>
      <c r="F45" s="955">
        <f>F15+F26+F29+F44+F32+F35</f>
        <v>2757454579</v>
      </c>
      <c r="G45" s="955"/>
      <c r="H45" s="955">
        <f>H15+H26+H29+H44+H32+H35</f>
        <v>2222225432</v>
      </c>
      <c r="I45" s="955"/>
      <c r="J45" s="955">
        <f>J15+J26+J29+J44+J32+J35</f>
        <v>1223055219</v>
      </c>
      <c r="K45" s="955"/>
      <c r="L45" s="955">
        <f>L15+L26+L29+L44+L32+L35</f>
        <v>6873789418</v>
      </c>
      <c r="M45" s="955"/>
      <c r="N45" s="955">
        <f>N15+N26+N29+N44+N32+N35</f>
        <v>363224142</v>
      </c>
      <c r="O45" s="955"/>
      <c r="P45" s="955">
        <f>P15+P26+P29+P44+P32+P35</f>
        <v>438541098</v>
      </c>
      <c r="Q45" s="955"/>
      <c r="R45" s="955">
        <f>R15+R26+R29+R44+R32+R35</f>
        <v>313044880</v>
      </c>
      <c r="S45" s="955"/>
      <c r="T45" s="955">
        <f>T15+T26+T29+T44+T32+T35</f>
        <v>828068297</v>
      </c>
      <c r="U45" s="955"/>
      <c r="V45" s="955">
        <f>V15+V26+V29+V44+V32+V35</f>
        <v>300514823</v>
      </c>
      <c r="W45" s="955"/>
      <c r="X45" s="955">
        <f>X15+X26+X29+X44+X32+X35</f>
        <v>243100224</v>
      </c>
      <c r="Y45" s="955"/>
      <c r="Z45" s="955">
        <f>Z15+Z26+Z29+Z44+Z32+Z35</f>
        <v>142377787</v>
      </c>
      <c r="AA45" s="955"/>
      <c r="AB45" s="955">
        <f>AB15+AB26+AB29+AB44+AB32+AB35</f>
        <v>22173670</v>
      </c>
      <c r="AC45" s="955"/>
    </row>
    <row r="46" spans="1:309">
      <c r="B46" s="1088" t="str">
        <f ca="1">IF(B45&lt;&gt;'Smmy Sum'!B52,"Error","")</f>
        <v/>
      </c>
      <c r="C46" s="1088"/>
      <c r="D46" s="1088" t="str">
        <f>IF(D45&lt;&gt;'SWM FGD'!$M63,"Error","")</f>
        <v/>
      </c>
      <c r="E46" s="1088"/>
      <c r="F46" s="1088" t="str">
        <f>IF(F45&lt;&gt;'MBG FGD'!$M63,"Error","")</f>
        <v/>
      </c>
      <c r="G46" s="1088"/>
      <c r="H46" s="1088" t="str">
        <f>IF(H45&lt;&gt;'HSH FGD'!$M63,"Error","")</f>
        <v/>
      </c>
      <c r="I46" s="1088"/>
      <c r="J46" s="1088" t="str">
        <f>IF(J45&lt;&gt;'HSSA FGD'!$M63,"Error","")</f>
        <v/>
      </c>
      <c r="K46" s="1088"/>
      <c r="L46" s="1088" t="str">
        <f>IF(L45&lt;&gt;'MDA FGD'!$M63,"Error","")</f>
        <v/>
      </c>
      <c r="M46" s="1088"/>
      <c r="N46" s="1088" t="str">
        <f>IF(N45&lt;&gt;'THC FGD'!$M63,"Error","")</f>
        <v/>
      </c>
      <c r="O46" s="1088"/>
      <c r="P46" s="1088" t="str">
        <f>IF(P45&lt;&gt;'TAMHSC FGD'!$M63,"Error","")</f>
        <v/>
      </c>
      <c r="Q46" s="1088"/>
      <c r="R46" s="1088" t="str">
        <f>IF(R45&lt;&gt;'UNTHSC1 FGD'!$M63,"Error","")</f>
        <v/>
      </c>
      <c r="S46" s="1088"/>
      <c r="T46" s="1088" t="str">
        <f>IF(T45&lt;&gt;'TTUHSC FGD'!$M63,"Error","")</f>
        <v/>
      </c>
      <c r="U46" s="1088"/>
      <c r="V46" s="1088" t="str">
        <f>IF(V45&lt;&gt;'TTUHSCEP FGD'!$M63,"Error","")</f>
        <v/>
      </c>
      <c r="W46" s="1088"/>
      <c r="X46" s="1088" t="str">
        <f>IF(X45&lt;&gt;'AUSM FGD'!$M63,"Error","")</f>
        <v/>
      </c>
      <c r="Y46" s="1088"/>
      <c r="Z46" s="1088" t="str">
        <f>IF(Z45&lt;&gt;'RGVM FGD'!$M63,"Error","")</f>
        <v/>
      </c>
      <c r="AA46" s="1088"/>
      <c r="AB46" s="1088" t="str">
        <f>IF(AB45&lt;&gt;'UHM FGD'!$M63,"Error","")</f>
        <v/>
      </c>
      <c r="AC46" s="1088"/>
    </row>
    <row r="47" spans="1:309">
      <c r="A47" s="912" t="s">
        <v>178</v>
      </c>
      <c r="B47" s="912"/>
      <c r="C47" s="912"/>
      <c r="D47" s="912"/>
      <c r="E47" s="912"/>
      <c r="F47" s="912"/>
      <c r="G47" s="912"/>
      <c r="H47" s="912"/>
      <c r="I47" s="912"/>
      <c r="J47" s="912"/>
      <c r="K47" s="912"/>
      <c r="L47" s="912"/>
      <c r="M47" s="912"/>
      <c r="N47" s="912"/>
      <c r="O47" s="912"/>
      <c r="P47" s="912"/>
      <c r="Q47" s="912"/>
      <c r="R47" s="912"/>
      <c r="S47" s="912"/>
      <c r="T47" s="912"/>
      <c r="U47" s="912"/>
      <c r="V47" s="912"/>
      <c r="W47" s="912"/>
      <c r="X47" s="912"/>
      <c r="Y47" s="912"/>
      <c r="Z47" s="912"/>
      <c r="AA47" s="912"/>
      <c r="AB47" s="912"/>
      <c r="AC47" s="912"/>
    </row>
    <row r="48" spans="1:309">
      <c r="A48" s="490" t="s">
        <v>92</v>
      </c>
      <c r="B48" s="501">
        <f t="shared" ref="B48:B59" ca="1" si="34">SUMIF(D$77:AC$77,$B$77,D48:AA48)</f>
        <v>3840838179</v>
      </c>
      <c r="C48" s="501">
        <f t="shared" ref="C48:C58" ca="1" si="35">ROUND(B48/C$6,0)</f>
        <v>128864</v>
      </c>
      <c r="D48" s="501">
        <f>'SWM FGD'!$M65</f>
        <v>1242718341</v>
      </c>
      <c r="E48" s="501">
        <f t="shared" ref="E48:E58" si="36">ROUND(D48/E$6,0)</f>
        <v>539995</v>
      </c>
      <c r="F48" s="501">
        <f>'MBG FGD'!$M65</f>
        <v>430094314</v>
      </c>
      <c r="G48" s="501">
        <f t="shared" ref="G48:G58" si="37">ROUND(F48/G$6,0)</f>
        <v>111428</v>
      </c>
      <c r="H48" s="501">
        <f>'HSH FGD'!$M65</f>
        <v>920890016</v>
      </c>
      <c r="I48" s="501">
        <f t="shared" ref="I48:I58" si="38">ROUND(H48/I$6,0)</f>
        <v>174818</v>
      </c>
      <c r="J48" s="501">
        <f>'HSSA FGD'!$M65</f>
        <v>447297039</v>
      </c>
      <c r="K48" s="501">
        <f t="shared" ref="K48:K58" si="39">ROUND(J48/K$6,0)</f>
        <v>112619</v>
      </c>
      <c r="L48" s="501">
        <f>'MDA FGD'!$M65</f>
        <v>99944089</v>
      </c>
      <c r="M48" s="501"/>
      <c r="N48" s="501">
        <f>'THC FGD'!$M65</f>
        <v>80102466</v>
      </c>
      <c r="O48" s="501"/>
      <c r="P48" s="501">
        <f>'TAMHSC FGD'!$M65</f>
        <v>125746504</v>
      </c>
      <c r="Q48" s="501">
        <f t="shared" ref="Q48:Q58" si="40">ROUND(P48/Q$6,0)</f>
        <v>34856</v>
      </c>
      <c r="R48" s="501">
        <f>'UNTHSC1 FGD'!$M65</f>
        <v>79538736</v>
      </c>
      <c r="S48" s="501">
        <f t="shared" ref="S48:S58" si="41">ROUND(R48/S$6,0)</f>
        <v>26616</v>
      </c>
      <c r="T48" s="501">
        <f>'TTUHSC FGD'!$M65</f>
        <v>227430702</v>
      </c>
      <c r="U48" s="501">
        <f t="shared" ref="U48:U58" si="42">ROUND(T48/U$6,0)</f>
        <v>37804</v>
      </c>
      <c r="V48" s="501">
        <f>'TTUHSCEP FGD'!$M65</f>
        <v>124938128</v>
      </c>
      <c r="W48" s="501">
        <f t="shared" ref="W48:W49" si="43">ROUND(V48/W$6,0)</f>
        <v>146796</v>
      </c>
      <c r="X48" s="501">
        <f>'AUSM FGD'!$M65</f>
        <v>8217265</v>
      </c>
      <c r="Y48" s="501"/>
      <c r="Z48" s="501">
        <f>'RGVM FGD'!$M65</f>
        <v>45338838</v>
      </c>
      <c r="AA48" s="501"/>
      <c r="AB48" s="501">
        <f>'UHM FGD'!$M65</f>
        <v>8581741</v>
      </c>
      <c r="AC48" s="501"/>
    </row>
    <row r="49" spans="1:38">
      <c r="A49" s="490" t="s">
        <v>179</v>
      </c>
      <c r="B49" s="921">
        <f t="shared" ca="1" si="34"/>
        <v>2252192690</v>
      </c>
      <c r="C49" s="669">
        <f t="shared" ca="1" si="35"/>
        <v>75563</v>
      </c>
      <c r="D49" s="921">
        <f>'SWM FGD'!$M66</f>
        <v>482007838</v>
      </c>
      <c r="E49" s="669">
        <f t="shared" si="36"/>
        <v>209446</v>
      </c>
      <c r="F49" s="921">
        <f>'MBG FGD'!$M66</f>
        <v>127926683</v>
      </c>
      <c r="G49" s="669">
        <f t="shared" si="37"/>
        <v>33143</v>
      </c>
      <c r="H49" s="921">
        <f>'HSH FGD'!$M66</f>
        <v>250602654</v>
      </c>
      <c r="I49" s="669">
        <f t="shared" si="38"/>
        <v>47573</v>
      </c>
      <c r="J49" s="921">
        <f>'HSSA FGD'!$M66</f>
        <v>169090146</v>
      </c>
      <c r="K49" s="669">
        <f t="shared" si="39"/>
        <v>42573</v>
      </c>
      <c r="L49" s="921">
        <f>'MDA FGD'!$M66</f>
        <v>943836402</v>
      </c>
      <c r="M49" s="669"/>
      <c r="N49" s="921">
        <f>'THC FGD'!$M66</f>
        <v>24276371</v>
      </c>
      <c r="O49" s="669"/>
      <c r="P49" s="921">
        <f>'TAMHSC FGD'!$M66</f>
        <v>101323855</v>
      </c>
      <c r="Q49" s="669">
        <f t="shared" si="40"/>
        <v>28086</v>
      </c>
      <c r="R49" s="921">
        <f>'UNTHSC1 FGD'!$M66</f>
        <v>46416280</v>
      </c>
      <c r="S49" s="669">
        <f t="shared" si="41"/>
        <v>15532</v>
      </c>
      <c r="T49" s="921">
        <f>'TTUHSC FGD'!$M66</f>
        <v>38759283</v>
      </c>
      <c r="U49" s="669">
        <f t="shared" si="42"/>
        <v>6443</v>
      </c>
      <c r="V49" s="921">
        <f>'TTUHSCEP FGD'!$M66</f>
        <v>12298760</v>
      </c>
      <c r="W49" s="669">
        <f t="shared" si="43"/>
        <v>14450</v>
      </c>
      <c r="X49" s="921">
        <f>'AUSM FGD'!$M66</f>
        <v>40120464</v>
      </c>
      <c r="Y49" s="669"/>
      <c r="Z49" s="921">
        <f>'RGVM FGD'!$M66</f>
        <v>14738752</v>
      </c>
      <c r="AA49" s="669"/>
      <c r="AB49" s="921">
        <f>'UHM FGD'!$M66</f>
        <v>795202</v>
      </c>
      <c r="AC49" s="669"/>
    </row>
    <row r="50" spans="1:38">
      <c r="A50" s="490" t="s">
        <v>180</v>
      </c>
      <c r="B50" s="921">
        <f t="shared" ca="1" si="34"/>
        <v>462328760</v>
      </c>
      <c r="C50" s="669"/>
      <c r="D50" s="921">
        <f>'SWM FGD'!$M67</f>
        <v>26962684</v>
      </c>
      <c r="E50" s="669"/>
      <c r="F50" s="921">
        <f>'MBG FGD'!$M67</f>
        <v>23661247</v>
      </c>
      <c r="G50" s="669"/>
      <c r="H50" s="921">
        <f>'HSH FGD'!$M67</f>
        <v>60768819</v>
      </c>
      <c r="I50" s="669"/>
      <c r="J50" s="921">
        <f>'HSSA FGD'!$M67</f>
        <v>101179829</v>
      </c>
      <c r="K50" s="669"/>
      <c r="L50" s="921">
        <f>'MDA FGD'!$M67</f>
        <v>22423991</v>
      </c>
      <c r="M50" s="669"/>
      <c r="N50" s="921">
        <f>'THC FGD'!$M67</f>
        <v>152558</v>
      </c>
      <c r="O50" s="669"/>
      <c r="P50" s="921">
        <f>'TAMHSC FGD'!$M67</f>
        <v>17406904</v>
      </c>
      <c r="Q50" s="669"/>
      <c r="R50" s="921">
        <f>'UNTHSC1 FGD'!$M67</f>
        <v>46516667</v>
      </c>
      <c r="S50" s="669"/>
      <c r="T50" s="921">
        <f>'TTUHSC FGD'!$M67</f>
        <v>149605308</v>
      </c>
      <c r="U50" s="669"/>
      <c r="V50" s="921">
        <f>'TTUHSCEP FGD'!$M67</f>
        <v>4072558</v>
      </c>
      <c r="W50" s="669"/>
      <c r="X50" s="921">
        <f>'AUSM FGD'!$M67</f>
        <v>4104162</v>
      </c>
      <c r="Y50" s="669"/>
      <c r="Z50" s="921">
        <f>'RGVM FGD'!$M67</f>
        <v>3437353</v>
      </c>
      <c r="AA50" s="669"/>
      <c r="AB50" s="921">
        <f>'UHM FGD'!$M67</f>
        <v>2036680</v>
      </c>
      <c r="AC50" s="669"/>
    </row>
    <row r="51" spans="1:38">
      <c r="A51" s="1026" t="s">
        <v>164</v>
      </c>
      <c r="B51" s="921">
        <f t="shared" ca="1" si="34"/>
        <v>8644431170</v>
      </c>
      <c r="C51" s="669"/>
      <c r="D51" s="921">
        <f>'SWM FGD'!$M68</f>
        <v>2011784833</v>
      </c>
      <c r="E51" s="669"/>
      <c r="F51" s="921">
        <f>'MBG FGD'!$M68</f>
        <v>1620876652</v>
      </c>
      <c r="G51" s="669"/>
      <c r="H51" s="921">
        <f>'HSH FGD'!$M68</f>
        <v>541373760</v>
      </c>
      <c r="I51" s="669"/>
      <c r="J51" s="921">
        <f>'HSSA FGD'!$M68</f>
        <v>207378571</v>
      </c>
      <c r="K51" s="669"/>
      <c r="L51" s="921">
        <f>'MDA FGD'!$M68</f>
        <v>3764483888</v>
      </c>
      <c r="M51" s="669"/>
      <c r="N51" s="921">
        <f>'THC FGD'!$M68</f>
        <v>211748148</v>
      </c>
      <c r="O51" s="669"/>
      <c r="P51" s="921">
        <f>'TAMHSC FGD'!$M68</f>
        <v>0</v>
      </c>
      <c r="Q51" s="669"/>
      <c r="R51" s="921">
        <f>'UNTHSC1 FGD'!$M68</f>
        <v>0</v>
      </c>
      <c r="S51" s="669"/>
      <c r="T51" s="921">
        <f>'TTUHSC FGD'!$M68</f>
        <v>92148740</v>
      </c>
      <c r="U51" s="669"/>
      <c r="V51" s="921">
        <f>'TTUHSCEP FGD'!$M68</f>
        <v>24298172</v>
      </c>
      <c r="W51" s="669"/>
      <c r="X51" s="921">
        <f>'AUSM FGD'!$M68</f>
        <v>126417532</v>
      </c>
      <c r="Y51" s="669"/>
      <c r="Z51" s="921">
        <f>'RGVM FGD'!$M68</f>
        <v>43920874</v>
      </c>
      <c r="AA51" s="669"/>
      <c r="AB51" s="921">
        <f>'UHM FGD'!$M68</f>
        <v>0</v>
      </c>
      <c r="AC51" s="669"/>
    </row>
    <row r="52" spans="1:38">
      <c r="A52" s="490" t="s">
        <v>181</v>
      </c>
      <c r="B52" s="921">
        <f t="shared" ca="1" si="34"/>
        <v>773571668</v>
      </c>
      <c r="C52" s="669">
        <f t="shared" ca="1" si="35"/>
        <v>25954</v>
      </c>
      <c r="D52" s="921">
        <f>'SWM FGD'!$M69</f>
        <v>81066106</v>
      </c>
      <c r="E52" s="669">
        <f t="shared" si="36"/>
        <v>35225</v>
      </c>
      <c r="F52" s="921">
        <f>'MBG FGD'!$M69</f>
        <v>40298926</v>
      </c>
      <c r="G52" s="669">
        <f t="shared" si="37"/>
        <v>10441</v>
      </c>
      <c r="H52" s="921">
        <f>'HSH FGD'!$M69</f>
        <v>67340859</v>
      </c>
      <c r="I52" s="669">
        <f t="shared" si="38"/>
        <v>12784</v>
      </c>
      <c r="J52" s="921">
        <f>'HSSA FGD'!$M69</f>
        <v>53922284</v>
      </c>
      <c r="K52" s="669">
        <f t="shared" si="39"/>
        <v>13576</v>
      </c>
      <c r="L52" s="921">
        <f>'MDA FGD'!$M69</f>
        <v>201697296</v>
      </c>
      <c r="M52" s="669"/>
      <c r="N52" s="921">
        <f>'THC FGD'!$M69</f>
        <v>2491046</v>
      </c>
      <c r="O52" s="669"/>
      <c r="P52" s="921">
        <f>'TAMHSC FGD'!$M69</f>
        <v>38433856</v>
      </c>
      <c r="Q52" s="669">
        <f t="shared" si="40"/>
        <v>10653</v>
      </c>
      <c r="R52" s="921">
        <f>'UNTHSC1 FGD'!$M69</f>
        <v>27409658</v>
      </c>
      <c r="S52" s="669">
        <f t="shared" si="41"/>
        <v>9172</v>
      </c>
      <c r="T52" s="921">
        <f>'TTUHSC FGD'!$M69</f>
        <v>132515189</v>
      </c>
      <c r="U52" s="669">
        <f t="shared" si="42"/>
        <v>22027</v>
      </c>
      <c r="V52" s="921">
        <f>'TTUHSCEP FGD'!$M69</f>
        <v>59139062</v>
      </c>
      <c r="W52" s="669">
        <f t="shared" ref="W52:W54" si="44">ROUND(V52/W$6,0)</f>
        <v>69485</v>
      </c>
      <c r="X52" s="921">
        <f>'AUSM FGD'!$M69</f>
        <v>38679284</v>
      </c>
      <c r="Y52" s="669"/>
      <c r="Z52" s="921">
        <f>'RGVM FGD'!$M69</f>
        <v>21408116</v>
      </c>
      <c r="AA52" s="669"/>
      <c r="AB52" s="921">
        <f>'UHM FGD'!$M69</f>
        <v>9169986</v>
      </c>
      <c r="AC52" s="669"/>
    </row>
    <row r="53" spans="1:38">
      <c r="A53" s="490" t="s">
        <v>182</v>
      </c>
      <c r="B53" s="921">
        <f t="shared" ca="1" si="34"/>
        <v>75813058</v>
      </c>
      <c r="C53" s="669">
        <f t="shared" ca="1" si="35"/>
        <v>2544</v>
      </c>
      <c r="D53" s="921">
        <f>'SWM FGD'!$M70</f>
        <v>2151420</v>
      </c>
      <c r="E53" s="669">
        <f t="shared" si="36"/>
        <v>935</v>
      </c>
      <c r="F53" s="921">
        <f>'MBG FGD'!$M70</f>
        <v>7233707</v>
      </c>
      <c r="G53" s="669">
        <f t="shared" si="37"/>
        <v>1874</v>
      </c>
      <c r="H53" s="921">
        <f>'HSH FGD'!$M70</f>
        <v>13150270</v>
      </c>
      <c r="I53" s="669">
        <f t="shared" si="38"/>
        <v>2496</v>
      </c>
      <c r="J53" s="921">
        <f>'HSSA FGD'!$M70</f>
        <v>2828020</v>
      </c>
      <c r="K53" s="669">
        <f t="shared" si="39"/>
        <v>712</v>
      </c>
      <c r="L53" s="921">
        <f>'MDA FGD'!$M70</f>
        <v>3435119</v>
      </c>
      <c r="M53" s="669"/>
      <c r="N53" s="921">
        <f>'THC FGD'!$M70</f>
        <v>460027</v>
      </c>
      <c r="O53" s="669"/>
      <c r="P53" s="921">
        <f>'TAMHSC FGD'!$M70</f>
        <v>5448744</v>
      </c>
      <c r="Q53" s="669">
        <f t="shared" si="40"/>
        <v>1510</v>
      </c>
      <c r="R53" s="921">
        <f>'UNTHSC1 FGD'!$M70</f>
        <v>8018588</v>
      </c>
      <c r="S53" s="669">
        <f t="shared" si="41"/>
        <v>2683</v>
      </c>
      <c r="T53" s="921">
        <f>'TTUHSC FGD'!$M70</f>
        <v>24545109</v>
      </c>
      <c r="U53" s="669">
        <f t="shared" si="42"/>
        <v>4080</v>
      </c>
      <c r="V53" s="921">
        <f>'TTUHSCEP FGD'!$M70</f>
        <v>4883544</v>
      </c>
      <c r="W53" s="669">
        <f t="shared" si="44"/>
        <v>5738</v>
      </c>
      <c r="X53" s="921">
        <f>'AUSM FGD'!$M70</f>
        <v>15621</v>
      </c>
      <c r="Y53" s="669"/>
      <c r="Z53" s="921">
        <f>'RGVM FGD'!$M70</f>
        <v>3642889</v>
      </c>
      <c r="AA53" s="669"/>
      <c r="AB53" s="921">
        <f>'UHM FGD'!$M70</f>
        <v>0</v>
      </c>
      <c r="AC53" s="669"/>
    </row>
    <row r="54" spans="1:38">
      <c r="A54" s="490" t="s">
        <v>183</v>
      </c>
      <c r="B54" s="921">
        <f t="shared" ca="1" si="34"/>
        <v>676034205</v>
      </c>
      <c r="C54" s="669">
        <f t="shared" ca="1" si="35"/>
        <v>22682</v>
      </c>
      <c r="D54" s="921">
        <f>'SWM FGD'!$M71</f>
        <v>99924687</v>
      </c>
      <c r="E54" s="669">
        <f t="shared" si="36"/>
        <v>43420</v>
      </c>
      <c r="F54" s="921">
        <f>'MBG FGD'!$M71</f>
        <v>102842448</v>
      </c>
      <c r="G54" s="669">
        <f t="shared" si="37"/>
        <v>26644</v>
      </c>
      <c r="H54" s="921">
        <f>'HSH FGD'!$M71</f>
        <v>88846019</v>
      </c>
      <c r="I54" s="669">
        <f t="shared" si="38"/>
        <v>16866</v>
      </c>
      <c r="J54" s="921">
        <f>'HSSA FGD'!$M71</f>
        <v>63711677</v>
      </c>
      <c r="K54" s="669">
        <f t="shared" si="39"/>
        <v>16041</v>
      </c>
      <c r="L54" s="921">
        <f>'MDA FGD'!$M71</f>
        <v>194073769</v>
      </c>
      <c r="M54" s="669"/>
      <c r="N54" s="921">
        <f>'THC FGD'!$M71</f>
        <v>15143920</v>
      </c>
      <c r="O54" s="669"/>
      <c r="P54" s="921">
        <f>'TAMHSC FGD'!$M71</f>
        <v>11340359</v>
      </c>
      <c r="Q54" s="669">
        <f t="shared" si="40"/>
        <v>3143</v>
      </c>
      <c r="R54" s="921">
        <f>'UNTHSC1 FGD'!$M71</f>
        <v>21860807</v>
      </c>
      <c r="S54" s="669">
        <f t="shared" si="41"/>
        <v>7315</v>
      </c>
      <c r="T54" s="921">
        <f>'TTUHSC FGD'!$M71</f>
        <v>34289967</v>
      </c>
      <c r="U54" s="669">
        <f t="shared" si="42"/>
        <v>5700</v>
      </c>
      <c r="V54" s="921">
        <f>'TTUHSCEP FGD'!$M71</f>
        <v>19003714</v>
      </c>
      <c r="W54" s="669">
        <f t="shared" si="44"/>
        <v>22328</v>
      </c>
      <c r="X54" s="921">
        <f>'AUSM FGD'!$M71</f>
        <v>24622557</v>
      </c>
      <c r="Y54" s="669"/>
      <c r="Z54" s="921">
        <f>'RGVM FGD'!$M71</f>
        <v>20958</v>
      </c>
      <c r="AA54" s="669"/>
      <c r="AB54" s="921">
        <f>'UHM FGD'!$M71</f>
        <v>353323</v>
      </c>
      <c r="AC54" s="669"/>
    </row>
    <row r="55" spans="1:38">
      <c r="A55" s="490" t="s">
        <v>184</v>
      </c>
      <c r="B55" s="921">
        <f t="shared" ca="1" si="34"/>
        <v>607187187</v>
      </c>
      <c r="C55" s="669"/>
      <c r="D55" s="921">
        <f>'SWM FGD'!$M72</f>
        <v>106957127</v>
      </c>
      <c r="E55" s="669"/>
      <c r="F55" s="921">
        <f>'MBG FGD'!$M72</f>
        <v>68279938</v>
      </c>
      <c r="G55" s="669"/>
      <c r="H55" s="921">
        <f>'HSH FGD'!$M72</f>
        <v>40189096</v>
      </c>
      <c r="I55" s="669"/>
      <c r="J55" s="921">
        <f>'HSSA FGD'!$M72</f>
        <v>47092554</v>
      </c>
      <c r="K55" s="669"/>
      <c r="L55" s="921">
        <f>'MDA FGD'!$M72</f>
        <v>230701538</v>
      </c>
      <c r="M55" s="669"/>
      <c r="N55" s="921">
        <f>'THC FGD'!$M72</f>
        <v>10479079</v>
      </c>
      <c r="O55" s="669"/>
      <c r="P55" s="921">
        <f>'TAMHSC FGD'!$M72</f>
        <v>28501380</v>
      </c>
      <c r="Q55" s="669"/>
      <c r="R55" s="921">
        <f>'UNTHSC1 FGD'!$M72</f>
        <v>17048260</v>
      </c>
      <c r="S55" s="669"/>
      <c r="T55" s="921">
        <f>'TTUHSC FGD'!$M72</f>
        <v>38011226</v>
      </c>
      <c r="U55" s="669"/>
      <c r="V55" s="921">
        <f>'TTUHSCEP FGD'!$M72</f>
        <v>13498709</v>
      </c>
      <c r="W55" s="669"/>
      <c r="X55" s="921">
        <f>'AUSM FGD'!$M72</f>
        <v>2570508</v>
      </c>
      <c r="Y55" s="669"/>
      <c r="Z55" s="921">
        <f>'RGVM FGD'!$M72</f>
        <v>3627491</v>
      </c>
      <c r="AA55" s="669"/>
      <c r="AB55" s="921">
        <f>'UHM FGD'!$M72</f>
        <v>230281</v>
      </c>
      <c r="AC55" s="669"/>
    </row>
    <row r="56" spans="1:38">
      <c r="A56" s="490" t="s">
        <v>185</v>
      </c>
      <c r="B56" s="921">
        <f t="shared" ca="1" si="34"/>
        <v>62612069</v>
      </c>
      <c r="C56" s="669">
        <f t="shared" ca="1" si="35"/>
        <v>2101</v>
      </c>
      <c r="D56" s="921">
        <f>'SWM FGD'!$M73</f>
        <v>5396963</v>
      </c>
      <c r="E56" s="669">
        <f t="shared" si="36"/>
        <v>2345</v>
      </c>
      <c r="F56" s="921">
        <f>'MBG FGD'!$M73</f>
        <v>11477605</v>
      </c>
      <c r="G56" s="669">
        <f t="shared" si="37"/>
        <v>2974</v>
      </c>
      <c r="H56" s="921">
        <f>'HSH FGD'!$M73</f>
        <v>13458109</v>
      </c>
      <c r="I56" s="669">
        <f t="shared" si="38"/>
        <v>2555</v>
      </c>
      <c r="J56" s="921">
        <f>'HSSA FGD'!$M73</f>
        <v>12861287</v>
      </c>
      <c r="K56" s="669">
        <f t="shared" si="39"/>
        <v>3238</v>
      </c>
      <c r="L56" s="921">
        <f>'MDA FGD'!$M73</f>
        <v>2720520</v>
      </c>
      <c r="M56" s="669"/>
      <c r="N56" s="921">
        <f>'THC FGD'!$M73</f>
        <v>59947</v>
      </c>
      <c r="O56" s="669"/>
      <c r="P56" s="921">
        <f>'TAMHSC FGD'!$M73</f>
        <v>2935673</v>
      </c>
      <c r="Q56" s="669">
        <f t="shared" si="40"/>
        <v>814</v>
      </c>
      <c r="R56" s="921">
        <f>'UNTHSC1 FGD'!$M73</f>
        <v>2612265</v>
      </c>
      <c r="S56" s="669">
        <f t="shared" si="41"/>
        <v>874</v>
      </c>
      <c r="T56" s="921">
        <f>'TTUHSC FGD'!$M73</f>
        <v>5043897</v>
      </c>
      <c r="U56" s="669">
        <f t="shared" si="42"/>
        <v>838</v>
      </c>
      <c r="V56" s="921">
        <f>'TTUHSCEP FGD'!$M73</f>
        <v>1385087</v>
      </c>
      <c r="W56" s="669">
        <f t="shared" ref="W56" si="45">ROUND(V56/W$6,0)</f>
        <v>1627</v>
      </c>
      <c r="X56" s="921">
        <f>'AUSM FGD'!$M73</f>
        <v>2454481</v>
      </c>
      <c r="Y56" s="669"/>
      <c r="Z56" s="921">
        <f>'RGVM FGD'!$M73</f>
        <v>1273006</v>
      </c>
      <c r="AA56" s="669"/>
      <c r="AB56" s="921">
        <f>'UHM FGD'!$M73</f>
        <v>933229</v>
      </c>
      <c r="AC56" s="669"/>
    </row>
    <row r="57" spans="1:38">
      <c r="A57" s="490" t="s">
        <v>472</v>
      </c>
      <c r="B57" s="921">
        <f t="shared" ca="1" si="34"/>
        <v>94094716</v>
      </c>
      <c r="C57" s="669"/>
      <c r="D57" s="921">
        <f>'SWM FGD'!$M74</f>
        <v>36039161</v>
      </c>
      <c r="E57" s="669"/>
      <c r="F57" s="921">
        <f>'MBG FGD'!$M74</f>
        <v>10792867</v>
      </c>
      <c r="G57" s="669"/>
      <c r="H57" s="921">
        <f>'HSH FGD'!$M74</f>
        <v>15658968</v>
      </c>
      <c r="I57" s="669"/>
      <c r="J57" s="921">
        <f>'HSSA FGD'!$M74</f>
        <v>5170202</v>
      </c>
      <c r="K57" s="669"/>
      <c r="L57" s="921">
        <f>'MDA FGD'!$M74</f>
        <v>18756979</v>
      </c>
      <c r="M57" s="669"/>
      <c r="N57" s="921">
        <f>'THC FGD'!$M74</f>
        <v>168402</v>
      </c>
      <c r="O57" s="669"/>
      <c r="P57" s="921">
        <f>'TAMHSC FGD'!$M74</f>
        <v>3770625</v>
      </c>
      <c r="Q57" s="669"/>
      <c r="R57" s="921">
        <f>'UNTHSC1 FGD'!$M74</f>
        <v>177508</v>
      </c>
      <c r="S57" s="669"/>
      <c r="T57" s="921">
        <f>'TTUHSC FGD'!$M74</f>
        <v>527758</v>
      </c>
      <c r="U57" s="669"/>
      <c r="V57" s="921">
        <f>'TTUHSCEP FGD'!$M74</f>
        <v>228210</v>
      </c>
      <c r="W57" s="669"/>
      <c r="X57" s="921">
        <f>'AUSM FGD'!$M74</f>
        <v>967543</v>
      </c>
      <c r="Y57" s="669"/>
      <c r="Z57" s="921">
        <f>'RGVM FGD'!$M74</f>
        <v>1836493</v>
      </c>
      <c r="AA57" s="669"/>
      <c r="AB57" s="921">
        <f>'UHM FGD'!$M74</f>
        <v>0</v>
      </c>
      <c r="AC57" s="669"/>
    </row>
    <row r="58" spans="1:38">
      <c r="A58" s="490" t="s">
        <v>187</v>
      </c>
      <c r="B58" s="921">
        <f t="shared" ca="1" si="34"/>
        <v>186958782</v>
      </c>
      <c r="C58" s="669">
        <f t="shared" ca="1" si="35"/>
        <v>6273</v>
      </c>
      <c r="D58" s="921">
        <f>'SWM FGD'!$M75</f>
        <v>4601955</v>
      </c>
      <c r="E58" s="669">
        <f t="shared" si="36"/>
        <v>2000</v>
      </c>
      <c r="F58" s="921">
        <f>'MBG FGD'!$M75</f>
        <v>15092746</v>
      </c>
      <c r="G58" s="669">
        <f t="shared" si="37"/>
        <v>3910</v>
      </c>
      <c r="H58" s="921">
        <f>'HSH FGD'!$M75</f>
        <v>17854491</v>
      </c>
      <c r="I58" s="669">
        <f t="shared" si="38"/>
        <v>3389</v>
      </c>
      <c r="J58" s="921">
        <f>'HSSA FGD'!$M75</f>
        <v>17765317</v>
      </c>
      <c r="K58" s="669">
        <f t="shared" si="39"/>
        <v>4473</v>
      </c>
      <c r="L58" s="921">
        <f>'MDA FGD'!$M75</f>
        <v>88539706</v>
      </c>
      <c r="M58" s="669"/>
      <c r="N58" s="921">
        <f>'THC FGD'!$M75</f>
        <v>1733562</v>
      </c>
      <c r="O58" s="669"/>
      <c r="P58" s="921">
        <f>'TAMHSC FGD'!$M75</f>
        <v>7003379</v>
      </c>
      <c r="Q58" s="669">
        <f t="shared" si="40"/>
        <v>1941</v>
      </c>
      <c r="R58" s="921">
        <f>'UNTHSC1 FGD'!$M75</f>
        <v>11895376</v>
      </c>
      <c r="S58" s="669">
        <f t="shared" si="41"/>
        <v>3981</v>
      </c>
      <c r="T58" s="921">
        <f>'TTUHSC FGD'!$M75</f>
        <v>8976439</v>
      </c>
      <c r="U58" s="669">
        <f t="shared" si="42"/>
        <v>1492</v>
      </c>
      <c r="V58" s="921">
        <f>'TTUHSCEP FGD'!$M75</f>
        <v>7614890</v>
      </c>
      <c r="W58" s="669">
        <f t="shared" ref="W58" si="46">ROUND(V58/W$6,0)</f>
        <v>8947</v>
      </c>
      <c r="X58" s="921">
        <f>'AUSM FGD'!$M75</f>
        <v>252133</v>
      </c>
      <c r="Y58" s="669"/>
      <c r="Z58" s="921">
        <f>'RGVM FGD'!$M75</f>
        <v>5628788</v>
      </c>
      <c r="AA58" s="669"/>
      <c r="AB58" s="921">
        <f>'UHM FGD'!$M75</f>
        <v>0</v>
      </c>
      <c r="AC58" s="669"/>
    </row>
    <row r="59" spans="1:38">
      <c r="A59" s="277" t="s">
        <v>1713</v>
      </c>
      <c r="B59" s="921">
        <f t="shared" ca="1" si="34"/>
        <v>26761630</v>
      </c>
      <c r="C59" s="669"/>
      <c r="D59" s="921">
        <f>'SWM FGD'!$M76</f>
        <v>12004333</v>
      </c>
      <c r="E59" s="669"/>
      <c r="F59" s="921">
        <f>'MBG FGD'!$M76</f>
        <v>4086792</v>
      </c>
      <c r="G59" s="669"/>
      <c r="H59" s="921">
        <f>'HSH FGD'!$M76</f>
        <v>2481768</v>
      </c>
      <c r="I59" s="669"/>
      <c r="J59" s="921">
        <f>'HSSA FGD'!$M76</f>
        <v>751756</v>
      </c>
      <c r="K59" s="669"/>
      <c r="L59" s="921">
        <f>'MDA FGD'!$M76</f>
        <v>2179929</v>
      </c>
      <c r="M59" s="669"/>
      <c r="N59" s="921">
        <f>'THC FGD'!$M76</f>
        <v>57002</v>
      </c>
      <c r="O59" s="669"/>
      <c r="P59" s="921">
        <f>'TAMHSC FGD'!$M76</f>
        <v>4002592</v>
      </c>
      <c r="Q59" s="669"/>
      <c r="R59" s="921">
        <f>'UNTHSC1 FGD'!$M76</f>
        <v>520360</v>
      </c>
      <c r="S59" s="669"/>
      <c r="T59" s="921">
        <f>'TTUHSC FGD'!$M76</f>
        <v>102842</v>
      </c>
      <c r="U59" s="669"/>
      <c r="V59" s="921">
        <f>'TTUHSCEP FGD'!$M76</f>
        <v>433564</v>
      </c>
      <c r="W59" s="669"/>
      <c r="X59" s="921">
        <f>'AUSM FGD'!$M76</f>
        <v>2850</v>
      </c>
      <c r="Y59" s="669"/>
      <c r="Z59" s="921">
        <f>'RGVM FGD'!$M76</f>
        <v>137842</v>
      </c>
      <c r="AA59" s="669"/>
      <c r="AB59" s="921">
        <f>'UHM FGD'!$M76</f>
        <v>0</v>
      </c>
      <c r="AC59" s="669"/>
      <c r="AD59" s="333"/>
      <c r="AE59" s="333"/>
      <c r="AF59" s="333"/>
      <c r="AG59" s="333"/>
      <c r="AH59" s="333"/>
      <c r="AI59" s="333"/>
      <c r="AJ59" s="333"/>
      <c r="AK59" s="333"/>
      <c r="AL59" s="333"/>
    </row>
    <row r="60" spans="1:38">
      <c r="A60" s="971" t="s">
        <v>189</v>
      </c>
      <c r="B60" s="972">
        <f t="shared" ref="B60:T60" ca="1" si="47">SUM(B48:B59)</f>
        <v>17702824114</v>
      </c>
      <c r="C60" s="972"/>
      <c r="D60" s="972">
        <f t="shared" si="47"/>
        <v>4111615448</v>
      </c>
      <c r="E60" s="972"/>
      <c r="F60" s="972">
        <f t="shared" si="47"/>
        <v>2462663925</v>
      </c>
      <c r="G60" s="972"/>
      <c r="H60" s="972">
        <f t="shared" si="47"/>
        <v>2032614829</v>
      </c>
      <c r="I60" s="972"/>
      <c r="J60" s="972">
        <f t="shared" si="47"/>
        <v>1129048682</v>
      </c>
      <c r="K60" s="972"/>
      <c r="L60" s="972">
        <f t="shared" si="47"/>
        <v>5572793226</v>
      </c>
      <c r="M60" s="972"/>
      <c r="N60" s="972">
        <f t="shared" si="47"/>
        <v>346872528</v>
      </c>
      <c r="O60" s="972">
        <f t="shared" si="47"/>
        <v>0</v>
      </c>
      <c r="P60" s="972">
        <f t="shared" si="47"/>
        <v>345913871</v>
      </c>
      <c r="Q60" s="972"/>
      <c r="R60" s="972">
        <f t="shared" si="47"/>
        <v>262014505</v>
      </c>
      <c r="S60" s="972"/>
      <c r="T60" s="972">
        <f t="shared" si="47"/>
        <v>751956460</v>
      </c>
      <c r="U60" s="972"/>
      <c r="V60" s="972">
        <f t="shared" ref="V60" si="48">SUM(V48:V59)</f>
        <v>271794398</v>
      </c>
      <c r="W60" s="972"/>
      <c r="X60" s="972">
        <f t="shared" ref="X60" si="49">SUM(X48:X59)</f>
        <v>248424400</v>
      </c>
      <c r="Y60" s="972"/>
      <c r="Z60" s="972">
        <f t="shared" ref="Z60" si="50">SUM(Z48:Z59)</f>
        <v>145011400</v>
      </c>
      <c r="AA60" s="972"/>
      <c r="AB60" s="972">
        <f t="shared" ref="AB60" si="51">SUM(AB48:AB59)</f>
        <v>22100442</v>
      </c>
      <c r="AC60" s="972"/>
    </row>
    <row r="61" spans="1:38">
      <c r="B61" s="1088" t="str">
        <f ca="1">IF(B60&lt;&gt;'Smmy Sum'!B67,"Error","")</f>
        <v/>
      </c>
      <c r="C61" s="1088"/>
      <c r="D61" s="1088" t="str">
        <f>IF(D60&lt;&gt;'SWM FGD'!$M77,"Error","")</f>
        <v/>
      </c>
      <c r="E61" s="1088"/>
      <c r="F61" s="1088" t="str">
        <f>IF(F60&lt;&gt;'MBG FGD'!$M77,"Error","")</f>
        <v/>
      </c>
      <c r="G61" s="1088"/>
      <c r="H61" s="1088" t="str">
        <f>IF(H60&lt;&gt;'HSH FGD'!$M77,"Error","")</f>
        <v/>
      </c>
      <c r="I61" s="1088"/>
      <c r="J61" s="1088" t="str">
        <f>IF(J60&lt;&gt;'HSSA FGD'!$M77,"Error","")</f>
        <v/>
      </c>
      <c r="K61" s="1088"/>
      <c r="L61" s="1088" t="str">
        <f>IF(L60&lt;&gt;'MDA FGD'!$M77,"Error","")</f>
        <v/>
      </c>
      <c r="M61" s="1088" t="str">
        <f>IF(M60&lt;&gt;'MDA Sum'!$C54,"Error","")</f>
        <v/>
      </c>
      <c r="N61" s="1088" t="str">
        <f>IF(N60&lt;&gt;'THC FGD'!$M77,"Error","")</f>
        <v/>
      </c>
      <c r="O61" s="1088" t="str">
        <f>IF(O60&lt;&gt;'THC Sum'!$C62,"Error","")</f>
        <v/>
      </c>
      <c r="P61" s="1088" t="str">
        <f>IF(P60&lt;&gt;'TAMHSC FGD'!$M77,"Error","")</f>
        <v/>
      </c>
      <c r="Q61" s="1088"/>
      <c r="R61" s="1088" t="str">
        <f>IF(R60&lt;&gt;'UNTHSC1 FGD'!$M77,"Error","")</f>
        <v/>
      </c>
      <c r="S61" s="1088"/>
      <c r="T61" s="1088" t="str">
        <f>IF(T60&lt;&gt;'TTUHSC FGD'!$M77,"Error","")</f>
        <v/>
      </c>
      <c r="U61" s="1088"/>
      <c r="V61" s="1088" t="str">
        <f>IF(V60&lt;&gt;'TTUHSCEP FGD'!$M77,"Error","")</f>
        <v/>
      </c>
      <c r="W61" s="1088"/>
      <c r="X61" s="1088" t="str">
        <f>IF(X60&lt;&gt;'AUSM FGD'!$M77,"Error","")</f>
        <v/>
      </c>
      <c r="Y61" s="1088"/>
      <c r="Z61" s="1088" t="str">
        <f>IF(Z60&lt;&gt;'RGVM FGD'!$M77,"Error","")</f>
        <v/>
      </c>
      <c r="AA61" s="1088"/>
      <c r="AB61" s="1088" t="str">
        <f>IF(AB60&lt;&gt;'UHM FGD'!$M77,"Error","")</f>
        <v/>
      </c>
      <c r="AC61" s="1088"/>
    </row>
    <row r="62" spans="1:38">
      <c r="A62" s="279" t="s">
        <v>473</v>
      </c>
      <c r="B62" s="915"/>
      <c r="D62" s="915"/>
      <c r="F62" s="915"/>
      <c r="H62" s="915"/>
      <c r="J62" s="915"/>
      <c r="L62" s="915"/>
      <c r="N62" s="915"/>
      <c r="P62" s="915"/>
      <c r="R62" s="915"/>
      <c r="T62" s="915"/>
      <c r="V62" s="915"/>
      <c r="X62" s="915"/>
      <c r="Z62" s="915"/>
      <c r="AB62" s="915"/>
      <c r="AD62" s="333"/>
      <c r="AE62" s="333"/>
      <c r="AF62" s="333"/>
      <c r="AG62" s="333"/>
      <c r="AH62" s="333"/>
      <c r="AI62" s="333"/>
      <c r="AJ62" s="333"/>
      <c r="AK62" s="333"/>
      <c r="AL62" s="333"/>
    </row>
    <row r="63" spans="1:38">
      <c r="A63" s="277" t="s">
        <v>474</v>
      </c>
      <c r="B63" s="501">
        <f ca="1">SUMIF(D$77:AC$77,$B$77,D63:AA63)</f>
        <v>-967142130</v>
      </c>
      <c r="C63" s="501"/>
      <c r="D63" s="501">
        <f>'SWM FGD'!$M80</f>
        <v>-373442574</v>
      </c>
      <c r="E63" s="501"/>
      <c r="F63" s="501">
        <f>'MBG FGD'!$M80</f>
        <v>-123650106</v>
      </c>
      <c r="G63" s="501"/>
      <c r="H63" s="501">
        <f>'HSH FGD'!$M80</f>
        <v>-34540001</v>
      </c>
      <c r="I63" s="501"/>
      <c r="J63" s="501">
        <f>'HSSA FGD'!$M80</f>
        <v>-124934051</v>
      </c>
      <c r="K63" s="501"/>
      <c r="L63" s="501">
        <f>'MDA FGD'!$M80</f>
        <v>-230791528</v>
      </c>
      <c r="M63" s="501"/>
      <c r="N63" s="501">
        <f>'THC FGD'!$M80</f>
        <v>-15885149</v>
      </c>
      <c r="O63" s="501"/>
      <c r="P63" s="501">
        <f>'TAMHSC FGD'!$M80</f>
        <v>0</v>
      </c>
      <c r="Q63" s="501"/>
      <c r="R63" s="501">
        <f>'UNTHSC1 FGD'!$M80</f>
        <v>-14506248</v>
      </c>
      <c r="S63" s="501"/>
      <c r="T63" s="501">
        <f>'TTUHSC FGD'!$M80</f>
        <v>-24024565</v>
      </c>
      <c r="U63" s="501"/>
      <c r="V63" s="501">
        <f>'TTUHSCEP FGD'!$M80</f>
        <v>-2447978</v>
      </c>
      <c r="W63" s="501"/>
      <c r="X63" s="501">
        <f>'AUSM FGD'!$M80</f>
        <v>-4051203</v>
      </c>
      <c r="Y63" s="501"/>
      <c r="Z63" s="501">
        <f>'RGVM FGD'!$M80</f>
        <v>-18868727</v>
      </c>
      <c r="AA63" s="501"/>
      <c r="AB63" s="501">
        <f>'UHM FGD'!$M80</f>
        <v>0</v>
      </c>
      <c r="AC63" s="501"/>
      <c r="AD63" s="333"/>
      <c r="AE63" s="333"/>
      <c r="AF63" s="333"/>
      <c r="AG63" s="333"/>
      <c r="AH63" s="333"/>
      <c r="AI63" s="333"/>
      <c r="AJ63" s="333"/>
      <c r="AK63" s="333"/>
      <c r="AL63" s="333"/>
    </row>
    <row r="64" spans="1:38">
      <c r="A64" s="277" t="s">
        <v>475</v>
      </c>
      <c r="B64" s="915">
        <f ca="1">SUMIF(D$77:AC$77,$B$77,D64:AA64)</f>
        <v>49364710</v>
      </c>
      <c r="C64" s="669"/>
      <c r="D64" s="915">
        <f>'SWM FGD'!$M81</f>
        <v>2669631</v>
      </c>
      <c r="E64" s="669"/>
      <c r="F64" s="915">
        <f>'MBG FGD'!$M81</f>
        <v>773266</v>
      </c>
      <c r="G64" s="669"/>
      <c r="H64" s="915">
        <f>'HSH FGD'!$M81</f>
        <v>3003378</v>
      </c>
      <c r="I64" s="669"/>
      <c r="J64" s="915">
        <f>'HSSA FGD'!$M81</f>
        <v>-5772118</v>
      </c>
      <c r="K64" s="669"/>
      <c r="L64" s="915">
        <f>'MDA FGD'!$M81</f>
        <v>26826106</v>
      </c>
      <c r="M64" s="669"/>
      <c r="N64" s="915">
        <f>'THC FGD'!$M81</f>
        <v>2095655</v>
      </c>
      <c r="O64" s="669"/>
      <c r="P64" s="915">
        <f>'TAMHSC FGD'!$M81</f>
        <v>18865260</v>
      </c>
      <c r="Q64" s="669"/>
      <c r="R64" s="915">
        <f>'UNTHSC1 FGD'!$M81</f>
        <v>-19510962</v>
      </c>
      <c r="S64" s="669"/>
      <c r="T64" s="915">
        <f>'TTUHSC FGD'!$M81</f>
        <v>-419687</v>
      </c>
      <c r="U64" s="669"/>
      <c r="V64" s="915">
        <f>'TTUHSCEP FGD'!$M81</f>
        <v>853600</v>
      </c>
      <c r="W64" s="669"/>
      <c r="X64" s="915">
        <f>'AUSM FGD'!$M81</f>
        <v>8908103</v>
      </c>
      <c r="Y64" s="669"/>
      <c r="Z64" s="915">
        <f>'RGVM FGD'!$M81</f>
        <v>10792567</v>
      </c>
      <c r="AA64" s="669"/>
      <c r="AB64" s="915">
        <f>'UHM FGD'!$M81</f>
        <v>279911</v>
      </c>
      <c r="AC64" s="669"/>
    </row>
    <row r="65" spans="1:38">
      <c r="A65" s="277" t="s">
        <v>476</v>
      </c>
      <c r="B65" s="915">
        <f ca="1">SUMIF(D$77:AC$77,$B$77,D65:AA65)</f>
        <v>363328843</v>
      </c>
      <c r="C65" s="669"/>
      <c r="D65" s="915">
        <f>'SWM FGD'!$M82</f>
        <v>168396645</v>
      </c>
      <c r="E65" s="669"/>
      <c r="F65" s="915">
        <f>'MBG FGD'!$M82</f>
        <v>40016429</v>
      </c>
      <c r="G65" s="669"/>
      <c r="H65" s="915">
        <f>'HSH FGD'!$M82</f>
        <v>8991780</v>
      </c>
      <c r="I65" s="669"/>
      <c r="J65" s="915">
        <f>'HSSA FGD'!$M82</f>
        <v>88553289</v>
      </c>
      <c r="K65" s="669"/>
      <c r="L65" s="915">
        <f>'MDA FGD'!$M82</f>
        <v>13354003</v>
      </c>
      <c r="M65" s="669"/>
      <c r="N65" s="915">
        <f>'THC FGD'!$M82</f>
        <v>11232533</v>
      </c>
      <c r="O65" s="669"/>
      <c r="P65" s="915">
        <f>'TAMHSC FGD'!$M82</f>
        <v>0</v>
      </c>
      <c r="Q65" s="669"/>
      <c r="R65" s="915">
        <f>'UNTHSC1 FGD'!$M82</f>
        <v>0</v>
      </c>
      <c r="S65" s="669"/>
      <c r="T65" s="915">
        <f>'TTUHSC FGD'!$M82</f>
        <v>12690433</v>
      </c>
      <c r="U65" s="669"/>
      <c r="V65" s="915">
        <f>'TTUHSCEP FGD'!$M82</f>
        <v>5188902</v>
      </c>
      <c r="W65" s="669"/>
      <c r="X65" s="915">
        <f>'AUSM FGD'!$M82</f>
        <v>1515547</v>
      </c>
      <c r="Y65" s="669"/>
      <c r="Z65" s="915">
        <f>'RGVM FGD'!$M82</f>
        <v>13389282</v>
      </c>
      <c r="AA65" s="669"/>
      <c r="AB65" s="915">
        <f>'UHM FGD'!$M82</f>
        <v>0</v>
      </c>
      <c r="AC65" s="669"/>
    </row>
    <row r="66" spans="1:38" ht="12" customHeight="1">
      <c r="A66" s="277" t="s">
        <v>477</v>
      </c>
      <c r="B66" s="915">
        <f ca="1">SUMIF(D$77:AC$77,$B$77,D66:AA66)</f>
        <v>-514909098</v>
      </c>
      <c r="C66" s="669"/>
      <c r="D66" s="915">
        <f>'SWM FGD'!$M83</f>
        <v>-134602074</v>
      </c>
      <c r="E66" s="669"/>
      <c r="F66" s="915">
        <f>'MBG FGD'!$M83</f>
        <v>-103537397</v>
      </c>
      <c r="G66" s="669"/>
      <c r="H66" s="915">
        <f>'HSH FGD'!$M83</f>
        <v>-35119054</v>
      </c>
      <c r="I66" s="669"/>
      <c r="J66" s="915">
        <f>'HSSA FGD'!$M83</f>
        <v>-21646690</v>
      </c>
      <c r="K66" s="669"/>
      <c r="L66" s="915">
        <f>'MDA FGD'!$M83</f>
        <v>-150416051</v>
      </c>
      <c r="M66" s="669"/>
      <c r="N66" s="915">
        <f>'THC FGD'!$M83</f>
        <v>-4381166</v>
      </c>
      <c r="O66" s="669"/>
      <c r="P66" s="915">
        <f>'TAMHSC FGD'!$M83</f>
        <v>-20843593</v>
      </c>
      <c r="Q66" s="669"/>
      <c r="R66" s="915">
        <f>'UNTHSC1 FGD'!$M83</f>
        <v>-866</v>
      </c>
      <c r="S66" s="669"/>
      <c r="T66" s="915">
        <f>'TTUHSC FGD'!$M83</f>
        <v>-10383711</v>
      </c>
      <c r="U66" s="669"/>
      <c r="V66" s="915">
        <f>'TTUHSCEP FGD'!$M83</f>
        <v>-19466650</v>
      </c>
      <c r="W66" s="669"/>
      <c r="X66" s="915">
        <f>'AUSM FGD'!$M83</f>
        <v>-14422846</v>
      </c>
      <c r="Y66" s="669"/>
      <c r="Z66" s="915">
        <f>'RGVM FGD'!$M83</f>
        <v>-89000</v>
      </c>
      <c r="AA66" s="669"/>
      <c r="AB66" s="915">
        <f>'UHM FGD'!$M83</f>
        <v>0</v>
      </c>
      <c r="AC66" s="669"/>
      <c r="AD66" s="333"/>
      <c r="AE66" s="333"/>
      <c r="AF66" s="333"/>
      <c r="AG66" s="333"/>
      <c r="AH66" s="333"/>
      <c r="AI66" s="333"/>
      <c r="AJ66" s="333"/>
      <c r="AK66" s="333"/>
      <c r="AL66" s="333"/>
    </row>
    <row r="67" spans="1:38">
      <c r="A67" s="936" t="s">
        <v>155</v>
      </c>
      <c r="B67" s="937">
        <f t="shared" ref="B67:D67" ca="1" si="52">SUM(B63:B66)</f>
        <v>-1069357675</v>
      </c>
      <c r="C67" s="937"/>
      <c r="D67" s="937">
        <f t="shared" si="52"/>
        <v>-336978372</v>
      </c>
      <c r="E67" s="937"/>
      <c r="F67" s="937">
        <f t="shared" ref="F67:T67" si="53">SUM(F63:F66)</f>
        <v>-186397808</v>
      </c>
      <c r="G67" s="937"/>
      <c r="H67" s="937">
        <f t="shared" si="53"/>
        <v>-57663897</v>
      </c>
      <c r="I67" s="937"/>
      <c r="J67" s="937">
        <f t="shared" si="53"/>
        <v>-63799570</v>
      </c>
      <c r="K67" s="937"/>
      <c r="L67" s="937">
        <f t="shared" si="53"/>
        <v>-341027470</v>
      </c>
      <c r="M67" s="937"/>
      <c r="N67" s="937">
        <f t="shared" si="53"/>
        <v>-6938127</v>
      </c>
      <c r="O67" s="937"/>
      <c r="P67" s="937">
        <f t="shared" si="53"/>
        <v>-1978333</v>
      </c>
      <c r="Q67" s="937"/>
      <c r="R67" s="937">
        <f t="shared" si="53"/>
        <v>-34018076</v>
      </c>
      <c r="S67" s="937"/>
      <c r="T67" s="937">
        <f t="shared" si="53"/>
        <v>-22137530</v>
      </c>
      <c r="U67" s="937"/>
      <c r="V67" s="937">
        <f t="shared" ref="V67" si="54">SUM(V63:V66)</f>
        <v>-15872126</v>
      </c>
      <c r="W67" s="937"/>
      <c r="X67" s="937">
        <f t="shared" ref="X67" si="55">SUM(X63:X66)</f>
        <v>-8050399</v>
      </c>
      <c r="Y67" s="937"/>
      <c r="Z67" s="937">
        <f t="shared" ref="Z67" si="56">SUM(Z63:Z66)</f>
        <v>5224122</v>
      </c>
      <c r="AA67" s="937"/>
      <c r="AB67" s="937">
        <f t="shared" ref="AB67" si="57">SUM(AB63:AB66)</f>
        <v>279911</v>
      </c>
      <c r="AC67" s="937"/>
    </row>
    <row r="68" spans="1:38">
      <c r="B68" s="1088" t="str">
        <f ca="1">IF(B67&lt;&gt;'Smmy Sum'!B74,"Error","")</f>
        <v/>
      </c>
      <c r="C68" s="1088"/>
      <c r="D68" s="1088" t="str">
        <f>IF(D67&lt;&gt;'SWM FGD'!$M84,"Error","")</f>
        <v/>
      </c>
      <c r="E68" s="1088"/>
      <c r="F68" s="1088" t="str">
        <f>IF(F67&lt;&gt;'MBG FGD'!$M84,"Error","")</f>
        <v/>
      </c>
      <c r="G68" s="1088"/>
      <c r="H68" s="1088" t="str">
        <f>IF(H67&lt;&gt;'HSH FGD'!$M84,"Error","")</f>
        <v/>
      </c>
      <c r="I68" s="1088"/>
      <c r="J68" s="1088" t="str">
        <f>IF(J67&lt;&gt;'HSSA FGD'!$M84,"Error","")</f>
        <v/>
      </c>
      <c r="K68" s="1088"/>
      <c r="L68" s="1088" t="str">
        <f>IF(L67&lt;&gt;'MDA FGD'!$M84,"Error","")</f>
        <v/>
      </c>
      <c r="M68" s="1088"/>
      <c r="N68" s="1088" t="str">
        <f>IF(N67&lt;&gt;'THC FGD'!$M84,"Error","")</f>
        <v/>
      </c>
      <c r="O68" s="1088"/>
      <c r="P68" s="1088" t="str">
        <f>IF(P67&lt;&gt;'TAMHSC FGD'!$M84,"Error","")</f>
        <v/>
      </c>
      <c r="Q68" s="1088"/>
      <c r="R68" s="1088" t="str">
        <f>IF(R67&lt;&gt;'UNTHSC1 FGD'!$M84,"Error","")</f>
        <v/>
      </c>
      <c r="S68" s="1088"/>
      <c r="T68" s="1088" t="str">
        <f>IF(T67&lt;&gt;'TTUHSC FGD'!$M84,"Error","")</f>
        <v/>
      </c>
      <c r="U68" s="1088"/>
      <c r="V68" s="1088" t="str">
        <f>IF(V67&lt;&gt;'TTUHSCEP FGD'!$M84,"Error","")</f>
        <v/>
      </c>
      <c r="W68" s="1088"/>
      <c r="X68" s="1088" t="str">
        <f>IF(X67&lt;&gt;'AUSM FGD'!$M84,"Error","")</f>
        <v/>
      </c>
      <c r="Y68" s="1088"/>
      <c r="Z68" s="1088" t="str">
        <f>IF(Z67&lt;&gt;'RGVM FGD'!$M84,"Error","")</f>
        <v/>
      </c>
      <c r="AA68" s="1088"/>
      <c r="AB68" s="1088" t="str">
        <f>IF(AB67&lt;&gt;'UHM FGD'!$M84,"Error","")</f>
        <v/>
      </c>
      <c r="AC68" s="1088"/>
    </row>
    <row r="69" spans="1:38">
      <c r="A69" s="279" t="s">
        <v>478</v>
      </c>
      <c r="B69" s="915"/>
      <c r="D69" s="915"/>
      <c r="F69" s="915"/>
      <c r="H69" s="915"/>
      <c r="J69" s="915"/>
      <c r="L69" s="915"/>
      <c r="N69" s="915"/>
      <c r="P69" s="915"/>
      <c r="R69" s="915"/>
      <c r="T69" s="915"/>
      <c r="V69" s="915"/>
      <c r="X69" s="915"/>
      <c r="Z69" s="915"/>
      <c r="AB69" s="915"/>
      <c r="AD69" s="333"/>
      <c r="AE69" s="333"/>
      <c r="AF69" s="333"/>
      <c r="AG69" s="333"/>
      <c r="AH69" s="333"/>
      <c r="AI69" s="333"/>
      <c r="AJ69" s="333"/>
      <c r="AK69" s="333"/>
      <c r="AL69" s="333"/>
    </row>
    <row r="70" spans="1:38">
      <c r="A70" s="277" t="s">
        <v>479</v>
      </c>
      <c r="B70" s="501">
        <f ca="1">SUMIF(D$77:AC$77,$B$77,D70:AA70)</f>
        <v>-2348264186</v>
      </c>
      <c r="C70" s="501"/>
      <c r="D70" s="501">
        <f>'SWM FGD'!$M87</f>
        <v>-508672175</v>
      </c>
      <c r="E70" s="501"/>
      <c r="F70" s="501">
        <f>'MBG FGD'!$M87</f>
        <v>-188688435</v>
      </c>
      <c r="G70" s="501"/>
      <c r="H70" s="501">
        <f>'HSH FGD'!$M87</f>
        <v>-200094723</v>
      </c>
      <c r="I70" s="501"/>
      <c r="J70" s="501">
        <f>'HSSA FGD'!$M87</f>
        <v>-138578463</v>
      </c>
      <c r="K70" s="501"/>
      <c r="L70" s="501">
        <f>'MDA FGD'!$M87</f>
        <v>-1149171683</v>
      </c>
      <c r="M70" s="501"/>
      <c r="N70" s="501">
        <f>'THC FGD'!$M87</f>
        <v>-7654106</v>
      </c>
      <c r="O70" s="501"/>
      <c r="P70" s="501">
        <f>'TAMHSC FGD'!$M87</f>
        <v>-64836581</v>
      </c>
      <c r="Q70" s="501"/>
      <c r="R70" s="501">
        <f>'UNTHSC1 FGD'!$M87</f>
        <v>-33979933</v>
      </c>
      <c r="S70" s="501"/>
      <c r="T70" s="501">
        <f>'TTUHSC FGD'!$M87</f>
        <v>-34962222</v>
      </c>
      <c r="U70" s="501"/>
      <c r="V70" s="501">
        <f>'TTUHSCEP FGD'!$M87</f>
        <v>-14802276</v>
      </c>
      <c r="W70" s="501"/>
      <c r="X70" s="501">
        <f>'AUSM FGD'!$M87</f>
        <v>-6165859</v>
      </c>
      <c r="Y70" s="501"/>
      <c r="Z70" s="501">
        <f>'RGVM FGD'!$M87</f>
        <v>-657730</v>
      </c>
      <c r="AA70" s="501"/>
      <c r="AB70" s="501">
        <f>'UHM FGD'!$M87</f>
        <v>0</v>
      </c>
      <c r="AC70" s="501"/>
    </row>
    <row r="71" spans="1:38">
      <c r="A71" s="277" t="s">
        <v>480</v>
      </c>
      <c r="B71" s="915">
        <f ca="1">SUMIF(D$77:AC$77,$B$77,D71:AA71)</f>
        <v>147694820</v>
      </c>
      <c r="C71" s="669"/>
      <c r="D71" s="915">
        <f>'SWM FGD'!$M88</f>
        <v>61298448</v>
      </c>
      <c r="E71" s="669"/>
      <c r="F71" s="915">
        <f>'MBG FGD'!$M88</f>
        <v>9884009</v>
      </c>
      <c r="G71" s="669"/>
      <c r="H71" s="915">
        <f>'HSH FGD'!$M88</f>
        <v>46142799</v>
      </c>
      <c r="I71" s="669"/>
      <c r="J71" s="915">
        <f>'HSSA FGD'!$M88</f>
        <v>6666640</v>
      </c>
      <c r="K71" s="669"/>
      <c r="L71" s="915">
        <f>'MDA FGD'!$M88</f>
        <v>19305649</v>
      </c>
      <c r="M71" s="669"/>
      <c r="N71" s="915">
        <f>'THC FGD'!$M88</f>
        <v>1097241</v>
      </c>
      <c r="O71" s="669"/>
      <c r="P71" s="915">
        <f>'TAMHSC FGD'!$M88</f>
        <v>66453</v>
      </c>
      <c r="Q71" s="669"/>
      <c r="R71" s="915">
        <f>'UNTHSC1 FGD'!$M88</f>
        <v>0</v>
      </c>
      <c r="S71" s="669"/>
      <c r="T71" s="915">
        <f>'TTUHSC FGD'!$M88</f>
        <v>133991</v>
      </c>
      <c r="U71" s="669"/>
      <c r="V71" s="915">
        <f>'TTUHSCEP FGD'!$M88</f>
        <v>71929</v>
      </c>
      <c r="W71" s="669"/>
      <c r="X71" s="915">
        <f>'AUSM FGD'!$M88</f>
        <v>2065831</v>
      </c>
      <c r="Y71" s="669"/>
      <c r="Z71" s="915">
        <f>'RGVM FGD'!$M88</f>
        <v>961830</v>
      </c>
      <c r="AA71" s="669"/>
      <c r="AB71" s="915">
        <f>'UHM FGD'!$M88</f>
        <v>0</v>
      </c>
      <c r="AC71" s="669"/>
      <c r="AD71" s="333"/>
      <c r="AE71" s="333"/>
      <c r="AF71" s="333"/>
      <c r="AG71" s="333"/>
      <c r="AH71" s="333"/>
      <c r="AI71" s="333"/>
      <c r="AJ71" s="333"/>
      <c r="AK71" s="333"/>
      <c r="AL71" s="333"/>
    </row>
    <row r="72" spans="1:38">
      <c r="A72" s="936" t="s">
        <v>155</v>
      </c>
      <c r="B72" s="937">
        <f t="shared" ref="B72:D72" ca="1" si="58">SUM(B70:B71)</f>
        <v>-2200569366</v>
      </c>
      <c r="C72" s="937"/>
      <c r="D72" s="937">
        <f t="shared" si="58"/>
        <v>-447373727</v>
      </c>
      <c r="E72" s="937"/>
      <c r="F72" s="937">
        <f t="shared" ref="F72:T72" si="59">SUM(F70:F71)</f>
        <v>-178804426</v>
      </c>
      <c r="G72" s="937"/>
      <c r="H72" s="937">
        <f t="shared" si="59"/>
        <v>-153951924</v>
      </c>
      <c r="I72" s="937"/>
      <c r="J72" s="937">
        <f t="shared" si="59"/>
        <v>-131911823</v>
      </c>
      <c r="K72" s="937"/>
      <c r="L72" s="937">
        <f t="shared" si="59"/>
        <v>-1129866034</v>
      </c>
      <c r="M72" s="937"/>
      <c r="N72" s="937">
        <f t="shared" si="59"/>
        <v>-6556865</v>
      </c>
      <c r="O72" s="937"/>
      <c r="P72" s="937">
        <f t="shared" si="59"/>
        <v>-64770128</v>
      </c>
      <c r="Q72" s="937"/>
      <c r="R72" s="937">
        <f t="shared" si="59"/>
        <v>-33979933</v>
      </c>
      <c r="S72" s="937"/>
      <c r="T72" s="937">
        <f t="shared" si="59"/>
        <v>-34828231</v>
      </c>
      <c r="U72" s="937"/>
      <c r="V72" s="937">
        <f t="shared" ref="V72" si="60">SUM(V70:V71)</f>
        <v>-14730347</v>
      </c>
      <c r="W72" s="937"/>
      <c r="X72" s="937">
        <f t="shared" ref="X72" si="61">SUM(X70:X71)</f>
        <v>-4100028</v>
      </c>
      <c r="Y72" s="937"/>
      <c r="Z72" s="937">
        <f t="shared" ref="Z72" si="62">SUM(Z70:Z71)</f>
        <v>304100</v>
      </c>
      <c r="AA72" s="937"/>
      <c r="AB72" s="937">
        <f t="shared" ref="AB72" si="63">SUM(AB70:AB71)</f>
        <v>0</v>
      </c>
      <c r="AC72" s="937"/>
    </row>
    <row r="73" spans="1:38">
      <c r="B73" s="1088" t="str">
        <f ca="1">IF(B72&lt;&gt;'Smmy Sum'!B79,"Error","")</f>
        <v/>
      </c>
      <c r="C73" s="1088"/>
      <c r="D73" s="1088" t="str">
        <f>IF(D72&lt;&gt;'SWM FGD'!$M89,"Error","")</f>
        <v/>
      </c>
      <c r="E73" s="1088"/>
      <c r="F73" s="1088" t="str">
        <f>IF(F72&lt;&gt;'MBG FGD'!$M89,"Error","")</f>
        <v/>
      </c>
      <c r="G73" s="1088"/>
      <c r="H73" s="1088" t="str">
        <f>IF(H72&lt;&gt;'HSH FGD'!$M89,"Error","")</f>
        <v/>
      </c>
      <c r="I73" s="1088"/>
      <c r="J73" s="1088" t="str">
        <f>IF(J72&lt;&gt;'HSSA FGD'!$M89,"Error","")</f>
        <v/>
      </c>
      <c r="K73" s="1088"/>
      <c r="L73" s="1088" t="str">
        <f>IF(L72&lt;&gt;'MDA FGD'!$M89,"Error","")</f>
        <v/>
      </c>
      <c r="M73" s="1088"/>
      <c r="N73" s="1088" t="str">
        <f>IF(N72&lt;&gt;'THC FGD'!$M89,"Error","")</f>
        <v/>
      </c>
      <c r="O73" s="1088"/>
      <c r="P73" s="1088" t="str">
        <f>IF(P72&lt;&gt;'TAMHSC FGD'!$M89,"Error","")</f>
        <v/>
      </c>
      <c r="Q73" s="1088"/>
      <c r="R73" s="1088" t="str">
        <f>IF(R72&lt;&gt;'UNTHSC1 FGD'!$M89,"Error","")</f>
        <v/>
      </c>
      <c r="S73" s="1088"/>
      <c r="T73" s="1088" t="str">
        <f>IF(T72&lt;&gt;'TTUHSC FGD'!$M89,"Error","")</f>
        <v/>
      </c>
      <c r="U73" s="1088"/>
      <c r="V73" s="1088" t="str">
        <f>IF(V72&lt;&gt;'TTUHSCEP FGD'!$M89,"Error","")</f>
        <v/>
      </c>
      <c r="W73" s="1088"/>
      <c r="X73" s="1088" t="str">
        <f>IF(X72&lt;&gt;'AUSM FGD'!$M89,"Error","")</f>
        <v/>
      </c>
      <c r="Y73" s="1088"/>
      <c r="Z73" s="1088" t="str">
        <f>IF(Z72&lt;&gt;'RGVM FGD'!$M89,"Error","")</f>
        <v/>
      </c>
      <c r="AA73" s="1088"/>
      <c r="AB73" s="1088" t="str">
        <f>IF(AB72&lt;&gt;'UHM FGD'!$M89,"Error","")</f>
        <v/>
      </c>
      <c r="AC73" s="1088"/>
    </row>
    <row r="74" spans="1:38" ht="13.8" thickBot="1">
      <c r="A74" s="985" t="s">
        <v>481</v>
      </c>
      <c r="B74" s="590">
        <f t="shared" ref="B74:T74" ca="1" si="64">B45-B60+B67+B72</f>
        <v>-516217731</v>
      </c>
      <c r="C74" s="590"/>
      <c r="D74" s="590">
        <f t="shared" si="64"/>
        <v>-167003692</v>
      </c>
      <c r="E74" s="590"/>
      <c r="F74" s="590">
        <f t="shared" si="64"/>
        <v>-70411580</v>
      </c>
      <c r="G74" s="590"/>
      <c r="H74" s="590">
        <f t="shared" si="64"/>
        <v>-22005218</v>
      </c>
      <c r="I74" s="590"/>
      <c r="J74" s="590">
        <f t="shared" si="64"/>
        <v>-101704856</v>
      </c>
      <c r="K74" s="590"/>
      <c r="L74" s="590">
        <f t="shared" si="64"/>
        <v>-169897312</v>
      </c>
      <c r="M74" s="590"/>
      <c r="N74" s="590">
        <f t="shared" si="64"/>
        <v>2856622</v>
      </c>
      <c r="O74" s="590"/>
      <c r="P74" s="590">
        <f>P45-P60+P67+P72</f>
        <v>25878766</v>
      </c>
      <c r="Q74" s="590"/>
      <c r="R74" s="590">
        <f t="shared" si="64"/>
        <v>-16967634</v>
      </c>
      <c r="S74" s="590"/>
      <c r="T74" s="590">
        <f t="shared" si="64"/>
        <v>19146076</v>
      </c>
      <c r="U74" s="590"/>
      <c r="V74" s="590">
        <f t="shared" ref="V74" si="65">V45-V60+V67+V72</f>
        <v>-1882048</v>
      </c>
      <c r="W74" s="590"/>
      <c r="X74" s="590">
        <f t="shared" ref="X74" si="66">X45-X60+X67+X72</f>
        <v>-17474603</v>
      </c>
      <c r="Y74" s="590"/>
      <c r="Z74" s="590">
        <f t="shared" ref="Z74" si="67">Z45-Z60+Z67+Z72</f>
        <v>2894609</v>
      </c>
      <c r="AA74" s="590"/>
      <c r="AB74" s="590">
        <f t="shared" ref="AB74" si="68">AB45-AB60+AB67+AB72</f>
        <v>353139</v>
      </c>
      <c r="AC74" s="590"/>
    </row>
    <row r="75" spans="1:38" ht="13.8" thickTop="1">
      <c r="B75" s="1088" t="str">
        <f ca="1">IF(B74&lt;&gt;'Smmy Sum'!B81,"Error","")</f>
        <v/>
      </c>
      <c r="C75" s="1088"/>
      <c r="D75" s="1088" t="str">
        <f>IF(D74&lt;&gt;'SWM FGD'!$M91,"Error","")</f>
        <v/>
      </c>
      <c r="E75" s="1088"/>
      <c r="F75" s="1088" t="str">
        <f>IF(F74&lt;&gt;'MBG FGD'!$M91,"Error","")</f>
        <v/>
      </c>
      <c r="G75" s="1088"/>
      <c r="H75" s="1088" t="str">
        <f>IF(H74&lt;&gt;'HSH FGD'!$M91,"Error","")</f>
        <v/>
      </c>
      <c r="I75" s="1088"/>
      <c r="J75" s="1088" t="str">
        <f>IF(J74&lt;&gt;'HSSA FGD'!$M91,"Error","")</f>
        <v/>
      </c>
      <c r="K75" s="1088"/>
      <c r="L75" s="1088" t="str">
        <f>IF(L74&lt;&gt;'MDA FGD'!$M91,"Error","")</f>
        <v/>
      </c>
      <c r="M75" s="1088" t="str">
        <f>IF(M74&lt;&gt;'MDA Sum'!$C68,"Error","")</f>
        <v/>
      </c>
      <c r="N75" s="1088" t="str">
        <f>IF(N74&lt;&gt;'THC FGD'!$M91,"Error","")</f>
        <v/>
      </c>
      <c r="O75" s="1088" t="str">
        <f>IF(O74&lt;&gt;'THC Sum'!$C76,"Error","")</f>
        <v/>
      </c>
      <c r="P75" s="1088" t="str">
        <f>IF(P74&lt;&gt;'TAMHSC FGD'!$M91,"Error","")</f>
        <v/>
      </c>
      <c r="Q75" s="1088"/>
      <c r="R75" s="1088" t="str">
        <f>IF(R74&lt;&gt;'UNTHSC1 FGD'!$M91,"Error","")</f>
        <v/>
      </c>
      <c r="S75" s="1088"/>
      <c r="T75" s="1088" t="str">
        <f>IF(T74&lt;&gt;'TTUHSC FGD'!$M91,"Error","")</f>
        <v/>
      </c>
      <c r="U75" s="1088"/>
      <c r="V75" s="1088" t="str">
        <f>IF(V74&lt;&gt;'TTUHSCEP FGD'!$M91,"Error","")</f>
        <v/>
      </c>
      <c r="W75" s="1088"/>
      <c r="X75" s="1088" t="str">
        <f>IF(X74&lt;&gt;'AUSM FGD'!$M91,"Error","")</f>
        <v/>
      </c>
      <c r="Y75" s="1088"/>
      <c r="Z75" s="1088" t="str">
        <f>IF(Z74&lt;&gt;'RGVM FGD'!$M91,"Error","")</f>
        <v/>
      </c>
      <c r="AA75" s="1088"/>
      <c r="AB75" s="1088" t="str">
        <f>IF(AB74&lt;&gt;'UHM FGD'!$M91,"Error","")</f>
        <v/>
      </c>
      <c r="AC75" s="1088"/>
    </row>
    <row r="76" spans="1:38">
      <c r="P76" s="669"/>
    </row>
    <row r="77" spans="1:38">
      <c r="B77" s="282" t="s">
        <v>359</v>
      </c>
      <c r="D77" s="282" t="s">
        <v>359</v>
      </c>
      <c r="F77" s="282" t="s">
        <v>359</v>
      </c>
      <c r="H77" s="282" t="s">
        <v>359</v>
      </c>
      <c r="J77" s="282" t="s">
        <v>359</v>
      </c>
      <c r="L77" s="282" t="s">
        <v>359</v>
      </c>
      <c r="N77" s="282" t="s">
        <v>359</v>
      </c>
      <c r="P77" s="282" t="s">
        <v>359</v>
      </c>
      <c r="R77" s="282" t="s">
        <v>359</v>
      </c>
      <c r="T77" s="282" t="s">
        <v>359</v>
      </c>
      <c r="V77" s="282" t="s">
        <v>359</v>
      </c>
      <c r="X77" s="282" t="s">
        <v>359</v>
      </c>
      <c r="Z77" s="282" t="s">
        <v>359</v>
      </c>
      <c r="AB77" s="282" t="s">
        <v>359</v>
      </c>
    </row>
    <row r="80" spans="1:38">
      <c r="A80" s="1091"/>
    </row>
    <row r="81" spans="1:28">
      <c r="A81" s="320" t="s">
        <v>482</v>
      </c>
      <c r="B81" s="501">
        <f ca="1">SUMIF(D$77:AC$77,$B$77,D81:AA81)</f>
        <v>-1158448783</v>
      </c>
      <c r="D81" s="501">
        <f>'SWM FGD'!$M93</f>
        <v>-243738948</v>
      </c>
      <c r="F81" s="501">
        <f>'MBG FGD'!$M93</f>
        <v>-213137449</v>
      </c>
      <c r="H81" s="501">
        <f>'HSH FGD'!$M93</f>
        <v>-102585352</v>
      </c>
      <c r="J81" s="501">
        <f>'HSSA FGD'!$M93</f>
        <v>-67461322</v>
      </c>
      <c r="L81" s="501">
        <f>'MDA FGD'!$M93</f>
        <v>-372315602</v>
      </c>
      <c r="N81" s="501">
        <f>'THC FGD'!$M93</f>
        <v>-18918417</v>
      </c>
      <c r="P81" s="501">
        <f>'TAMHSC FGD'!$M93</f>
        <v>-32898042</v>
      </c>
      <c r="R81" s="501">
        <f>'UNTHSC1 FGD'!$M93</f>
        <v>-20848813</v>
      </c>
      <c r="T81" s="501">
        <f>'TTUHSC FGD'!$M93</f>
        <v>-28102451</v>
      </c>
      <c r="V81" s="501">
        <f>'TTUHSCEP FGD'!$M93</f>
        <v>-19266718</v>
      </c>
      <c r="X81" s="501">
        <f>'AUSM FGD'!$M93</f>
        <v>-26062937</v>
      </c>
      <c r="Z81" s="501">
        <f>'RGVM FGD'!$M93</f>
        <v>-13112732</v>
      </c>
      <c r="AB81" s="501">
        <f>'UHM FGD'!$M93</f>
        <v>0</v>
      </c>
    </row>
    <row r="82" spans="1:28">
      <c r="A82" s="320" t="s">
        <v>483</v>
      </c>
      <c r="B82" s="915">
        <f ca="1">SUMIF(D$77:AC$77,$B$77,D82:AA82)</f>
        <v>17513240</v>
      </c>
      <c r="D82" s="915">
        <f>'SWM FGD'!$M94</f>
        <v>0</v>
      </c>
      <c r="F82" s="915">
        <f>'MBG FGD'!$M94</f>
        <v>0</v>
      </c>
      <c r="H82" s="915">
        <f>'HSH FGD'!$M94</f>
        <v>0</v>
      </c>
      <c r="J82" s="915">
        <f>'HSSA FGD'!$M94</f>
        <v>0</v>
      </c>
      <c r="L82" s="915">
        <f>'MDA FGD'!$M94</f>
        <v>0</v>
      </c>
      <c r="N82" s="915">
        <f>'THC FGD'!$M94</f>
        <v>0</v>
      </c>
      <c r="P82" s="915">
        <f>'TAMHSC FGD'!$M94</f>
        <v>17799267</v>
      </c>
      <c r="R82" s="915">
        <f>'UNTHSC1 FGD'!$M94</f>
        <v>1096</v>
      </c>
      <c r="T82" s="915">
        <f>'TTUHSC FGD'!$M94</f>
        <v>-280343</v>
      </c>
      <c r="V82" s="915">
        <f>'TTUHSCEP FGD'!$M94</f>
        <v>-6780</v>
      </c>
      <c r="X82" s="915">
        <f>'AUSM FGD'!$M94</f>
        <v>0</v>
      </c>
      <c r="Z82" s="915">
        <f>'RGVM FGD'!$M94</f>
        <v>0</v>
      </c>
      <c r="AB82" s="915">
        <f>'UHM FGD'!$M94</f>
        <v>0</v>
      </c>
    </row>
    <row r="83" spans="1:28" ht="12.75" customHeight="1">
      <c r="A83" s="320" t="s">
        <v>484</v>
      </c>
      <c r="B83" s="915">
        <f ca="1">SUMIF(D$77:AC$77,$B$77,D83:AA83)</f>
        <v>0</v>
      </c>
      <c r="D83" s="915">
        <f>'SWM FGD'!$M95</f>
        <v>0</v>
      </c>
      <c r="F83" s="915">
        <f>'MBG FGD'!$M95</f>
        <v>0</v>
      </c>
      <c r="H83" s="915">
        <f>'HSH FGD'!$M95</f>
        <v>0</v>
      </c>
      <c r="J83" s="915">
        <f>'HSSA FGD'!$M95</f>
        <v>0</v>
      </c>
      <c r="L83" s="915">
        <f>'MDA FGD'!$M95</f>
        <v>0</v>
      </c>
      <c r="N83" s="915">
        <f>'THC FGD'!$M95</f>
        <v>0</v>
      </c>
      <c r="P83" s="915">
        <f>'TAMHSC FGD'!$M95</f>
        <v>0</v>
      </c>
      <c r="R83" s="915">
        <f>'UNTHSC1 FGD'!$M95</f>
        <v>0</v>
      </c>
      <c r="T83" s="915">
        <f>'TTUHSC FGD'!$M95</f>
        <v>0</v>
      </c>
      <c r="V83" s="915">
        <f>'TTUHSCEP FGD'!$M95</f>
        <v>0</v>
      </c>
      <c r="X83" s="915">
        <f>'AUSM FGD'!$M95</f>
        <v>0</v>
      </c>
      <c r="Z83" s="915">
        <f>'RGVM FGD'!$M95</f>
        <v>0</v>
      </c>
      <c r="AB83" s="915">
        <f>'UHM FGD'!$M95</f>
        <v>0</v>
      </c>
    </row>
    <row r="84" spans="1:28" ht="12.75" customHeight="1">
      <c r="A84" s="320" t="s">
        <v>485</v>
      </c>
      <c r="B84" s="915">
        <f ca="1">SUMIF(D$77:AC$77,$B$77,D84:AA84)</f>
        <v>5328769</v>
      </c>
      <c r="D84" s="915">
        <f>'SWM FGD'!$M96</f>
        <v>319729</v>
      </c>
      <c r="F84" s="915">
        <f>'MBG FGD'!$M96</f>
        <v>0</v>
      </c>
      <c r="H84" s="915">
        <f>'HSH FGD'!$M96</f>
        <v>0</v>
      </c>
      <c r="J84" s="915">
        <f>'HSSA FGD'!$M96</f>
        <v>0</v>
      </c>
      <c r="L84" s="915">
        <f>'MDA FGD'!$M96</f>
        <v>38738</v>
      </c>
      <c r="N84" s="915">
        <f>'THC FGD'!$M96</f>
        <v>0</v>
      </c>
      <c r="P84" s="915">
        <f>'TAMHSC FGD'!$M96</f>
        <v>0</v>
      </c>
      <c r="R84" s="915">
        <f>'UNTHSC1 FGD'!$M96</f>
        <v>0</v>
      </c>
      <c r="T84" s="915">
        <f>'TTUHSC FGD'!$M96</f>
        <v>3868047</v>
      </c>
      <c r="V84" s="915">
        <f>'TTUHSCEP FGD'!$M96</f>
        <v>56541</v>
      </c>
      <c r="X84" s="915">
        <f>'AUSM FGD'!$M96</f>
        <v>45714</v>
      </c>
      <c r="Z84" s="915">
        <f>'RGVM FGD'!$M96</f>
        <v>1000000</v>
      </c>
      <c r="AB84" s="915">
        <f>'UHM FGD'!$M96</f>
        <v>0</v>
      </c>
    </row>
    <row r="85" spans="1:28" ht="12.75" customHeight="1">
      <c r="A85" s="320" t="s">
        <v>486</v>
      </c>
      <c r="B85" s="915">
        <f ca="1">SUMIF(D$77:AC$77,$B$77,D85:AA85)</f>
        <v>1154146609</v>
      </c>
      <c r="D85" s="915">
        <f>'SWM FGD'!$M97</f>
        <v>378044529</v>
      </c>
      <c r="F85" s="915">
        <f>'MBG FGD'!$M97</f>
        <v>138742852</v>
      </c>
      <c r="H85" s="915">
        <f>'HSH FGD'!$M97</f>
        <v>52394492</v>
      </c>
      <c r="J85" s="915">
        <f>'HSSA FGD'!$M97</f>
        <v>142699367</v>
      </c>
      <c r="L85" s="915">
        <f>'MDA FGD'!$M97</f>
        <v>319331235</v>
      </c>
      <c r="N85" s="915">
        <f>'THC FGD'!$M97</f>
        <v>17618711</v>
      </c>
      <c r="P85" s="915">
        <f>'TAMHSC FGD'!$M97</f>
        <v>7049076</v>
      </c>
      <c r="R85" s="915">
        <f>'UNTHSC1 FGD'!$M97</f>
        <v>26401624</v>
      </c>
      <c r="T85" s="915">
        <f>'TTUHSC FGD'!$M97</f>
        <v>33001004</v>
      </c>
      <c r="V85" s="915">
        <f>'TTUHSCEP FGD'!$M97</f>
        <v>10062869</v>
      </c>
      <c r="X85" s="915">
        <f>'AUSM FGD'!$M97</f>
        <v>4303336</v>
      </c>
      <c r="Z85" s="915">
        <f>'RGVM FGD'!$M97</f>
        <v>24497514</v>
      </c>
      <c r="AB85" s="915">
        <f>'UHM FGD'!$M97</f>
        <v>0</v>
      </c>
    </row>
    <row r="86" spans="1:28" s="681" customFormat="1" ht="12.75" customHeight="1" thickBot="1">
      <c r="A86" s="1092" t="s">
        <v>487</v>
      </c>
      <c r="B86" s="540">
        <f ca="1">SUM(B81:B85)+B74</f>
        <v>-497677896</v>
      </c>
      <c r="D86" s="540">
        <f>SUM(D81:D85)+D74</f>
        <v>-32378382</v>
      </c>
      <c r="F86" s="540">
        <f>SUM(F81:F85)+F74</f>
        <v>-144806177</v>
      </c>
      <c r="H86" s="540">
        <f>SUM(H81:H85)+H74</f>
        <v>-72196078</v>
      </c>
      <c r="J86" s="540">
        <f>SUM(J81:J85)+J74</f>
        <v>-26466811</v>
      </c>
      <c r="L86" s="540">
        <f>SUM(L81:L85)+L74</f>
        <v>-222842941</v>
      </c>
      <c r="N86" s="540">
        <f>SUM(N81:N85)+N74</f>
        <v>1556916</v>
      </c>
      <c r="P86" s="540">
        <f>SUM(P81:P85)+P74</f>
        <v>17829067</v>
      </c>
      <c r="R86" s="540">
        <f>SUM(R81:R85)+R74</f>
        <v>-11413727</v>
      </c>
      <c r="T86" s="540">
        <f>SUM(T81:T85)+T74</f>
        <v>27632333</v>
      </c>
      <c r="V86" s="540">
        <f>SUM(V81:V85)+V74</f>
        <v>-11036136</v>
      </c>
      <c r="X86" s="540">
        <f>SUM(X81:X85)+X74</f>
        <v>-39188490</v>
      </c>
      <c r="Z86" s="540">
        <f>SUM(Z81:Z85)+Z74</f>
        <v>15279391</v>
      </c>
      <c r="AB86" s="540">
        <f>SUM(AB81:AB85)+AB74</f>
        <v>353139</v>
      </c>
    </row>
    <row r="87" spans="1:28" ht="13.8" thickTop="1">
      <c r="B87" s="1088" t="str">
        <f ca="1">IF(B86&lt;&gt;'Smmy FGD'!M1008,"Error","")</f>
        <v/>
      </c>
      <c r="D87" s="1088" t="str">
        <f>IF(D86&lt;&gt;'SWM FGD'!$M98,"Error","")</f>
        <v/>
      </c>
      <c r="F87" s="1088" t="str">
        <f>IF(F86&lt;&gt;'MBG FGD'!$M98,"Error","")</f>
        <v/>
      </c>
      <c r="H87" s="1088" t="str">
        <f>IF(H86&lt;&gt;'HSH FGD'!$M98,"Error","")</f>
        <v/>
      </c>
      <c r="J87" s="1088" t="str">
        <f>IF(J86&lt;&gt;'HSSA FGD'!$M98,"Error","")</f>
        <v/>
      </c>
      <c r="L87" s="1088" t="str">
        <f>IF(L86&lt;&gt;'MDA FGD'!$M98,"Error","")</f>
        <v/>
      </c>
      <c r="N87" s="1088" t="str">
        <f>IF(N86&lt;&gt;'THC FGD'!$M98,"Error","")</f>
        <v/>
      </c>
      <c r="P87" s="1088" t="str">
        <f>IF(P86&lt;&gt;'TAMHSC FGD'!$M98,"Error","")</f>
        <v/>
      </c>
      <c r="R87" s="1088" t="str">
        <f>IF(R86&lt;&gt;'UNTHSC1 FGD'!$M98,"Error","")</f>
        <v/>
      </c>
      <c r="T87" s="1088" t="str">
        <f>IF(T86&lt;&gt;'TTUHSC FGD'!$M98,"Error","")</f>
        <v/>
      </c>
      <c r="V87" s="1088" t="str">
        <f>IF(V86&lt;&gt;'TTUHSCEP FGD'!$M98,"Error","")</f>
        <v/>
      </c>
      <c r="X87" s="1088" t="str">
        <f>IF(X86&lt;&gt;'AUSM FGD'!$M98,"Error","")</f>
        <v/>
      </c>
      <c r="Z87" s="1088" t="str">
        <f>IF(Z86&lt;&gt;'RGVM FGD'!$M98,"Error","")</f>
        <v/>
      </c>
      <c r="AB87" s="1088" t="str">
        <f>IF(AB86&lt;&gt;'UHM FGD'!$M98,"Error","")</f>
        <v/>
      </c>
    </row>
    <row r="88" spans="1:28">
      <c r="B88" s="988" t="str">
        <f ca="1">IF(B86&lt;&gt;'Smmy FGD'!M1008,"Error","")</f>
        <v/>
      </c>
    </row>
    <row r="89" spans="1:28">
      <c r="A89" s="320"/>
    </row>
    <row r="90" spans="1:28">
      <c r="A90" s="320" t="s">
        <v>488</v>
      </c>
      <c r="B90" s="1093">
        <f>COUNTIF(D$77:BY$77,$B$77)</f>
        <v>13</v>
      </c>
    </row>
    <row r="91" spans="1:28">
      <c r="A91" s="320"/>
      <c r="B91" s="915"/>
    </row>
    <row r="92" spans="1:28">
      <c r="A92" s="320"/>
      <c r="B92" s="915"/>
    </row>
  </sheetData>
  <dataConsolidate link="1">
    <dataRefs count="34">
      <dataRef ref="C6" sheet="ARL Sum" r:id="rId1"/>
      <dataRef ref="C6" sheet="ASU Sum" r:id="rId2"/>
      <dataRef ref="C6" sheet="AUS Sum" r:id="rId3"/>
      <dataRef ref="C6" sheet="BRW Sum" r:id="rId4"/>
      <dataRef ref="C6" sheet="DAL Sum" r:id="rId5"/>
      <dataRef ref="C6" sheet="ELP Sum" r:id="rId6"/>
      <dataRef ref="C6" sheet="LU Sum" r:id="rId7"/>
      <dataRef ref="C6" sheet="MidWSt Sum" r:id="rId8"/>
      <dataRef ref="C6" sheet="P-A Sum" r:id="rId9"/>
      <dataRef ref="C6" sheet="P-B Sum" r:id="rId10"/>
      <dataRef ref="C6" sheet="PVAMU Sum" r:id="rId11"/>
      <dataRef ref="C6" sheet="S-A Sum" r:id="rId12"/>
      <dataRef ref="C6" sheet="SFA Sum" r:id="rId13"/>
      <dataRef ref="C6" sheet="shsu Sum" r:id="rId14"/>
      <dataRef ref="C6" sheet="SRSU Sum" r:id="rId15"/>
      <dataRef ref="C6" sheet="TAMIU Sum" r:id="rId16"/>
      <dataRef ref="C6" sheet="TAMU Sum" r:id="rId17"/>
      <dataRef ref="C6" sheet="TAMUC Sum" r:id="rId18"/>
      <dataRef ref="C6" sheet="TAMUCC Sum" r:id="rId19"/>
      <dataRef ref="C6" sheet="TAMUG Sum" r:id="rId20"/>
      <dataRef ref="C6" sheet="TAMUK Sum" r:id="rId21"/>
      <dataRef ref="C6" sheet="TAMUT Sum" r:id="rId22"/>
      <dataRef ref="C6" sheet="TarlSt Sum" r:id="rId23"/>
      <dataRef ref="C6" sheet="TSU Sum" r:id="rId24"/>
      <dataRef ref="C6" sheet="TTU Sum" r:id="rId25"/>
      <dataRef ref="C6" sheet="TWU Sum" r:id="rId26"/>
      <dataRef ref="C6" sheet="TxSt Sum" r:id="rId27"/>
      <dataRef ref="C6" sheet="TYL Sum" r:id="rId28"/>
      <dataRef ref="C6" sheet="UH Sum" r:id="rId29"/>
      <dataRef ref="C6" sheet="UHCL Sum" r:id="rId30"/>
      <dataRef ref="C6" sheet="UHD Sum" r:id="rId31"/>
      <dataRef ref="C6" sheet="UHV Sum" r:id="rId32"/>
      <dataRef ref="C6" sheet="UNT Sum" r:id="rId33"/>
      <dataRef ref="C6" sheet="WTAMU Sum" r:id="rId34"/>
    </dataRefs>
  </dataConsolidate>
  <mergeCells count="14">
    <mergeCell ref="AB4:AC4"/>
    <mergeCell ref="L4:M4"/>
    <mergeCell ref="B4:C4"/>
    <mergeCell ref="D4:E4"/>
    <mergeCell ref="F4:G4"/>
    <mergeCell ref="H4:I4"/>
    <mergeCell ref="J4:K4"/>
    <mergeCell ref="V4:W4"/>
    <mergeCell ref="X4:Y4"/>
    <mergeCell ref="Z4:AA4"/>
    <mergeCell ref="N4:O4"/>
    <mergeCell ref="P4:Q4"/>
    <mergeCell ref="R4:S4"/>
    <mergeCell ref="T4:U4"/>
  </mergeCells>
  <hyperlinks>
    <hyperlink ref="E1" location="Index!A1" display="Return to Index" xr:uid="{00000000-0004-0000-1100-000000000000}"/>
  </hyperlinks>
  <printOptions horizontalCentered="1"/>
  <pageMargins left="0.25" right="0.25" top="0.3" bottom="0.25" header="0.3" footer="0.25"/>
  <pageSetup scale="92" orientation="landscape" r:id="rId35"/>
  <headerFooter alignWithMargins="0"/>
  <rowBreaks count="1" manualBreakCount="1">
    <brk id="75" max="1" man="1"/>
  </rowBreaks>
  <ignoredErrors>
    <ignoredError sqref="D72:D74 D28:U28 D37:U37 D29:D36 F29:F36 H29:H36 J36:P36 J29:J35 L29:P35 R29:R36 T29:T36 D47:U49 D38:D44 F38:F44 H38:H44 J38:J44 L38:P43 L44 N44 P44 R38:R44 T38:T44 F72:F74 D63 F63 H72:H74 H63 J72:J74 J63 L63 L72:L74 N63:P63 N72:N74 P72:P73 R63 R72:R74 T63 T72:T74 D52:U54 D50:D51 D56:U56 D55 F55 D58:U58 D57 F57 D62:U62 D59:D61 F59:F61 H59:H61 H57 H55 F50:F51 H50:H51 J50:J51 J55 J57 J59:J61 L50:P51 L55:P55 L57:P57 L59:P59 L61:P61 L60 N60:P60 R59:R61 R50:R51 R55 R57 T50:T51 T55 T57 T59:T61 D10:U11 D46 F46 H46 J46 L46 N46 P46 R46 T46 D13:U16" formula="1"/>
    <ignoredError sqref="D64:D71 F64:F71 H64:H71 J64:J71 L64:L71 N64:P66 N67:N71 P67:P71 R64:R66 R67:R71 T64:T66 T67:T71" formula="1" unlockedFormula="1"/>
    <ignoredError sqref="B67:B69 C82:C85 D8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47"/>
    <pageSetUpPr fitToPage="1"/>
  </sheetPr>
  <dimension ref="A1:E156"/>
  <sheetViews>
    <sheetView showGridLines="0" zoomScale="65" zoomScaleNormal="65" workbookViewId="0">
      <selection activeCell="D35" sqref="D35"/>
    </sheetView>
  </sheetViews>
  <sheetFormatPr defaultColWidth="9.109375" defaultRowHeight="13.5" customHeight="1"/>
  <cols>
    <col min="1" max="1" width="158.33203125" style="277" customWidth="1"/>
    <col min="2" max="2" width="9.109375" style="277"/>
    <col min="3" max="3" width="47.109375" style="277" customWidth="1"/>
    <col min="4" max="4" width="22.33203125" style="277" customWidth="1"/>
    <col min="5" max="16384" width="9.109375" style="277"/>
  </cols>
  <sheetData>
    <row r="1" spans="1:5" ht="27.75" customHeight="1" thickBot="1">
      <c r="A1" s="990" t="s">
        <v>489</v>
      </c>
      <c r="C1" s="545" t="s">
        <v>51</v>
      </c>
    </row>
    <row r="2" spans="1:5" ht="27.75" customHeight="1">
      <c r="A2" s="990" t="s">
        <v>490</v>
      </c>
      <c r="C2" s="277" t="s">
        <v>491</v>
      </c>
    </row>
    <row r="3" spans="1:5" ht="27" customHeight="1">
      <c r="A3" s="990" t="s">
        <v>492</v>
      </c>
      <c r="C3" s="991" t="s">
        <v>493</v>
      </c>
    </row>
    <row r="4" spans="1:5" ht="12.9" customHeight="1">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7.399999999999999">
      <c r="C11" s="993" t="str">
        <f>'Smmy Sum'!A22</f>
        <v>State of Texas</v>
      </c>
      <c r="D11" s="994">
        <f>'Smmy Sum'!B28</f>
        <v>2219115664</v>
      </c>
      <c r="E11" s="995">
        <f>ROUND(D11/$D$17,3)</f>
        <v>0.108</v>
      </c>
    </row>
    <row r="12" spans="1:5" ht="17.399999999999999">
      <c r="C12" s="993" t="str">
        <f>'Smmy Sum'!A30</f>
        <v>Student &amp; Parent</v>
      </c>
      <c r="D12" s="994">
        <f>'Smmy Sum'!B33</f>
        <v>392101953</v>
      </c>
      <c r="E12" s="995">
        <f t="shared" ref="E12:E15" si="0">ROUND(D12/$D$17,3)</f>
        <v>1.9E-2</v>
      </c>
    </row>
    <row r="13" spans="1:5" ht="17.399999999999999">
      <c r="C13" s="993" t="str">
        <f>'Smmy Sum'!A35</f>
        <v>Federal Government</v>
      </c>
      <c r="D13" s="994">
        <f>'Smmy Sum'!B36</f>
        <v>1487986562</v>
      </c>
      <c r="E13" s="995">
        <f t="shared" si="0"/>
        <v>7.2999999999999995E-2</v>
      </c>
    </row>
    <row r="14" spans="1:5" ht="17.399999999999999">
      <c r="C14" s="993" t="str">
        <f>'Smmy Sum'!A44</f>
        <v>Institutional Resources</v>
      </c>
      <c r="D14" s="994">
        <f>'Smmy Sum'!B51</f>
        <v>4946155273</v>
      </c>
      <c r="E14" s="995">
        <f t="shared" si="0"/>
        <v>0.24199999999999999</v>
      </c>
    </row>
    <row r="15" spans="1:5" ht="17.399999999999999">
      <c r="C15" s="996" t="s">
        <v>497</v>
      </c>
      <c r="D15" s="994">
        <f>'Smmy Sum'!B42+'Smmy Sum'!B39</f>
        <v>11411173972</v>
      </c>
      <c r="E15" s="995">
        <f t="shared" si="0"/>
        <v>0.55800000000000005</v>
      </c>
    </row>
    <row r="16" spans="1:5" ht="17.399999999999999">
      <c r="C16" s="991"/>
      <c r="D16" s="992"/>
    </row>
    <row r="17" spans="3:5" ht="12.9" customHeight="1">
      <c r="C17" s="997" t="s">
        <v>201</v>
      </c>
      <c r="D17" s="998">
        <f>SUM(D11:D16)</f>
        <v>20456533424</v>
      </c>
      <c r="E17" s="999">
        <f>SUM(E11:E15)</f>
        <v>1</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c r="C26" s="277" t="s">
        <v>502</v>
      </c>
    </row>
    <row r="27" spans="3:5" ht="12.9" customHeight="1"/>
    <row r="28" spans="3:5" ht="12.9" customHeight="1">
      <c r="C28" s="277" t="s">
        <v>503</v>
      </c>
    </row>
    <row r="29" spans="3:5" ht="12.9" customHeight="1"/>
    <row r="30" spans="3:5" ht="12.9" customHeight="1">
      <c r="C30" s="1079" t="s">
        <v>504</v>
      </c>
      <c r="D30" s="1080"/>
      <c r="E30" s="1081"/>
    </row>
    <row r="31" spans="3:5" ht="12.9" customHeight="1">
      <c r="C31" s="1082"/>
      <c r="E31" s="1083"/>
    </row>
    <row r="32" spans="3:5" ht="12.9" customHeight="1">
      <c r="C32" s="1082" t="s">
        <v>505</v>
      </c>
      <c r="D32" s="277" t="s">
        <v>506</v>
      </c>
      <c r="E32" s="1083"/>
    </row>
    <row r="33" spans="1:5" ht="12.9" customHeight="1">
      <c r="C33" s="1082" t="s">
        <v>54</v>
      </c>
      <c r="D33" s="277" t="s">
        <v>507</v>
      </c>
      <c r="E33" s="1083"/>
    </row>
    <row r="34" spans="1:5" ht="12.9" customHeight="1">
      <c r="C34" s="1082"/>
      <c r="E34" s="1083"/>
    </row>
    <row r="35" spans="1:5" ht="12.9" customHeight="1">
      <c r="C35" s="1082" t="s">
        <v>508</v>
      </c>
      <c r="D35" s="277" t="s">
        <v>509</v>
      </c>
      <c r="E35" s="1083"/>
    </row>
    <row r="36" spans="1:5" ht="12.9" customHeight="1">
      <c r="C36" s="520"/>
      <c r="D36" s="538"/>
      <c r="E36" s="1084"/>
    </row>
    <row r="37" spans="1:5" ht="12.9" customHeight="1"/>
    <row r="38" spans="1:5" ht="12.9" customHeight="1"/>
    <row r="39" spans="1:5" ht="12.9" customHeight="1"/>
    <row r="40" spans="1:5" ht="12.9" customHeight="1"/>
    <row r="41" spans="1:5" ht="12.9" customHeight="1"/>
    <row r="42" spans="1:5" ht="12.9" customHeight="1"/>
    <row r="43" spans="1:5" ht="12.9" customHeight="1"/>
    <row r="44" spans="1:5" ht="12.9" customHeight="1"/>
    <row r="45" spans="1:5" ht="12.9" customHeight="1"/>
    <row r="46" spans="1:5" ht="12.9" customHeight="1"/>
    <row r="47" spans="1:5" ht="12.9" customHeight="1">
      <c r="A47" s="1136" t="str">
        <f>C17&amp;" "&amp;TEXT(D17,"$#,###")</f>
        <v>Total Operating Sources $20,456,533,424</v>
      </c>
    </row>
    <row r="48" spans="1:5"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2.9" customHeight="1">
      <c r="C53" s="993" t="s">
        <v>101</v>
      </c>
      <c r="D53" s="994">
        <f>'Smmy Sum'!B23</f>
        <v>1918801288</v>
      </c>
      <c r="E53" s="995">
        <f>ROUND(D53/$D$68,3)</f>
        <v>9.4E-2</v>
      </c>
    </row>
    <row r="54" spans="3:5" ht="12.9" customHeight="1">
      <c r="C54" s="993" t="s">
        <v>510</v>
      </c>
      <c r="D54" s="994">
        <f>'Smmy Sum'!B24</f>
        <v>186025714</v>
      </c>
      <c r="E54" s="995">
        <f t="shared" ref="E54:E67" si="1">ROUND(D54/$D$68,3)</f>
        <v>8.9999999999999993E-3</v>
      </c>
    </row>
    <row r="55" spans="3:5" ht="12.9" customHeight="1">
      <c r="C55" s="1001"/>
      <c r="D55" s="994"/>
      <c r="E55" s="995"/>
    </row>
    <row r="56" spans="3:5" ht="12.9" customHeight="1">
      <c r="C56" s="993" t="str">
        <f>'Smmy Sum'!A26</f>
        <v>Higher Education Fund</v>
      </c>
      <c r="D56" s="994">
        <f>'Smmy Sum'!B26</f>
        <v>42335466</v>
      </c>
      <c r="E56" s="995">
        <f t="shared" si="1"/>
        <v>2E-3</v>
      </c>
    </row>
    <row r="57" spans="3:5" ht="12.9" customHeight="1">
      <c r="C57" s="1001" t="s">
        <v>511</v>
      </c>
      <c r="D57" s="994">
        <f>'Smmy Sum'!B27</f>
        <v>71953196</v>
      </c>
      <c r="E57" s="995">
        <f t="shared" si="1"/>
        <v>4.0000000000000001E-3</v>
      </c>
    </row>
    <row r="58" spans="3:5" ht="12.9" customHeight="1">
      <c r="C58" s="993" t="s">
        <v>460</v>
      </c>
      <c r="D58" s="994">
        <f>'Smmy Sum'!B33</f>
        <v>392101953</v>
      </c>
      <c r="E58" s="995">
        <f t="shared" si="1"/>
        <v>1.9E-2</v>
      </c>
    </row>
    <row r="59" spans="3:5" ht="12.9" customHeight="1">
      <c r="C59" s="993" t="s">
        <v>512</v>
      </c>
      <c r="D59" s="994">
        <f>'Smmy Sum'!B36</f>
        <v>1487986562</v>
      </c>
      <c r="E59" s="995">
        <f t="shared" si="1"/>
        <v>7.2999999999999995E-2</v>
      </c>
    </row>
    <row r="60" spans="3:5" ht="12.9" customHeight="1">
      <c r="C60" s="993" t="s">
        <v>513</v>
      </c>
      <c r="D60" s="994">
        <f>'Smmy Sum'!B45</f>
        <v>980039776</v>
      </c>
      <c r="E60" s="995">
        <f t="shared" si="1"/>
        <v>4.8000000000000001E-2</v>
      </c>
    </row>
    <row r="61" spans="3:5" ht="12.9" customHeight="1">
      <c r="C61" s="993" t="s">
        <v>514</v>
      </c>
      <c r="D61" s="994">
        <f>'Smmy Sum'!B46</f>
        <v>1239221600</v>
      </c>
      <c r="E61" s="995">
        <f t="shared" si="1"/>
        <v>6.0999999999999999E-2</v>
      </c>
    </row>
    <row r="62" spans="3:5" ht="12.9" customHeight="1">
      <c r="C62" s="993" t="s">
        <v>515</v>
      </c>
      <c r="D62" s="994">
        <f>'Smmy Sum'!B47</f>
        <v>1562161069</v>
      </c>
      <c r="E62" s="995">
        <f t="shared" si="1"/>
        <v>7.5999999999999998E-2</v>
      </c>
    </row>
    <row r="63" spans="3:5" ht="12.9" customHeight="1">
      <c r="C63" s="993" t="s">
        <v>516</v>
      </c>
      <c r="D63" s="994">
        <f>'Smmy Sum'!B48</f>
        <v>243471837</v>
      </c>
      <c r="E63" s="995">
        <f t="shared" si="1"/>
        <v>1.2E-2</v>
      </c>
    </row>
    <row r="64" spans="3:5" ht="12.9" customHeight="1">
      <c r="C64" s="993" t="s">
        <v>176</v>
      </c>
      <c r="D64" s="994">
        <f>'Smmy Sum'!B49</f>
        <v>109585127</v>
      </c>
      <c r="E64" s="995">
        <f t="shared" si="1"/>
        <v>5.0000000000000001E-3</v>
      </c>
    </row>
    <row r="65" spans="3:5" ht="12.9" customHeight="1">
      <c r="C65" s="993" t="s">
        <v>517</v>
      </c>
      <c r="D65" s="994">
        <f>'Smmy Sum'!B50</f>
        <v>811675864</v>
      </c>
      <c r="E65" s="995">
        <f t="shared" si="1"/>
        <v>0.04</v>
      </c>
    </row>
    <row r="66" spans="3:5" ht="12.9" customHeight="1">
      <c r="C66" s="993" t="s">
        <v>163</v>
      </c>
      <c r="D66" s="994">
        <f>'Smmy Sum'!B39</f>
        <v>2674054948</v>
      </c>
      <c r="E66" s="995">
        <f t="shared" si="1"/>
        <v>0.13100000000000001</v>
      </c>
    </row>
    <row r="67" spans="3:5" ht="12.9" customHeight="1">
      <c r="C67" s="996" t="s">
        <v>497</v>
      </c>
      <c r="D67" s="994">
        <f>'Smmy Sum'!B42</f>
        <v>8737119024</v>
      </c>
      <c r="E67" s="995">
        <f t="shared" si="1"/>
        <v>0.42699999999999999</v>
      </c>
    </row>
    <row r="68" spans="3:5" ht="12.9" customHeight="1">
      <c r="C68" s="997" t="s">
        <v>201</v>
      </c>
      <c r="D68" s="998">
        <f>SUM(D53:D67)</f>
        <v>20456533424</v>
      </c>
      <c r="E68" s="999">
        <f>SUM(E53:E67)</f>
        <v>1.0010000000000001</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$20,456,533,424</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'Smmy Sum'!B55</f>
        <v>3840838179</v>
      </c>
      <c r="E102" s="995">
        <f>ROUND(D102/$D$115,3)</f>
        <v>0.217</v>
      </c>
    </row>
    <row r="103" spans="1:5" ht="12.9" customHeight="1">
      <c r="C103" s="1004" t="s">
        <v>179</v>
      </c>
      <c r="D103" s="994">
        <f>'Smmy Sum'!B56</f>
        <v>2252192690</v>
      </c>
      <c r="E103" s="995">
        <f t="shared" ref="E103:E113" si="2">ROUND(D103/$D$115,3)</f>
        <v>0.127</v>
      </c>
    </row>
    <row r="104" spans="1:5" ht="12.9" customHeight="1">
      <c r="C104" s="1004" t="s">
        <v>180</v>
      </c>
      <c r="D104" s="994">
        <f>'Smmy Sum'!B57</f>
        <v>462328760</v>
      </c>
      <c r="E104" s="995">
        <f t="shared" si="2"/>
        <v>2.5999999999999999E-2</v>
      </c>
    </row>
    <row r="105" spans="1:5" ht="12.9" customHeight="1">
      <c r="C105" s="1004" t="s">
        <v>181</v>
      </c>
      <c r="D105" s="994">
        <f>'Smmy Sum'!B59</f>
        <v>773571668</v>
      </c>
      <c r="E105" s="995">
        <f t="shared" si="2"/>
        <v>4.3999999999999997E-2</v>
      </c>
    </row>
    <row r="106" spans="1:5" ht="12.9" customHeight="1">
      <c r="C106" s="1004" t="s">
        <v>182</v>
      </c>
      <c r="D106" s="994">
        <f>'Smmy Sum'!B60</f>
        <v>75813058</v>
      </c>
      <c r="E106" s="995">
        <f t="shared" si="2"/>
        <v>4.0000000000000001E-3</v>
      </c>
    </row>
    <row r="107" spans="1:5" ht="12.9" customHeight="1">
      <c r="C107" s="1004" t="s">
        <v>183</v>
      </c>
      <c r="D107" s="994">
        <f>'Smmy Sum'!B61</f>
        <v>676034205</v>
      </c>
      <c r="E107" s="995">
        <f t="shared" si="2"/>
        <v>3.7999999999999999E-2</v>
      </c>
    </row>
    <row r="108" spans="1:5" ht="12.9" customHeight="1">
      <c r="C108" s="1004" t="s">
        <v>519</v>
      </c>
      <c r="D108" s="994">
        <f>'Smmy Sum'!B62</f>
        <v>607187187</v>
      </c>
      <c r="E108" s="995">
        <f t="shared" si="2"/>
        <v>3.4000000000000002E-2</v>
      </c>
    </row>
    <row r="109" spans="1:5" ht="12.9" customHeight="1">
      <c r="C109" s="1004" t="s">
        <v>520</v>
      </c>
      <c r="D109" s="994">
        <f>'Smmy Sum'!B63</f>
        <v>62612069</v>
      </c>
      <c r="E109" s="995">
        <f t="shared" si="2"/>
        <v>4.0000000000000001E-3</v>
      </c>
    </row>
    <row r="110" spans="1:5" ht="12.9" customHeight="1">
      <c r="C110" s="1004" t="s">
        <v>186</v>
      </c>
      <c r="D110" s="994">
        <f>'Smmy Sum'!B64</f>
        <v>94094716</v>
      </c>
      <c r="E110" s="995">
        <f t="shared" si="2"/>
        <v>5.0000000000000001E-3</v>
      </c>
    </row>
    <row r="111" spans="1:5" ht="12.9" customHeight="1">
      <c r="C111" s="1015" t="s">
        <v>521</v>
      </c>
      <c r="D111" s="994">
        <f>'Smmy Sum'!B65</f>
        <v>186958782</v>
      </c>
      <c r="E111" s="995">
        <f t="shared" si="2"/>
        <v>1.0999999999999999E-2</v>
      </c>
    </row>
    <row r="112" spans="1:5" ht="12.9" customHeight="1">
      <c r="C112" s="993" t="s">
        <v>522</v>
      </c>
      <c r="D112" s="994">
        <f>'Smmy Sum'!B66</f>
        <v>26761630</v>
      </c>
      <c r="E112" s="995">
        <f t="shared" si="2"/>
        <v>2E-3</v>
      </c>
    </row>
    <row r="113" spans="3:5" ht="12.9" customHeight="1">
      <c r="C113" s="996" t="s">
        <v>523</v>
      </c>
      <c r="D113" s="994">
        <f>'Smmy Sum'!B58</f>
        <v>8644431170</v>
      </c>
      <c r="E113" s="995">
        <f t="shared" si="2"/>
        <v>0.48799999999999999</v>
      </c>
    </row>
    <row r="114" spans="3:5" ht="12.9" customHeight="1">
      <c r="C114" s="991"/>
      <c r="D114" s="991"/>
      <c r="E114" s="999"/>
    </row>
    <row r="115" spans="3:5" ht="12.9" customHeight="1">
      <c r="C115" s="1005" t="s">
        <v>189</v>
      </c>
      <c r="D115" s="998">
        <f>SUM(D102:D114)</f>
        <v>17702824114</v>
      </c>
      <c r="E115" s="999">
        <f>SUM(E102:E113)</f>
        <v>1</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$17,702,824,114</v>
      </c>
    </row>
    <row r="137" spans="1:1" ht="12.9" customHeight="1">
      <c r="A137" s="1136"/>
    </row>
    <row r="138" spans="1:1" ht="12.9" customHeight="1"/>
    <row r="139" spans="1:1" ht="12.9" customHeight="1">
      <c r="A139" s="1006" t="s">
        <v>524</v>
      </c>
    </row>
    <row r="140" spans="1:1" ht="12.9"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row r="154" spans="1:1" ht="12.9" customHeight="1"/>
    <row r="155" spans="1:1" ht="12.9" customHeight="1"/>
    <row r="156" spans="1:1" ht="17.100000000000001" customHeight="1"/>
  </sheetData>
  <mergeCells count="6">
    <mergeCell ref="A47:A48"/>
    <mergeCell ref="C101:D101"/>
    <mergeCell ref="A136:A137"/>
    <mergeCell ref="C9:D9"/>
    <mergeCell ref="A92:A93"/>
    <mergeCell ref="C100:D100"/>
  </mergeCells>
  <hyperlinks>
    <hyperlink ref="C1" location="Index!A1" display="Return to Index" xr:uid="{00000000-0004-0000-1200-000000000000}"/>
  </hyperlinks>
  <printOptions horizontalCentered="1"/>
  <pageMargins left="0.5" right="0.5" top="0.25" bottom="0.25" header="0.25" footer="0.25"/>
  <pageSetup scale="41"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transitionEntry="1">
    <tabColor indexed="13"/>
  </sheetPr>
  <dimension ref="A1:AB129"/>
  <sheetViews>
    <sheetView showGridLines="0" zoomScale="85" zoomScaleNormal="85" workbookViewId="0">
      <pane xSplit="2" ySplit="19" topLeftCell="C46" activePane="bottomRight" state="frozen"/>
      <selection activeCell="B4" sqref="A1:XFD1048576"/>
      <selection pane="topRight" activeCell="B4" sqref="A1:XFD1048576"/>
      <selection pane="bottomLeft" activeCell="B4" sqref="A1:XFD1048576"/>
      <selection pane="bottomRight" activeCell="A26" sqref="A26"/>
    </sheetView>
  </sheetViews>
  <sheetFormatPr defaultColWidth="9.109375" defaultRowHeight="13.2" outlineLevelRow="1"/>
  <cols>
    <col min="1" max="1" width="68.6640625" style="277" customWidth="1"/>
    <col min="2" max="2" width="17.88671875" style="277" customWidth="1"/>
    <col min="3" max="3" width="14.6640625" style="277" customWidth="1"/>
    <col min="4" max="4" width="19.88671875" style="277" bestFit="1" customWidth="1"/>
    <col min="5" max="6" width="17.5546875" style="277" customWidth="1"/>
    <col min="7" max="7" width="18.88671875" style="277" customWidth="1"/>
    <col min="8" max="8" width="23.5546875" style="277" customWidth="1"/>
    <col min="9" max="9" width="15.6640625" style="277" customWidth="1"/>
    <col min="10" max="10" width="13.44140625" style="277" customWidth="1"/>
    <col min="11" max="11" width="15.5546875" style="277" customWidth="1"/>
    <col min="12" max="12" width="15.33203125" style="277" customWidth="1"/>
    <col min="13" max="13" width="14.5546875" style="277" customWidth="1"/>
    <col min="14" max="14" width="14.6640625" style="277" customWidth="1"/>
    <col min="15" max="15" width="13" style="277" customWidth="1"/>
    <col min="16" max="16384" width="9.109375" style="277"/>
  </cols>
  <sheetData>
    <row r="1" spans="1:15" ht="16.8" thickTop="1" thickBot="1">
      <c r="A1" s="900" t="str">
        <f>'Smmy Chts'!$A$1</f>
        <v>Summary of All Health-Related Institutions</v>
      </c>
      <c r="B1" s="754"/>
      <c r="C1" s="754"/>
      <c r="E1" s="545" t="s">
        <v>51</v>
      </c>
      <c r="F1" s="1144" t="s">
        <v>526</v>
      </c>
      <c r="G1" s="1145"/>
      <c r="H1" s="1145"/>
      <c r="I1" s="1146"/>
      <c r="J1" s="1139" t="s">
        <v>527</v>
      </c>
      <c r="K1" s="1140"/>
      <c r="L1" s="1140"/>
      <c r="M1" s="1140"/>
      <c r="N1" s="1140"/>
      <c r="O1" s="1141"/>
    </row>
    <row r="2" spans="1:15" ht="15.6">
      <c r="A2" s="1023" t="str">
        <f>'Smmy Chts'!$A$2</f>
        <v>For the Year Ended August 31, 2022</v>
      </c>
      <c r="B2" s="754"/>
      <c r="C2" s="754"/>
      <c r="E2" s="901"/>
      <c r="F2" s="901"/>
      <c r="G2" s="320"/>
      <c r="H2" s="320"/>
      <c r="I2" s="320"/>
      <c r="J2" s="901"/>
      <c r="K2" s="901"/>
      <c r="L2" s="901"/>
      <c r="M2" s="901"/>
      <c r="N2" s="320"/>
      <c r="O2" s="320"/>
    </row>
    <row r="3" spans="1:15" ht="15.75" customHeight="1">
      <c r="A3" s="1023" t="str">
        <f>'Smmy Chts'!$A$3</f>
        <v>Source: FY 2022 Annual Financial Report</v>
      </c>
      <c r="B3" s="754"/>
      <c r="C3" s="754"/>
      <c r="D3" s="320"/>
      <c r="E3" s="320"/>
      <c r="F3" s="320"/>
      <c r="G3" s="320"/>
      <c r="H3" s="320"/>
      <c r="I3" s="320"/>
      <c r="J3" s="320"/>
      <c r="K3" s="320"/>
      <c r="L3" s="320"/>
      <c r="M3" s="320"/>
      <c r="N3" s="320"/>
      <c r="O3" s="320"/>
    </row>
    <row r="4" spans="1:15" ht="13.5" customHeight="1">
      <c r="A4" s="320"/>
      <c r="B4" s="282"/>
      <c r="C4" s="282"/>
      <c r="D4" s="1165" t="s">
        <v>380</v>
      </c>
      <c r="E4" s="1142" t="s">
        <v>528</v>
      </c>
      <c r="F4" s="320"/>
      <c r="G4" s="320"/>
      <c r="H4" s="320"/>
      <c r="I4" s="320"/>
      <c r="J4" s="320"/>
      <c r="K4" s="320"/>
      <c r="L4" s="320"/>
      <c r="M4" s="320"/>
      <c r="N4" s="320"/>
      <c r="O4" s="320"/>
    </row>
    <row r="5" spans="1:15" ht="17.399999999999999">
      <c r="A5" s="903" t="str">
        <f>'Smmy Chts'!$C$35</f>
        <v>Summary Worksheet FY 2022</v>
      </c>
      <c r="B5" s="904" t="s">
        <v>458</v>
      </c>
      <c r="C5" s="904" t="s">
        <v>148</v>
      </c>
      <c r="D5" s="1166"/>
      <c r="E5" s="1143"/>
      <c r="F5" s="320"/>
      <c r="G5" s="906" t="s">
        <v>529</v>
      </c>
      <c r="H5" s="320"/>
      <c r="I5" s="907" t="s">
        <v>530</v>
      </c>
      <c r="J5" s="908" t="s">
        <v>531</v>
      </c>
      <c r="K5" s="320"/>
      <c r="L5" s="320"/>
      <c r="M5" s="320"/>
      <c r="N5" s="320"/>
      <c r="O5" s="320"/>
    </row>
    <row r="6" spans="1:15" ht="20.25" hidden="1" customHeight="1" outlineLevel="1">
      <c r="A6" s="823" t="str">
        <f>'AUSM FGD'!$B$2</f>
        <v>The University of Texas at Austin Medical School (M)</v>
      </c>
      <c r="B6" s="278"/>
      <c r="C6" s="1062">
        <f>'AUSM Sum'!$C$6</f>
        <v>197</v>
      </c>
      <c r="D6" s="1063"/>
      <c r="E6" s="1064"/>
      <c r="K6" s="320"/>
      <c r="L6" s="320"/>
    </row>
    <row r="7" spans="1:15" ht="19.5" hidden="1" customHeight="1" outlineLevel="1">
      <c r="A7" s="823" t="str">
        <f>'HSH FGD'!$B$2</f>
        <v>The University of Texas Health Science Center at Houston</v>
      </c>
      <c r="B7" s="278"/>
      <c r="C7" s="1062">
        <f>'HSH Sum'!$C$6</f>
        <v>5267.72</v>
      </c>
      <c r="D7" s="1063"/>
      <c r="E7" s="1064"/>
      <c r="K7" s="320"/>
      <c r="L7" s="320"/>
    </row>
    <row r="8" spans="1:15" ht="19.5" hidden="1" customHeight="1" outlineLevel="1">
      <c r="A8" s="823" t="str">
        <f>'HSSA FGD'!$B$2</f>
        <v>The University of Texas Health Science Center at San Antonio</v>
      </c>
      <c r="B8" s="278"/>
      <c r="C8" s="1062">
        <f>'HSSA Sum'!$C$6</f>
        <v>3971.78</v>
      </c>
      <c r="D8" s="1063"/>
      <c r="E8" s="1064"/>
      <c r="K8" s="320"/>
      <c r="L8" s="320"/>
    </row>
    <row r="9" spans="1:15" ht="19.5" hidden="1" customHeight="1" outlineLevel="1">
      <c r="A9" s="823" t="str">
        <f>'MBG FGD'!$B$2</f>
        <v>The University of Texas Medical Branch at Galveston</v>
      </c>
      <c r="B9" s="278"/>
      <c r="C9" s="1062">
        <f>'MBG Sum'!$C$6</f>
        <v>3859.84</v>
      </c>
      <c r="D9" s="1063"/>
      <c r="E9" s="1064"/>
      <c r="K9" s="320"/>
      <c r="L9" s="320"/>
    </row>
    <row r="10" spans="1:15" ht="19.5" hidden="1" customHeight="1" outlineLevel="1">
      <c r="A10" s="823" t="str">
        <f>'MDA FGD'!$B$2</f>
        <v>The University of Texas M.D. Anderson Cancer Center</v>
      </c>
      <c r="B10" s="278"/>
      <c r="C10" s="1062">
        <f>'MDA Sum'!$C$6</f>
        <v>382.05</v>
      </c>
      <c r="D10" s="1063"/>
      <c r="E10" s="1064"/>
      <c r="K10" s="320"/>
      <c r="L10" s="320"/>
    </row>
    <row r="11" spans="1:15" ht="19.5" hidden="1" customHeight="1" outlineLevel="1">
      <c r="A11" s="823" t="str">
        <f>'RGVM FGD'!$B$2</f>
        <v>The University of Texas Rio Grande Valley Medical School (M)</v>
      </c>
      <c r="B11" s="278"/>
      <c r="C11" s="1062">
        <f>'RGVM Sum'!$C$6</f>
        <v>222</v>
      </c>
      <c r="D11" s="1063"/>
      <c r="E11" s="1064"/>
      <c r="K11" s="320"/>
      <c r="L11" s="320"/>
    </row>
    <row r="12" spans="1:15" ht="19.5" hidden="1" customHeight="1" outlineLevel="1">
      <c r="A12" s="823" t="str">
        <f>'SWM FGD'!$B$2</f>
        <v>The University of Texas Southwestern Medical Center</v>
      </c>
      <c r="B12" s="278"/>
      <c r="C12" s="1062">
        <f>'SWM Sum'!$C$6</f>
        <v>2301.35</v>
      </c>
      <c r="D12" s="1063"/>
      <c r="E12" s="1064"/>
      <c r="K12" s="320"/>
      <c r="L12" s="320"/>
    </row>
    <row r="13" spans="1:15" ht="19.5" hidden="1" customHeight="1" outlineLevel="1">
      <c r="A13" s="823" t="str">
        <f>'TAMHSC FGD'!$B$2</f>
        <v>Texas A&amp;M University System Health Science Center</v>
      </c>
      <c r="B13" s="278"/>
      <c r="C13" s="1062">
        <f>'TAMHSC Sum'!$C$6</f>
        <v>3607.6499999999996</v>
      </c>
      <c r="D13" s="1063"/>
      <c r="E13" s="1064"/>
      <c r="K13" s="320"/>
      <c r="L13" s="320"/>
    </row>
    <row r="14" spans="1:15" ht="19.5" hidden="1" customHeight="1" outlineLevel="1">
      <c r="A14" s="823" t="str">
        <f>'THC FGD'!$B$2</f>
        <v>The University of Texas Health Science Center at Tyler</v>
      </c>
      <c r="B14" s="278"/>
      <c r="C14" s="1062">
        <f>'THC Sum'!$C$6</f>
        <v>80.5</v>
      </c>
      <c r="D14" s="1063"/>
      <c r="E14" s="1064"/>
      <c r="K14" s="320"/>
      <c r="L14" s="320"/>
    </row>
    <row r="15" spans="1:15" ht="19.5" hidden="1" customHeight="1" outlineLevel="1">
      <c r="A15" s="823" t="str">
        <f>'TTUHSC FGD'!$B$2</f>
        <v>Texas Tech University Health Sciences Center</v>
      </c>
      <c r="B15" s="278"/>
      <c r="C15" s="1062">
        <f>'TTUHSC Sum'!$C$6</f>
        <v>6016.07</v>
      </c>
      <c r="D15" s="1063"/>
      <c r="E15" s="1064"/>
      <c r="K15" s="320"/>
      <c r="L15" s="320"/>
    </row>
    <row r="16" spans="1:15" ht="19.5" hidden="1" customHeight="1" outlineLevel="1">
      <c r="A16" s="823" t="str">
        <f>'TTUHSCEP FGD'!$B$2</f>
        <v>Texas Tech University Health Sciences Center at El Paso</v>
      </c>
      <c r="B16" s="278"/>
      <c r="C16" s="1062">
        <f>'TTUHSCEP Sum'!$C$6</f>
        <v>851.1</v>
      </c>
      <c r="D16" s="1063"/>
      <c r="E16" s="1064"/>
      <c r="K16" s="320"/>
      <c r="L16" s="320"/>
    </row>
    <row r="17" spans="1:15" ht="19.5" hidden="1" customHeight="1" outlineLevel="1">
      <c r="A17" s="823" t="str">
        <f>'UNTHSC1 FGD'!$B$2</f>
        <v>University of North Texas Health Science Center at Fort Worth (Public Medical)</v>
      </c>
      <c r="B17" s="278"/>
      <c r="C17" s="1062">
        <f>'UNTHS1 Sum'!$C$6</f>
        <v>2988.4</v>
      </c>
      <c r="D17" s="1063"/>
      <c r="E17" s="1064"/>
      <c r="K17" s="320"/>
      <c r="L17" s="320"/>
    </row>
    <row r="18" spans="1:15" ht="19.5" hidden="1" customHeight="1" outlineLevel="1">
      <c r="A18" s="823" t="s">
        <v>532</v>
      </c>
      <c r="B18" s="278"/>
      <c r="C18" s="1062">
        <f>'UHM Sum'!$C$6</f>
        <v>60</v>
      </c>
      <c r="D18" s="1063"/>
      <c r="E18" s="1064"/>
      <c r="K18" s="320"/>
      <c r="L18" s="320"/>
    </row>
    <row r="19" spans="1:15" ht="12.75" customHeight="1" collapsed="1">
      <c r="A19" s="279" t="s">
        <v>147</v>
      </c>
      <c r="B19" s="909"/>
      <c r="C19" s="1065">
        <f>SUM(C6:C18)</f>
        <v>29805.46</v>
      </c>
      <c r="E19" s="1066"/>
      <c r="F19" s="1067"/>
      <c r="K19" s="320"/>
      <c r="L19" s="320"/>
    </row>
    <row r="20" spans="1:15">
      <c r="B20" s="909"/>
      <c r="C20" s="909"/>
      <c r="F20" s="320"/>
      <c r="G20" s="320"/>
      <c r="H20" s="320"/>
      <c r="I20" s="951" t="s">
        <v>533</v>
      </c>
      <c r="J20" s="911"/>
      <c r="K20" s="320"/>
      <c r="L20" s="320"/>
    </row>
    <row r="21" spans="1:15" ht="12.75" customHeight="1">
      <c r="A21" s="912" t="s">
        <v>151</v>
      </c>
      <c r="B21" s="912"/>
      <c r="C21" s="912"/>
      <c r="D21" s="320"/>
      <c r="E21" s="320"/>
      <c r="F21" s="320"/>
      <c r="G21" s="320"/>
      <c r="H21" s="320"/>
      <c r="I21" s="1068">
        <f>FTSE!$L$71</f>
        <v>12614.230000000001</v>
      </c>
      <c r="J21" s="910"/>
      <c r="K21" s="320"/>
      <c r="L21" s="320"/>
      <c r="M21" s="320"/>
      <c r="N21" s="320"/>
      <c r="O21" s="320"/>
    </row>
    <row r="22" spans="1:15" ht="12.75" customHeight="1" thickBot="1">
      <c r="A22" s="279" t="s">
        <v>152</v>
      </c>
      <c r="B22" s="915"/>
      <c r="C22" s="492" t="s">
        <v>534</v>
      </c>
      <c r="D22" s="320"/>
      <c r="E22" s="320"/>
      <c r="F22" s="320"/>
      <c r="G22" s="320"/>
      <c r="H22" s="320"/>
      <c r="I22" s="320"/>
      <c r="J22" s="910"/>
      <c r="K22" s="320"/>
      <c r="L22" s="320"/>
      <c r="M22" s="320"/>
      <c r="N22" s="320"/>
      <c r="O22" s="320"/>
    </row>
    <row r="23" spans="1:15" ht="12.75" customHeight="1" thickTop="1">
      <c r="A23" s="277" t="s">
        <v>535</v>
      </c>
      <c r="B23" s="501">
        <f>'Smmy FGD'!M23</f>
        <v>1918801288</v>
      </c>
      <c r="C23" s="501">
        <f>ROUND(B23/$C$19,0)</f>
        <v>64378</v>
      </c>
      <c r="D23" s="501">
        <f>'Smmy FGD'!F23</f>
        <v>0</v>
      </c>
      <c r="E23" s="492"/>
      <c r="F23" s="916">
        <f>B23-(SUM(D23:E23))</f>
        <v>1918801288</v>
      </c>
      <c r="G23" s="917" t="s">
        <v>101</v>
      </c>
      <c r="H23" s="918"/>
      <c r="I23" s="919" t="s">
        <v>536</v>
      </c>
      <c r="J23" s="920">
        <f>ROUND(F23/$C$19,0)</f>
        <v>64378</v>
      </c>
      <c r="K23" s="320"/>
      <c r="L23" s="320"/>
      <c r="M23" s="320"/>
      <c r="N23" s="320"/>
      <c r="O23" s="320"/>
    </row>
    <row r="24" spans="1:15" ht="12.75" customHeight="1" thickBot="1">
      <c r="A24" s="277" t="s">
        <v>134</v>
      </c>
      <c r="B24" s="669">
        <f>'Smmy FGD'!M37</f>
        <v>186025714</v>
      </c>
      <c r="C24" s="669">
        <f>ROUND(B24/$C$19,0)</f>
        <v>6241</v>
      </c>
      <c r="D24" s="669">
        <f>'Smmy FGD'!F37</f>
        <v>0</v>
      </c>
      <c r="E24" s="754"/>
      <c r="F24" s="922">
        <f t="shared" ref="F24:F27" si="0">B24-(SUM(D24:E24))</f>
        <v>186025714</v>
      </c>
      <c r="G24" s="923">
        <f>SUM(F23:F24)</f>
        <v>2104827002</v>
      </c>
      <c r="H24" s="924"/>
      <c r="I24" s="1069">
        <f>ROUND($G$24/$C$19,0)</f>
        <v>70619</v>
      </c>
      <c r="J24" s="926">
        <f t="shared" ref="J24:J27" si="1">ROUND(F24/$C$19,0)</f>
        <v>6241</v>
      </c>
      <c r="K24" s="320"/>
      <c r="L24" s="320"/>
      <c r="M24" s="320"/>
      <c r="N24" s="320"/>
      <c r="O24" s="320"/>
    </row>
    <row r="25" spans="1:15" ht="12.75" hidden="1" customHeight="1" thickTop="1" thickBot="1">
      <c r="A25" s="277" t="s">
        <v>537</v>
      </c>
      <c r="B25" s="669"/>
      <c r="C25" s="669"/>
      <c r="D25" s="669"/>
      <c r="E25" s="754"/>
      <c r="F25" s="927"/>
      <c r="I25" s="1070" t="s">
        <v>538</v>
      </c>
      <c r="J25" s="926">
        <f t="shared" si="1"/>
        <v>0</v>
      </c>
      <c r="K25" s="320"/>
      <c r="L25" s="320"/>
      <c r="M25" s="320"/>
      <c r="N25" s="320"/>
      <c r="O25" s="928"/>
    </row>
    <row r="26" spans="1:15" ht="12.75" customHeight="1" thickTop="1">
      <c r="A26" s="277" t="s">
        <v>468</v>
      </c>
      <c r="B26" s="669">
        <f>'Smmy FGD'!M65</f>
        <v>42335466</v>
      </c>
      <c r="C26" s="669">
        <f>ROUND(B26/$C$19,0)</f>
        <v>1420</v>
      </c>
      <c r="D26" s="669">
        <f>'Smmy FGD'!F65</f>
        <v>0</v>
      </c>
      <c r="E26" s="754"/>
      <c r="F26" s="929">
        <f t="shared" si="0"/>
        <v>42335466</v>
      </c>
      <c r="G26" s="930" t="s">
        <v>102</v>
      </c>
      <c r="H26" s="931"/>
      <c r="I26" s="1071">
        <f>ROUND($G$24/$I$21,0)</f>
        <v>166861</v>
      </c>
      <c r="J26" s="926">
        <f t="shared" si="1"/>
        <v>1420</v>
      </c>
      <c r="K26" s="320"/>
      <c r="L26" s="320"/>
      <c r="M26" s="320"/>
      <c r="N26" s="320"/>
      <c r="O26" s="320"/>
    </row>
    <row r="27" spans="1:15" ht="12.75" customHeight="1" thickBot="1">
      <c r="A27" s="277" t="s">
        <v>135</v>
      </c>
      <c r="B27" s="669">
        <f>'Smmy FGD'!M79</f>
        <v>71953196</v>
      </c>
      <c r="C27" s="669">
        <f>ROUND(B27/$C$19,0)</f>
        <v>2414</v>
      </c>
      <c r="D27" s="669">
        <f>'Smmy FGD'!F79</f>
        <v>0</v>
      </c>
      <c r="E27" s="754"/>
      <c r="F27" s="927">
        <f t="shared" si="0"/>
        <v>71953196</v>
      </c>
      <c r="G27" s="932">
        <f>SUM(F26:F27)</f>
        <v>114288662</v>
      </c>
      <c r="H27" s="933"/>
      <c r="I27" s="320"/>
      <c r="J27" s="935">
        <f t="shared" si="1"/>
        <v>2414</v>
      </c>
      <c r="K27" s="320"/>
      <c r="L27" s="320"/>
      <c r="M27" s="320"/>
      <c r="N27" s="320"/>
      <c r="O27" s="320"/>
    </row>
    <row r="28" spans="1:15" ht="12.75" customHeight="1" thickTop="1">
      <c r="A28" s="936" t="s">
        <v>155</v>
      </c>
      <c r="B28" s="937">
        <f>SUM(B23:B27)</f>
        <v>2219115664</v>
      </c>
      <c r="C28" s="937">
        <f>SUM(C23:C27)</f>
        <v>74453</v>
      </c>
      <c r="D28" s="937">
        <f>SUM(D23:D27)</f>
        <v>0</v>
      </c>
      <c r="E28" s="937">
        <f>SUM(E23:E27)</f>
        <v>0</v>
      </c>
      <c r="F28" s="938">
        <f>SUM(F23:F27)</f>
        <v>2219115664</v>
      </c>
      <c r="G28" s="320"/>
      <c r="H28" s="320"/>
      <c r="I28" s="345"/>
      <c r="J28" s="939">
        <f>SUM(J23:J27)</f>
        <v>74453</v>
      </c>
      <c r="K28" s="320"/>
      <c r="L28" s="320"/>
      <c r="M28" s="320"/>
      <c r="N28" s="320"/>
      <c r="O28" s="320"/>
    </row>
    <row r="29" spans="1:15">
      <c r="D29" s="320"/>
      <c r="E29" s="320"/>
      <c r="F29" s="320"/>
      <c r="G29" s="320"/>
      <c r="H29" s="320"/>
      <c r="I29" s="320"/>
      <c r="J29" s="910"/>
      <c r="K29" s="320"/>
      <c r="L29" s="320"/>
      <c r="M29" s="320"/>
      <c r="N29" s="320"/>
      <c r="O29" s="320"/>
    </row>
    <row r="30" spans="1:15" ht="12.75" customHeight="1">
      <c r="A30" s="279" t="s">
        <v>161</v>
      </c>
      <c r="D30" s="320"/>
      <c r="E30" s="320"/>
      <c r="F30" s="320"/>
      <c r="G30" s="320"/>
      <c r="H30" s="320"/>
      <c r="I30" s="320"/>
      <c r="J30" s="910"/>
      <c r="K30" s="320"/>
      <c r="L30" s="320"/>
      <c r="M30" s="320"/>
      <c r="N30" s="320"/>
      <c r="O30" s="320"/>
    </row>
    <row r="31" spans="1:15">
      <c r="A31" s="277" t="s">
        <v>165</v>
      </c>
      <c r="B31" s="501">
        <f>'Smmy FGD'!M263</f>
        <v>295226731</v>
      </c>
      <c r="C31" s="501">
        <f>ROUND(B31/$C$19,0)</f>
        <v>9905</v>
      </c>
      <c r="D31" s="501">
        <f>'Smmy FGD'!F263</f>
        <v>0</v>
      </c>
      <c r="E31" s="492"/>
      <c r="F31" s="492">
        <f t="shared" ref="F31:F32" si="2">B31-(SUM(D31:E31))</f>
        <v>295226731</v>
      </c>
      <c r="G31" s="320"/>
      <c r="H31" s="320"/>
      <c r="I31" s="320"/>
      <c r="J31" s="920">
        <f>ROUND(F31/$C$19,0)</f>
        <v>9905</v>
      </c>
      <c r="K31" s="320"/>
      <c r="L31" s="320"/>
      <c r="M31" s="320"/>
      <c r="N31" s="320"/>
      <c r="O31" s="320"/>
    </row>
    <row r="32" spans="1:15" ht="13.8" thickBot="1">
      <c r="A32" s="277" t="s">
        <v>166</v>
      </c>
      <c r="B32" s="669">
        <f>'Smmy FGD'!M432</f>
        <v>96875222</v>
      </c>
      <c r="C32" s="669">
        <f>ROUND(B32/$C$19,0)</f>
        <v>3250</v>
      </c>
      <c r="D32" s="669">
        <f>'Smmy FGD'!F432</f>
        <v>9268723</v>
      </c>
      <c r="E32" s="754"/>
      <c r="F32" s="754">
        <f t="shared" si="2"/>
        <v>87606499</v>
      </c>
      <c r="G32" s="320"/>
      <c r="H32" s="320"/>
      <c r="I32" s="320"/>
      <c r="J32" s="926">
        <f>ROUND(F32/$C$19,0)</f>
        <v>2939</v>
      </c>
      <c r="K32" s="320"/>
      <c r="L32" s="320"/>
      <c r="M32" s="320"/>
      <c r="N32" s="320"/>
      <c r="O32" s="320"/>
    </row>
    <row r="33" spans="1:15" ht="14.4" thickTop="1" thickBot="1">
      <c r="A33" s="936" t="s">
        <v>167</v>
      </c>
      <c r="B33" s="937">
        <f>SUM(B31:B32)</f>
        <v>392101953</v>
      </c>
      <c r="C33" s="937">
        <f>SUM(C31:C32)</f>
        <v>13155</v>
      </c>
      <c r="D33" s="798">
        <f>SUM(D31:D32)</f>
        <v>9268723</v>
      </c>
      <c r="E33" s="940">
        <f>SUM(E31:E32)</f>
        <v>0</v>
      </c>
      <c r="F33" s="941">
        <f>SUM(F31:F32)</f>
        <v>382833230</v>
      </c>
      <c r="G33" s="942" t="s">
        <v>539</v>
      </c>
      <c r="H33" s="943"/>
      <c r="I33" s="320"/>
      <c r="J33" s="944">
        <f>SUM(J31:J32)</f>
        <v>12844</v>
      </c>
      <c r="K33" s="320"/>
      <c r="L33" s="320"/>
      <c r="M33" s="320"/>
      <c r="N33" s="320"/>
      <c r="O33" s="320"/>
    </row>
    <row r="34" spans="1:15" ht="12.75" customHeight="1" thickTop="1">
      <c r="D34" s="320"/>
      <c r="E34" s="320"/>
      <c r="F34" s="945"/>
      <c r="G34" s="320"/>
      <c r="H34" s="320"/>
      <c r="I34" s="320"/>
      <c r="J34" s="910"/>
      <c r="K34" s="320"/>
      <c r="L34" s="320"/>
      <c r="M34" s="320"/>
      <c r="N34" s="320"/>
      <c r="O34" s="320"/>
    </row>
    <row r="35" spans="1:15" ht="14.25" customHeight="1" thickBot="1">
      <c r="A35" s="279" t="s">
        <v>162</v>
      </c>
      <c r="D35" s="320"/>
      <c r="E35" s="320"/>
      <c r="F35" s="320"/>
      <c r="G35" s="320"/>
      <c r="H35" s="320"/>
      <c r="I35" s="320"/>
      <c r="J35" s="910"/>
      <c r="K35" s="320"/>
      <c r="L35" s="320"/>
      <c r="M35" s="320"/>
      <c r="N35" s="320"/>
      <c r="O35" s="320"/>
    </row>
    <row r="36" spans="1:15" ht="14.4" thickTop="1" thickBot="1">
      <c r="A36" s="936" t="s">
        <v>168</v>
      </c>
      <c r="B36" s="937">
        <f>'Smmy FGD'!M463</f>
        <v>1487986562</v>
      </c>
      <c r="C36" s="937"/>
      <c r="D36" s="937">
        <f>'Smmy FGD'!F463</f>
        <v>0</v>
      </c>
      <c r="E36" s="940"/>
      <c r="F36" s="941">
        <f>B36-(SUM(D36:E36))</f>
        <v>1487986562</v>
      </c>
      <c r="G36" s="946" t="s">
        <v>540</v>
      </c>
      <c r="H36" s="943"/>
      <c r="I36" s="320"/>
      <c r="J36" s="947">
        <f>ROUND(F36/$C$19,0)</f>
        <v>49923</v>
      </c>
      <c r="K36" s="320"/>
      <c r="L36" s="320"/>
      <c r="M36" s="320"/>
      <c r="N36" s="320"/>
      <c r="O36" s="320"/>
    </row>
    <row r="37" spans="1:15" ht="13.8" thickTop="1">
      <c r="D37" s="320"/>
      <c r="E37" s="320"/>
      <c r="F37" s="320"/>
      <c r="G37" s="320"/>
      <c r="H37" s="320"/>
      <c r="I37" s="320"/>
      <c r="J37" s="910"/>
      <c r="K37" s="320"/>
      <c r="L37" s="320"/>
      <c r="M37" s="320"/>
      <c r="N37" s="320"/>
      <c r="O37" s="320"/>
    </row>
    <row r="38" spans="1:15">
      <c r="A38" s="279" t="s">
        <v>163</v>
      </c>
      <c r="D38" s="754"/>
      <c r="E38" s="915"/>
      <c r="F38" s="320"/>
      <c r="G38" s="320"/>
      <c r="H38" s="320"/>
      <c r="I38" s="320"/>
      <c r="J38" s="910"/>
      <c r="K38" s="320"/>
      <c r="L38" s="320"/>
      <c r="M38" s="320"/>
      <c r="N38" s="320"/>
      <c r="O38" s="320"/>
    </row>
    <row r="39" spans="1:15">
      <c r="A39" s="936" t="s">
        <v>200</v>
      </c>
      <c r="B39" s="937">
        <f>'Smmy FGD'!M479</f>
        <v>2674054948</v>
      </c>
      <c r="C39" s="937"/>
      <c r="D39" s="1072">
        <f>'Smmy FGD'!F479</f>
        <v>0</v>
      </c>
      <c r="E39" s="937">
        <f>B39-D39</f>
        <v>2674054948</v>
      </c>
      <c r="F39" s="937">
        <f t="shared" ref="F39" si="3">B39-(SUM(D39:E39))</f>
        <v>0</v>
      </c>
      <c r="G39" s="320"/>
      <c r="H39" s="320"/>
      <c r="I39" s="320"/>
      <c r="J39" s="920"/>
      <c r="K39" s="320"/>
      <c r="L39" s="320"/>
      <c r="M39" s="320"/>
      <c r="N39" s="320"/>
      <c r="O39" s="320"/>
    </row>
    <row r="40" spans="1:15">
      <c r="D40" s="723"/>
      <c r="E40" s="948"/>
      <c r="F40" s="320"/>
      <c r="G40" s="320"/>
      <c r="H40" s="320"/>
      <c r="I40" s="320"/>
      <c r="J40" s="926"/>
      <c r="K40" s="320"/>
      <c r="L40" s="320"/>
      <c r="M40" s="320"/>
      <c r="N40" s="320"/>
      <c r="O40" s="320"/>
    </row>
    <row r="41" spans="1:15">
      <c r="A41" s="279" t="s">
        <v>164</v>
      </c>
      <c r="D41" s="921"/>
      <c r="E41" s="884"/>
      <c r="F41" s="320"/>
      <c r="G41" s="320"/>
      <c r="H41" s="320"/>
      <c r="I41" s="320"/>
      <c r="J41" s="926"/>
      <c r="K41" s="320"/>
      <c r="L41" s="320"/>
      <c r="M41" s="320"/>
      <c r="N41" s="320"/>
      <c r="O41" s="320"/>
    </row>
    <row r="42" spans="1:15">
      <c r="A42" s="936" t="s">
        <v>200</v>
      </c>
      <c r="B42" s="937">
        <f>'Smmy FGD'!M495</f>
        <v>8737119024</v>
      </c>
      <c r="C42" s="937"/>
      <c r="D42" s="937">
        <f>'Smmy FGD'!F495</f>
        <v>0</v>
      </c>
      <c r="E42" s="937">
        <f>B42-D42</f>
        <v>8737119024</v>
      </c>
      <c r="F42" s="937">
        <f t="shared" ref="F42" si="4">B42-(SUM(D42:E42))</f>
        <v>0</v>
      </c>
      <c r="G42" s="320"/>
      <c r="H42" s="320"/>
      <c r="I42" s="320"/>
      <c r="J42" s="926"/>
      <c r="K42" s="320"/>
      <c r="L42" s="320"/>
      <c r="M42" s="320"/>
      <c r="N42" s="320"/>
      <c r="O42" s="320"/>
    </row>
    <row r="43" spans="1:15">
      <c r="D43" s="320"/>
      <c r="E43" s="754"/>
      <c r="F43" s="754"/>
      <c r="G43" s="320"/>
      <c r="H43" s="320"/>
      <c r="I43" s="320"/>
      <c r="J43" s="926"/>
      <c r="K43" s="320"/>
      <c r="L43" s="320"/>
      <c r="M43" s="320"/>
      <c r="N43" s="320"/>
      <c r="O43" s="320"/>
    </row>
    <row r="44" spans="1:15" ht="12.75" customHeight="1">
      <c r="A44" s="279" t="s">
        <v>171</v>
      </c>
      <c r="D44" s="320"/>
      <c r="E44" s="754"/>
      <c r="F44" s="754"/>
      <c r="G44" s="400"/>
      <c r="H44" s="400"/>
      <c r="I44" s="400"/>
      <c r="J44" s="926"/>
      <c r="K44" s="320"/>
      <c r="L44" s="320"/>
      <c r="M44" s="320"/>
      <c r="N44" s="320"/>
      <c r="O44" s="320"/>
    </row>
    <row r="45" spans="1:15" ht="12.75" customHeight="1">
      <c r="A45" s="277" t="s">
        <v>172</v>
      </c>
      <c r="B45" s="501">
        <f>'Smmy FGD'!M511</f>
        <v>980039776</v>
      </c>
      <c r="C45" s="501"/>
      <c r="D45" s="501">
        <f>'Smmy FGD'!F511</f>
        <v>3459775</v>
      </c>
      <c r="E45" s="492"/>
      <c r="F45" s="492">
        <f t="shared" ref="F45:F50" si="5">B45-(SUM(D45:E45))</f>
        <v>976580001</v>
      </c>
      <c r="G45" s="320"/>
      <c r="H45" s="320"/>
      <c r="I45" s="320"/>
      <c r="J45" s="920">
        <f t="shared" ref="J45:J50" si="6">ROUND(F45/$C$19,0)</f>
        <v>32765</v>
      </c>
      <c r="K45" s="320"/>
      <c r="L45" s="320"/>
      <c r="M45" s="320"/>
      <c r="N45" s="320"/>
      <c r="O45" s="320"/>
    </row>
    <row r="46" spans="1:15">
      <c r="A46" s="277" t="s">
        <v>173</v>
      </c>
      <c r="B46" s="669">
        <f>'Smmy FGD'!M525</f>
        <v>1239221600</v>
      </c>
      <c r="C46" s="669"/>
      <c r="D46" s="669">
        <f>'Smmy FGD'!F525</f>
        <v>0</v>
      </c>
      <c r="E46" s="754"/>
      <c r="F46" s="754">
        <f t="shared" si="5"/>
        <v>1239221600</v>
      </c>
      <c r="G46" s="320"/>
      <c r="H46" s="320"/>
      <c r="I46" s="320"/>
      <c r="J46" s="926">
        <f t="shared" si="6"/>
        <v>41577</v>
      </c>
      <c r="K46" s="320"/>
      <c r="L46" s="320"/>
      <c r="M46" s="320"/>
      <c r="N46" s="320"/>
      <c r="O46" s="320"/>
    </row>
    <row r="47" spans="1:15" ht="13.8" thickBot="1">
      <c r="A47" s="277" t="s">
        <v>174</v>
      </c>
      <c r="B47" s="669">
        <f>'Smmy FGD'!M539</f>
        <v>1562161069</v>
      </c>
      <c r="C47" s="669"/>
      <c r="D47" s="669">
        <f>'Smmy FGD'!F539</f>
        <v>367510</v>
      </c>
      <c r="E47" s="754"/>
      <c r="F47" s="754">
        <f t="shared" si="5"/>
        <v>1561793559</v>
      </c>
      <c r="G47" s="320"/>
      <c r="H47" s="320"/>
      <c r="I47" s="320"/>
      <c r="J47" s="926">
        <f t="shared" si="6"/>
        <v>52400</v>
      </c>
      <c r="K47" s="320"/>
      <c r="L47" s="320"/>
      <c r="M47" s="320"/>
      <c r="N47" s="320"/>
      <c r="O47" s="320"/>
    </row>
    <row r="48" spans="1:15" ht="13.8" thickBot="1">
      <c r="A48" s="277" t="s">
        <v>175</v>
      </c>
      <c r="B48" s="669">
        <f>'Smmy FGD'!M553</f>
        <v>243471837</v>
      </c>
      <c r="C48" s="669"/>
      <c r="D48" s="669">
        <f>'Smmy FGD'!F553</f>
        <v>0</v>
      </c>
      <c r="E48" s="754"/>
      <c r="F48" s="754">
        <f t="shared" si="5"/>
        <v>243471837</v>
      </c>
      <c r="G48" s="320"/>
      <c r="H48" s="320"/>
      <c r="I48" s="320"/>
      <c r="J48" s="926">
        <f t="shared" si="6"/>
        <v>8169</v>
      </c>
      <c r="K48" s="1157" t="s">
        <v>541</v>
      </c>
      <c r="L48" s="1140"/>
      <c r="M48" s="1140"/>
      <c r="N48" s="1140"/>
      <c r="O48" s="1141"/>
    </row>
    <row r="49" spans="1:28" ht="13.8" thickBot="1">
      <c r="A49" s="277" t="s">
        <v>471</v>
      </c>
      <c r="B49" s="669">
        <f>'Smmy FGD'!M567</f>
        <v>109585127</v>
      </c>
      <c r="C49" s="669"/>
      <c r="D49" s="669">
        <f>'Smmy FGD'!F567</f>
        <v>109585127</v>
      </c>
      <c r="E49" s="754"/>
      <c r="F49" s="754">
        <f t="shared" si="5"/>
        <v>0</v>
      </c>
      <c r="G49" s="320"/>
      <c r="H49" s="320"/>
      <c r="I49" s="320"/>
      <c r="J49" s="926">
        <f t="shared" si="6"/>
        <v>0</v>
      </c>
      <c r="K49" s="1157" t="s">
        <v>268</v>
      </c>
      <c r="L49" s="1140"/>
      <c r="M49" s="1140"/>
      <c r="N49" s="1140"/>
      <c r="O49" s="1141"/>
    </row>
    <row r="50" spans="1:28" ht="12.75" customHeight="1" thickBot="1">
      <c r="A50" s="538" t="s">
        <v>177</v>
      </c>
      <c r="B50" s="669">
        <f>'Smmy FGD'!M581</f>
        <v>811675864</v>
      </c>
      <c r="C50" s="669"/>
      <c r="D50" s="669">
        <f>'Smmy FGD'!F581</f>
        <v>23908</v>
      </c>
      <c r="E50" s="754"/>
      <c r="F50" s="754">
        <f t="shared" si="5"/>
        <v>811651956</v>
      </c>
      <c r="G50" s="400"/>
      <c r="H50" s="400"/>
      <c r="I50" s="400"/>
      <c r="J50" s="926">
        <f t="shared" si="6"/>
        <v>27232</v>
      </c>
      <c r="K50" s="1158" t="s">
        <v>276</v>
      </c>
      <c r="L50" s="1158" t="s">
        <v>277</v>
      </c>
      <c r="M50" s="1158" t="s">
        <v>278</v>
      </c>
      <c r="N50" s="1158" t="s">
        <v>279</v>
      </c>
      <c r="O50" s="1158" t="s">
        <v>280</v>
      </c>
      <c r="P50" s="333"/>
      <c r="Q50" s="333"/>
      <c r="R50" s="333"/>
      <c r="S50" s="333"/>
      <c r="T50" s="333"/>
      <c r="U50" s="333"/>
      <c r="V50" s="333"/>
      <c r="W50" s="333"/>
      <c r="X50" s="333"/>
      <c r="Y50" s="333"/>
      <c r="Z50" s="333"/>
      <c r="AA50" s="333"/>
      <c r="AB50" s="333"/>
    </row>
    <row r="51" spans="1:28" ht="12.75" customHeight="1" thickTop="1" thickBot="1">
      <c r="A51" s="936" t="s">
        <v>155</v>
      </c>
      <c r="B51" s="937">
        <f>SUM(B45:B50)</f>
        <v>4946155273</v>
      </c>
      <c r="C51" s="937"/>
      <c r="D51" s="949">
        <f>SUM(D45:D50)</f>
        <v>113436320</v>
      </c>
      <c r="E51" s="949">
        <f>SUM(E45:E50)</f>
        <v>0</v>
      </c>
      <c r="F51" s="950">
        <f>SUM(F45:F50)</f>
        <v>4832718953</v>
      </c>
      <c r="G51" s="1154" t="s">
        <v>171</v>
      </c>
      <c r="H51" s="1155"/>
      <c r="I51" s="951" t="s">
        <v>542</v>
      </c>
      <c r="J51" s="952">
        <f>SUM(J45:J50)</f>
        <v>162143</v>
      </c>
      <c r="K51" s="1159"/>
      <c r="L51" s="1159"/>
      <c r="M51" s="1159"/>
      <c r="N51" s="1159" t="s">
        <v>543</v>
      </c>
      <c r="O51" s="1159" t="s">
        <v>280</v>
      </c>
    </row>
    <row r="52" spans="1:28" ht="13.8" thickTop="1">
      <c r="A52" s="953" t="s">
        <v>201</v>
      </c>
      <c r="B52" s="954">
        <f>B28+B33+B36+B39+B42+B51</f>
        <v>20456533424</v>
      </c>
      <c r="C52" s="955"/>
      <c r="D52" s="954">
        <f>D28+D33+D36+D39+D42+D51</f>
        <v>122705043</v>
      </c>
      <c r="E52" s="954">
        <f>E28+E33+E36+E39+E42+E51</f>
        <v>11411173972</v>
      </c>
      <c r="F52" s="956">
        <f>F51+F36+F33+F28</f>
        <v>8922654409</v>
      </c>
      <c r="G52" s="1156" t="s">
        <v>271</v>
      </c>
      <c r="H52" s="1156"/>
      <c r="I52" s="957">
        <f>ROUND($G$54/$C$19,0)</f>
        <v>295529</v>
      </c>
      <c r="J52" s="958">
        <f>J28+J33+J36+J51</f>
        <v>299363</v>
      </c>
      <c r="K52" s="1159"/>
      <c r="L52" s="1159"/>
      <c r="M52" s="1159"/>
      <c r="N52" s="1159"/>
      <c r="O52" s="1159"/>
    </row>
    <row r="53" spans="1:28" ht="13.8" thickBot="1">
      <c r="D53" s="320"/>
      <c r="E53" s="320"/>
      <c r="F53" s="320" t="s">
        <v>544</v>
      </c>
      <c r="G53" s="959">
        <f>G27*-1</f>
        <v>-114288662</v>
      </c>
      <c r="H53" s="320"/>
      <c r="I53" s="951" t="s">
        <v>545</v>
      </c>
      <c r="J53" s="960"/>
      <c r="K53" s="1160"/>
      <c r="L53" s="1160"/>
      <c r="M53" s="1160"/>
      <c r="N53" s="1160"/>
      <c r="O53" s="1160"/>
    </row>
    <row r="54" spans="1:28" ht="14.4" thickTop="1" thickBot="1">
      <c r="A54" s="912" t="s">
        <v>178</v>
      </c>
      <c r="B54" s="912"/>
      <c r="C54" s="912"/>
      <c r="D54" s="344"/>
      <c r="E54" s="344"/>
      <c r="F54" s="961" t="s">
        <v>546</v>
      </c>
      <c r="G54" s="962">
        <f>F52+G53</f>
        <v>8808365747</v>
      </c>
      <c r="H54" s="320"/>
      <c r="I54" s="957">
        <f>ROUND($G$54/$I$21,0)</f>
        <v>698288</v>
      </c>
      <c r="J54" s="320"/>
      <c r="K54" s="964"/>
      <c r="L54" s="964"/>
      <c r="M54" s="964"/>
      <c r="N54" s="964"/>
      <c r="O54" s="964"/>
    </row>
    <row r="55" spans="1:28" ht="13.8" thickTop="1">
      <c r="A55" s="490" t="s">
        <v>92</v>
      </c>
      <c r="B55" s="501">
        <f>'Smmy FGD'!M624</f>
        <v>3840838179</v>
      </c>
      <c r="C55" s="501">
        <f t="shared" ref="C55:C65" si="7">ROUND(B55/$C$19,0)</f>
        <v>128864</v>
      </c>
      <c r="D55" s="501">
        <f>'Smmy FGD'!F624</f>
        <v>0</v>
      </c>
      <c r="E55" s="492"/>
      <c r="F55" s="492">
        <f t="shared" ref="F55:F57" si="8">B55-(SUM(D55:E55))</f>
        <v>3840838179</v>
      </c>
      <c r="G55" s="320"/>
      <c r="H55" s="965" t="s">
        <v>547</v>
      </c>
      <c r="I55" s="966">
        <f>ROUND(F55/$C$19,0)</f>
        <v>128864</v>
      </c>
      <c r="J55" s="320" t="s">
        <v>548</v>
      </c>
      <c r="K55" s="492">
        <f>F55</f>
        <v>3840838179</v>
      </c>
      <c r="L55" s="492">
        <f>K55</f>
        <v>3840838179</v>
      </c>
      <c r="M55" s="492"/>
      <c r="N55" s="492"/>
      <c r="O55" s="492"/>
    </row>
    <row r="56" spans="1:28">
      <c r="A56" s="490" t="s">
        <v>179</v>
      </c>
      <c r="B56" s="669">
        <f>'Smmy FGD'!M638</f>
        <v>2252192690</v>
      </c>
      <c r="C56" s="669">
        <f t="shared" si="7"/>
        <v>75563</v>
      </c>
      <c r="D56" s="669">
        <f>'Smmy FGD'!F638</f>
        <v>0</v>
      </c>
      <c r="E56" s="754"/>
      <c r="F56" s="754">
        <f t="shared" si="8"/>
        <v>2252192690</v>
      </c>
      <c r="G56" s="320"/>
      <c r="H56" s="320"/>
      <c r="J56" s="320" t="s">
        <v>549</v>
      </c>
      <c r="K56" s="723">
        <f>F56</f>
        <v>2252192690</v>
      </c>
      <c r="L56" s="723">
        <f>K56</f>
        <v>2252192690</v>
      </c>
      <c r="M56" s="723"/>
      <c r="N56" s="723"/>
      <c r="O56" s="723"/>
    </row>
    <row r="57" spans="1:28">
      <c r="A57" s="490" t="s">
        <v>180</v>
      </c>
      <c r="B57" s="669">
        <f>'Smmy FGD'!M652</f>
        <v>462328760</v>
      </c>
      <c r="C57" s="669"/>
      <c r="D57" s="669">
        <f>'Smmy FGD'!F513</f>
        <v>0</v>
      </c>
      <c r="E57" s="921">
        <f>B57-D57</f>
        <v>462328760</v>
      </c>
      <c r="F57" s="754">
        <f t="shared" si="8"/>
        <v>0</v>
      </c>
      <c r="G57" s="320"/>
      <c r="H57" s="320"/>
      <c r="I57" s="320"/>
      <c r="J57" s="320" t="s">
        <v>550</v>
      </c>
      <c r="K57" s="967"/>
      <c r="L57" s="769"/>
      <c r="M57" s="769" t="s">
        <v>551</v>
      </c>
      <c r="N57" s="769"/>
      <c r="O57" s="968"/>
    </row>
    <row r="58" spans="1:28">
      <c r="A58" s="300" t="s">
        <v>164</v>
      </c>
      <c r="B58" s="669">
        <f>'Smmy FGD'!M666</f>
        <v>8644431170</v>
      </c>
      <c r="C58" s="669"/>
      <c r="D58" s="669">
        <f>'Smmy FGD'!F666</f>
        <v>0</v>
      </c>
      <c r="E58" s="921">
        <f>B58-D58</f>
        <v>8644431170</v>
      </c>
      <c r="F58" s="754">
        <f t="shared" ref="F58" si="9">B58-(SUM(D58:E58))</f>
        <v>0</v>
      </c>
      <c r="G58" s="320"/>
      <c r="H58" s="320"/>
      <c r="I58" s="320"/>
      <c r="J58" s="320" t="s">
        <v>552</v>
      </c>
      <c r="K58" s="1161" t="str">
        <f>IF($C$6="","","Not Included")</f>
        <v>Not Included</v>
      </c>
      <c r="L58" s="1162"/>
      <c r="M58" s="1162"/>
      <c r="N58" s="1162"/>
      <c r="O58" s="1163"/>
    </row>
    <row r="59" spans="1:28">
      <c r="A59" s="490" t="s">
        <v>181</v>
      </c>
      <c r="B59" s="669">
        <f>'Smmy FGD'!M680</f>
        <v>773571668</v>
      </c>
      <c r="C59" s="669">
        <f t="shared" si="7"/>
        <v>25954</v>
      </c>
      <c r="D59" s="669">
        <f>'Smmy FGD'!F680</f>
        <v>0</v>
      </c>
      <c r="E59" s="754"/>
      <c r="F59" s="754">
        <f t="shared" ref="F59:F66" si="10">B59-(SUM(D59:E59))</f>
        <v>773571668</v>
      </c>
      <c r="G59" s="320"/>
      <c r="H59" s="965" t="s">
        <v>553</v>
      </c>
      <c r="I59" s="966">
        <f>ROUND(F59/$C$19,0)</f>
        <v>25954</v>
      </c>
      <c r="J59" s="320" t="s">
        <v>554</v>
      </c>
      <c r="K59" s="723">
        <f t="shared" ref="K59:K63" si="11">F59</f>
        <v>773571668</v>
      </c>
      <c r="L59" s="723">
        <f>K59</f>
        <v>773571668</v>
      </c>
      <c r="M59" s="723"/>
      <c r="N59" s="723"/>
      <c r="O59" s="723"/>
    </row>
    <row r="60" spans="1:28">
      <c r="A60" s="490" t="s">
        <v>182</v>
      </c>
      <c r="B60" s="669">
        <f>'Smmy FGD'!M694</f>
        <v>75813058</v>
      </c>
      <c r="C60" s="669">
        <f t="shared" si="7"/>
        <v>2544</v>
      </c>
      <c r="D60" s="669">
        <f>'Smmy FGD'!F694</f>
        <v>0</v>
      </c>
      <c r="E60" s="754"/>
      <c r="F60" s="754">
        <f t="shared" si="10"/>
        <v>75813058</v>
      </c>
      <c r="G60" s="320"/>
      <c r="H60" s="320"/>
      <c r="I60" s="320"/>
      <c r="J60" s="320" t="s">
        <v>555</v>
      </c>
      <c r="K60" s="723">
        <f t="shared" si="11"/>
        <v>75813058</v>
      </c>
      <c r="L60" s="723"/>
      <c r="M60" s="723">
        <f>K60</f>
        <v>75813058</v>
      </c>
      <c r="N60" s="723"/>
      <c r="O60" s="723"/>
    </row>
    <row r="61" spans="1:28">
      <c r="A61" s="490" t="s">
        <v>183</v>
      </c>
      <c r="B61" s="669">
        <f>'Smmy FGD'!M708</f>
        <v>676034205</v>
      </c>
      <c r="C61" s="669">
        <f t="shared" si="7"/>
        <v>22682</v>
      </c>
      <c r="D61" s="669">
        <f>'Smmy FGD'!F708</f>
        <v>0</v>
      </c>
      <c r="E61" s="754"/>
      <c r="F61" s="754">
        <f t="shared" si="10"/>
        <v>676034205</v>
      </c>
      <c r="G61" s="320"/>
      <c r="H61" s="965" t="s">
        <v>556</v>
      </c>
      <c r="I61" s="966">
        <f>ROUND(F61/$C$19,0)</f>
        <v>22682</v>
      </c>
      <c r="J61" s="320" t="s">
        <v>557</v>
      </c>
      <c r="K61" s="723">
        <f t="shared" si="11"/>
        <v>676034205</v>
      </c>
      <c r="L61" s="723"/>
      <c r="M61" s="723"/>
      <c r="N61" s="723">
        <f>K61</f>
        <v>676034205</v>
      </c>
      <c r="O61" s="723"/>
    </row>
    <row r="62" spans="1:28">
      <c r="A62" s="490" t="s">
        <v>184</v>
      </c>
      <c r="B62" s="669">
        <f>'Smmy FGD'!M722</f>
        <v>607187187</v>
      </c>
      <c r="C62" s="669"/>
      <c r="D62" s="669">
        <f>'Smmy FGD'!F722</f>
        <v>0</v>
      </c>
      <c r="E62" s="754"/>
      <c r="F62" s="754">
        <f t="shared" si="10"/>
        <v>607187187</v>
      </c>
      <c r="G62" s="320"/>
      <c r="H62" s="320"/>
      <c r="I62" s="320"/>
      <c r="J62" s="320" t="s">
        <v>558</v>
      </c>
      <c r="K62" s="723">
        <f t="shared" si="11"/>
        <v>607187187</v>
      </c>
      <c r="L62" s="723"/>
      <c r="M62" s="723"/>
      <c r="N62" s="723">
        <f>K62</f>
        <v>607187187</v>
      </c>
      <c r="O62" s="723"/>
    </row>
    <row r="63" spans="1:28">
      <c r="A63" s="490" t="s">
        <v>185</v>
      </c>
      <c r="B63" s="669">
        <f>'Smmy FGD'!M736</f>
        <v>62612069</v>
      </c>
      <c r="C63" s="669">
        <f t="shared" si="7"/>
        <v>2101</v>
      </c>
      <c r="D63" s="669">
        <f>'Smmy FGD'!F736</f>
        <v>0</v>
      </c>
      <c r="E63" s="754"/>
      <c r="F63" s="754">
        <f t="shared" si="10"/>
        <v>62612069</v>
      </c>
      <c r="G63" s="320"/>
      <c r="H63" s="320"/>
      <c r="I63" s="320"/>
      <c r="J63" s="320" t="s">
        <v>559</v>
      </c>
      <c r="K63" s="723">
        <f t="shared" si="11"/>
        <v>62612069</v>
      </c>
      <c r="L63" s="723"/>
      <c r="M63" s="723">
        <f>K63</f>
        <v>62612069</v>
      </c>
      <c r="N63" s="723"/>
      <c r="O63" s="723"/>
    </row>
    <row r="64" spans="1:28">
      <c r="A64" s="490" t="s">
        <v>472</v>
      </c>
      <c r="B64" s="669">
        <f>'Smmy FGD'!M750</f>
        <v>94094716</v>
      </c>
      <c r="C64" s="669"/>
      <c r="D64" s="1073">
        <f>B64</f>
        <v>94094716</v>
      </c>
      <c r="E64" s="754"/>
      <c r="F64" s="754">
        <f t="shared" si="10"/>
        <v>0</v>
      </c>
      <c r="G64" s="320"/>
      <c r="H64" s="320"/>
      <c r="I64" s="320"/>
      <c r="J64" s="320" t="s">
        <v>560</v>
      </c>
      <c r="K64" s="967"/>
      <c r="L64" s="769"/>
      <c r="M64" s="769" t="s">
        <v>551</v>
      </c>
      <c r="N64" s="769"/>
      <c r="O64" s="968"/>
    </row>
    <row r="65" spans="1:28">
      <c r="A65" s="490" t="s">
        <v>187</v>
      </c>
      <c r="B65" s="669">
        <f>'Smmy FGD'!M764</f>
        <v>186958782</v>
      </c>
      <c r="C65" s="669">
        <f t="shared" si="7"/>
        <v>6273</v>
      </c>
      <c r="D65" s="669">
        <f>'Smmy FGD'!F764</f>
        <v>996491</v>
      </c>
      <c r="E65" s="754"/>
      <c r="F65" s="754">
        <f t="shared" si="10"/>
        <v>185962291</v>
      </c>
      <c r="G65" s="320"/>
      <c r="H65" s="320"/>
      <c r="I65" s="320"/>
      <c r="J65" s="320" t="s">
        <v>561</v>
      </c>
      <c r="K65" s="723">
        <f t="shared" ref="K65:K66" si="12">F65</f>
        <v>185962291</v>
      </c>
      <c r="L65" s="723"/>
      <c r="M65" s="723"/>
      <c r="N65" s="723"/>
      <c r="O65" s="723">
        <f>K65</f>
        <v>185962291</v>
      </c>
    </row>
    <row r="66" spans="1:28" ht="13.8" thickBot="1">
      <c r="A66" s="277" t="s">
        <v>1713</v>
      </c>
      <c r="B66" s="669">
        <f>'Smmy FGD'!M778</f>
        <v>26761630</v>
      </c>
      <c r="C66" s="669"/>
      <c r="D66" s="669">
        <f>'Smmy FGD'!F778</f>
        <v>380233</v>
      </c>
      <c r="E66" s="754"/>
      <c r="F66" s="754">
        <f t="shared" si="10"/>
        <v>26381397</v>
      </c>
      <c r="G66" s="400"/>
      <c r="H66" s="965" t="s">
        <v>562</v>
      </c>
      <c r="I66" s="966">
        <f>ROUND(SUM(F66+F65+F63+F62+F60+F56)/$C$19,0)</f>
        <v>107703</v>
      </c>
      <c r="J66" s="400" t="s">
        <v>280</v>
      </c>
      <c r="K66" s="723">
        <f t="shared" si="12"/>
        <v>26381397</v>
      </c>
      <c r="L66" s="970"/>
      <c r="M66" s="970"/>
      <c r="N66" s="970"/>
      <c r="O66" s="723">
        <f>K66</f>
        <v>26381397</v>
      </c>
      <c r="P66" s="333"/>
      <c r="Q66" s="333"/>
      <c r="R66" s="333"/>
      <c r="S66" s="333"/>
      <c r="T66" s="333"/>
      <c r="U66" s="333"/>
      <c r="V66" s="333"/>
      <c r="W66" s="333"/>
      <c r="X66" s="333"/>
      <c r="Y66" s="333"/>
      <c r="Z66" s="333"/>
      <c r="AA66" s="333"/>
      <c r="AB66" s="333"/>
    </row>
    <row r="67" spans="1:28" ht="14.25" customHeight="1" thickTop="1" thickBot="1">
      <c r="A67" s="971" t="s">
        <v>189</v>
      </c>
      <c r="B67" s="972">
        <f>SUM(B55:B66)</f>
        <v>17702824114</v>
      </c>
      <c r="C67" s="972"/>
      <c r="D67" s="972">
        <f>SUM(D55:D66)</f>
        <v>95471440</v>
      </c>
      <c r="E67" s="972">
        <f>SUM(E55:E66)</f>
        <v>9106759930</v>
      </c>
      <c r="F67" s="974">
        <f>SUM(F55:F66)</f>
        <v>8500592744</v>
      </c>
      <c r="G67" s="1147" t="s">
        <v>563</v>
      </c>
      <c r="H67" s="1148"/>
      <c r="I67" s="975" t="s">
        <v>405</v>
      </c>
      <c r="J67" s="400" t="s">
        <v>564</v>
      </c>
      <c r="K67" s="976">
        <f>SUM(K55:K66)</f>
        <v>8500592744</v>
      </c>
      <c r="L67" s="976">
        <f>SUM(L55:L66)</f>
        <v>6866602537</v>
      </c>
      <c r="M67" s="976">
        <f>SUM(M55:M66)</f>
        <v>138425127</v>
      </c>
      <c r="N67" s="976">
        <f>SUM(N55:N66)</f>
        <v>1283221392</v>
      </c>
      <c r="O67" s="976">
        <f>SUM(O55:O66)</f>
        <v>212343688</v>
      </c>
    </row>
    <row r="68" spans="1:28" ht="14.25" customHeight="1" thickTop="1" thickBot="1">
      <c r="D68" s="320"/>
      <c r="E68" s="320"/>
      <c r="F68" s="931"/>
      <c r="G68" s="1149"/>
      <c r="H68" s="1150"/>
      <c r="I68" s="977">
        <f>ROUND(F67/C19,0)</f>
        <v>285203</v>
      </c>
      <c r="J68" s="1153" t="s">
        <v>565</v>
      </c>
      <c r="K68" s="970"/>
      <c r="L68" s="970"/>
      <c r="M68" s="970"/>
      <c r="N68" s="970"/>
      <c r="O68" s="970"/>
    </row>
    <row r="69" spans="1:28" ht="17.25" customHeight="1" thickBot="1">
      <c r="A69" s="279" t="s">
        <v>473</v>
      </c>
      <c r="D69" s="320"/>
      <c r="E69" s="320"/>
      <c r="F69" s="978"/>
      <c r="G69" s="1149"/>
      <c r="H69" s="1150"/>
      <c r="I69" s="951" t="s">
        <v>406</v>
      </c>
      <c r="J69" s="1153"/>
      <c r="K69" s="979">
        <f>ROUND(K67/$C$19,2)</f>
        <v>285202.53000000003</v>
      </c>
      <c r="L69" s="979">
        <f>ROUND(L67/$C$19,2)</f>
        <v>230380.69</v>
      </c>
      <c r="M69" s="979">
        <f>ROUND(M67/$C$19,2)</f>
        <v>4644.29</v>
      </c>
      <c r="N69" s="979">
        <f>ROUND(N67/$C$19,2)</f>
        <v>43053.23</v>
      </c>
      <c r="O69" s="979">
        <f>ROUND(O67/$C$19,2)</f>
        <v>7124.32</v>
      </c>
      <c r="P69" s="333"/>
      <c r="Q69" s="333"/>
      <c r="R69" s="333"/>
      <c r="S69" s="333"/>
      <c r="T69" s="333"/>
      <c r="U69" s="333"/>
      <c r="V69" s="333"/>
      <c r="W69" s="333"/>
      <c r="X69" s="333"/>
      <c r="Y69" s="333"/>
      <c r="Z69" s="333"/>
      <c r="AA69" s="333"/>
      <c r="AB69" s="333"/>
    </row>
    <row r="70" spans="1:28" ht="13.8" thickBot="1">
      <c r="A70" s="277" t="s">
        <v>474</v>
      </c>
      <c r="B70" s="501">
        <f>'Smmy FGD'!M808</f>
        <v>-967142130</v>
      </c>
      <c r="C70" s="669"/>
      <c r="D70" s="501">
        <f>'Smmy FGD'!F808</f>
        <v>0</v>
      </c>
      <c r="E70" s="492"/>
      <c r="F70" s="1074">
        <f t="shared" ref="F70" si="13">B70-(SUM(D70:E70))</f>
        <v>-967142130</v>
      </c>
      <c r="G70" s="1151"/>
      <c r="H70" s="1152"/>
      <c r="I70" s="957">
        <f>ROUND($I$76/$I$21,0)</f>
        <v>523117</v>
      </c>
      <c r="J70" s="400"/>
      <c r="K70" s="400"/>
      <c r="L70" s="400"/>
      <c r="M70" s="400"/>
      <c r="N70" s="400"/>
      <c r="O70" s="400"/>
      <c r="P70" s="333"/>
      <c r="Q70" s="333"/>
      <c r="R70" s="333"/>
      <c r="S70" s="333"/>
      <c r="T70" s="333"/>
      <c r="U70" s="333"/>
      <c r="V70" s="333"/>
      <c r="W70" s="333"/>
      <c r="X70" s="333"/>
      <c r="Y70" s="333"/>
      <c r="Z70" s="333"/>
      <c r="AA70" s="333"/>
      <c r="AB70" s="333"/>
    </row>
    <row r="71" spans="1:28" ht="13.8" thickTop="1">
      <c r="A71" s="277" t="s">
        <v>566</v>
      </c>
      <c r="B71" s="669">
        <f>'Smmy FGD'!M822</f>
        <v>49364710</v>
      </c>
      <c r="C71" s="669"/>
      <c r="D71" s="669">
        <f>'Smmy FGD'!F822</f>
        <v>18054438</v>
      </c>
      <c r="E71" s="915"/>
      <c r="F71" s="754">
        <f t="shared" ref="F71:F73" si="14">B71-(SUM(D71:E71))</f>
        <v>31310272</v>
      </c>
      <c r="G71" s="320"/>
      <c r="H71" s="320"/>
      <c r="I71" s="320"/>
      <c r="J71" s="320"/>
      <c r="K71" s="980"/>
      <c r="L71" s="980"/>
      <c r="M71" s="980"/>
      <c r="N71" s="980"/>
      <c r="O71" s="980"/>
    </row>
    <row r="72" spans="1:28">
      <c r="A72" s="983" t="s">
        <v>567</v>
      </c>
      <c r="B72" s="669">
        <f>'Smmy FGD'!M836</f>
        <v>363328843</v>
      </c>
      <c r="C72" s="669"/>
      <c r="D72" s="669">
        <f>'Smmy FGD'!F836</f>
        <v>0</v>
      </c>
      <c r="E72" s="915"/>
      <c r="F72" s="754">
        <f t="shared" si="14"/>
        <v>363328843</v>
      </c>
      <c r="G72" s="320" t="s">
        <v>568</v>
      </c>
      <c r="H72" s="320"/>
      <c r="I72" s="492">
        <f>'THC Sum'!F54</f>
        <v>134803420</v>
      </c>
      <c r="J72" s="400"/>
      <c r="K72" s="400"/>
      <c r="L72" s="320"/>
      <c r="M72" s="400"/>
      <c r="N72" s="400"/>
      <c r="O72" s="400"/>
    </row>
    <row r="73" spans="1:28" ht="12" customHeight="1">
      <c r="A73" s="277" t="s">
        <v>477</v>
      </c>
      <c r="B73" s="669">
        <f>'Smmy FGD'!M850</f>
        <v>-514909098</v>
      </c>
      <c r="C73" s="669"/>
      <c r="D73" s="669">
        <f>'Smmy FGD'!F850</f>
        <v>-28755238</v>
      </c>
      <c r="E73" s="915"/>
      <c r="F73" s="754">
        <f t="shared" si="14"/>
        <v>-486153860</v>
      </c>
      <c r="G73" s="400" t="s">
        <v>569</v>
      </c>
      <c r="H73" s="320"/>
      <c r="I73" s="1075">
        <f>'MDA Sum'!F54</f>
        <v>1767067749</v>
      </c>
      <c r="J73" s="400"/>
      <c r="K73" s="400"/>
      <c r="L73" s="400"/>
      <c r="M73" s="400"/>
      <c r="N73" s="400"/>
      <c r="O73" s="400"/>
      <c r="P73" s="333"/>
      <c r="Q73" s="333"/>
      <c r="R73" s="333"/>
      <c r="S73" s="333"/>
      <c r="T73" s="333"/>
      <c r="U73" s="333"/>
      <c r="V73" s="333"/>
      <c r="W73" s="333"/>
      <c r="X73" s="333"/>
      <c r="Y73" s="333"/>
      <c r="Z73" s="333"/>
      <c r="AA73" s="333"/>
      <c r="AB73" s="333"/>
    </row>
    <row r="74" spans="1:28">
      <c r="A74" s="936" t="s">
        <v>155</v>
      </c>
      <c r="B74" s="937">
        <f>SUM(B70:B73)</f>
        <v>-1069357675</v>
      </c>
      <c r="C74" s="937"/>
      <c r="D74" s="937">
        <f>SUM(D70:D73)</f>
        <v>-10700800</v>
      </c>
      <c r="E74" s="937">
        <f>SUM(E70:E73)</f>
        <v>0</v>
      </c>
      <c r="F74" s="984">
        <f>SUM(F70:F73)</f>
        <v>-1058656875</v>
      </c>
      <c r="G74" s="320"/>
      <c r="H74" s="320"/>
      <c r="I74" s="492">
        <f>SUM(I72:I73)</f>
        <v>1901871169</v>
      </c>
      <c r="J74" s="400"/>
      <c r="K74" s="400"/>
      <c r="L74" s="400"/>
      <c r="M74" s="400"/>
      <c r="N74" s="400"/>
      <c r="O74" s="400"/>
    </row>
    <row r="75" spans="1:28">
      <c r="D75" s="320"/>
      <c r="E75" s="320"/>
      <c r="F75" s="320"/>
      <c r="G75" s="320"/>
      <c r="H75" s="320"/>
      <c r="I75" s="492"/>
      <c r="J75" s="320" t="s">
        <v>570</v>
      </c>
      <c r="K75" s="320"/>
      <c r="L75" s="320"/>
      <c r="M75" s="320"/>
      <c r="N75" s="320"/>
      <c r="O75" s="320"/>
    </row>
    <row r="76" spans="1:28" ht="13.5" customHeight="1">
      <c r="A76" s="279" t="s">
        <v>478</v>
      </c>
      <c r="B76" s="501"/>
      <c r="D76" s="320"/>
      <c r="E76" s="320"/>
      <c r="F76" s="400"/>
      <c r="G76" s="1164" t="s">
        <v>571</v>
      </c>
      <c r="H76" s="1164"/>
      <c r="I76" s="980">
        <f>F67-I74</f>
        <v>6598721575</v>
      </c>
      <c r="J76" s="400"/>
      <c r="K76" s="400"/>
      <c r="L76" s="400"/>
      <c r="M76" s="400"/>
      <c r="N76" s="400"/>
      <c r="O76" s="400"/>
      <c r="P76" s="333"/>
      <c r="Q76" s="333"/>
      <c r="R76" s="333"/>
      <c r="S76" s="333"/>
      <c r="T76" s="333"/>
      <c r="U76" s="333"/>
      <c r="V76" s="333"/>
      <c r="W76" s="333"/>
      <c r="X76" s="333"/>
      <c r="Y76" s="333"/>
      <c r="Z76" s="333"/>
      <c r="AA76" s="333"/>
      <c r="AB76" s="333"/>
    </row>
    <row r="77" spans="1:28">
      <c r="A77" s="277" t="s">
        <v>479</v>
      </c>
      <c r="B77" s="501">
        <f>'Smmy FGD'!M880</f>
        <v>-2348264186</v>
      </c>
      <c r="C77" s="669"/>
      <c r="D77" s="501">
        <f>'Smmy FGD'!F880</f>
        <v>-3088498</v>
      </c>
      <c r="E77" s="492"/>
      <c r="F77" s="492">
        <f t="shared" ref="F77:F78" si="15">B77-(SUM(D77:E77))</f>
        <v>-2345175688</v>
      </c>
      <c r="G77" s="320"/>
      <c r="H77" s="320"/>
      <c r="I77" s="320"/>
      <c r="J77" s="320"/>
      <c r="K77" s="320"/>
      <c r="L77" s="320"/>
      <c r="M77" s="320"/>
      <c r="N77" s="320"/>
      <c r="O77" s="320"/>
    </row>
    <row r="78" spans="1:28">
      <c r="A78" s="277" t="s">
        <v>480</v>
      </c>
      <c r="B78" s="669">
        <f>'Smmy FGD'!M894</f>
        <v>147694820</v>
      </c>
      <c r="C78" s="669"/>
      <c r="D78" s="669">
        <f>'Smmy FGD'!F894</f>
        <v>0</v>
      </c>
      <c r="E78" s="915"/>
      <c r="F78" s="754">
        <f t="shared" si="15"/>
        <v>147694820</v>
      </c>
      <c r="G78" s="400"/>
      <c r="H78" s="400"/>
      <c r="I78" s="400"/>
      <c r="J78" s="400"/>
      <c r="K78" s="400"/>
      <c r="L78" s="400"/>
      <c r="M78" s="400"/>
      <c r="N78" s="400"/>
      <c r="O78" s="400"/>
      <c r="P78" s="333"/>
      <c r="Q78" s="333"/>
      <c r="R78" s="333"/>
      <c r="S78" s="333"/>
      <c r="T78" s="333"/>
      <c r="U78" s="333"/>
      <c r="V78" s="333"/>
      <c r="W78" s="333"/>
      <c r="X78" s="333"/>
      <c r="Y78" s="333"/>
      <c r="Z78" s="333"/>
      <c r="AA78" s="333"/>
      <c r="AB78" s="333"/>
    </row>
    <row r="79" spans="1:28">
      <c r="A79" s="936" t="s">
        <v>155</v>
      </c>
      <c r="B79" s="937">
        <f>SUM(B77:B78)</f>
        <v>-2200569366</v>
      </c>
      <c r="C79" s="937"/>
      <c r="D79" s="937">
        <f>SUM(D77:D78)</f>
        <v>-3088498</v>
      </c>
      <c r="E79" s="937">
        <f>SUM(E77:E78)</f>
        <v>0</v>
      </c>
      <c r="F79" s="937">
        <f>SUM(F77:F78)</f>
        <v>-2197480868</v>
      </c>
      <c r="G79" s="320"/>
      <c r="H79" s="320"/>
      <c r="I79" s="320"/>
      <c r="J79" s="320"/>
      <c r="K79" s="320"/>
      <c r="L79" s="320"/>
      <c r="M79" s="320"/>
      <c r="N79" s="320"/>
      <c r="O79" s="320"/>
    </row>
    <row r="80" spans="1:28">
      <c r="D80" s="320"/>
      <c r="E80" s="320"/>
      <c r="F80" s="320"/>
      <c r="G80" s="320"/>
      <c r="H80" s="320"/>
      <c r="I80" s="320"/>
      <c r="J80" s="320"/>
      <c r="K80" s="320"/>
      <c r="L80" s="320"/>
      <c r="M80" s="320"/>
      <c r="N80" s="320"/>
      <c r="O80" s="320"/>
    </row>
    <row r="81" spans="1:15" ht="13.8" thickBot="1">
      <c r="A81" s="985" t="s">
        <v>572</v>
      </c>
      <c r="B81" s="590">
        <f>B52-B67+B74+B79</f>
        <v>-516217731</v>
      </c>
      <c r="C81" s="590"/>
      <c r="D81" s="590">
        <f>D52-D67+D74+D79</f>
        <v>13444305</v>
      </c>
      <c r="E81" s="590">
        <f>E52-E67+E74+E79</f>
        <v>2304414042</v>
      </c>
      <c r="F81" s="590">
        <f>F52-F67+F74+F79</f>
        <v>-2834076078</v>
      </c>
      <c r="G81" s="320"/>
      <c r="H81" s="320"/>
      <c r="I81" s="320"/>
      <c r="J81" s="320"/>
      <c r="K81" s="320"/>
      <c r="L81" s="320"/>
      <c r="M81" s="320"/>
      <c r="N81" s="320"/>
      <c r="O81" s="320"/>
    </row>
    <row r="82" spans="1:15" ht="13.8" thickTop="1">
      <c r="B82" s="320"/>
      <c r="D82" s="320"/>
      <c r="E82" s="320"/>
      <c r="F82" s="320"/>
      <c r="G82" s="320"/>
      <c r="H82" s="320"/>
      <c r="I82" s="320"/>
      <c r="J82" s="320"/>
      <c r="K82" s="320"/>
      <c r="L82" s="320"/>
      <c r="M82" s="320"/>
      <c r="N82" s="320"/>
      <c r="O82" s="320"/>
    </row>
    <row r="83" spans="1:15">
      <c r="A83" s="320" t="s">
        <v>573</v>
      </c>
      <c r="B83" s="320"/>
      <c r="D83" s="492"/>
      <c r="E83" s="320"/>
      <c r="F83" s="320"/>
      <c r="G83" s="320"/>
      <c r="H83" s="320"/>
      <c r="I83" s="320"/>
      <c r="J83" s="320"/>
      <c r="K83" s="320"/>
      <c r="L83" s="320"/>
      <c r="M83" s="320"/>
      <c r="N83" s="320"/>
      <c r="O83" s="320"/>
    </row>
    <row r="84" spans="1:15">
      <c r="A84" s="320"/>
      <c r="B84" s="320"/>
      <c r="D84" s="320"/>
      <c r="E84" s="320"/>
      <c r="F84" s="320"/>
      <c r="G84" s="320"/>
      <c r="H84" s="320"/>
      <c r="I84" s="320"/>
      <c r="J84" s="320"/>
      <c r="K84" s="320"/>
      <c r="L84" s="320"/>
      <c r="M84" s="320"/>
      <c r="N84" s="320"/>
      <c r="O84" s="320"/>
    </row>
    <row r="85" spans="1:15">
      <c r="B85" s="986">
        <f>'Smmy FGD'!M923</f>
        <v>-516217731</v>
      </c>
      <c r="D85" s="986">
        <f>'Smmy FGD'!F923</f>
        <v>14476036</v>
      </c>
      <c r="E85" s="986">
        <f>'Smmy FGD'!M479</f>
        <v>2674054948</v>
      </c>
      <c r="G85" s="320"/>
      <c r="H85" s="320"/>
      <c r="I85" s="320"/>
      <c r="J85" s="320"/>
      <c r="K85" s="320"/>
      <c r="L85" s="320"/>
      <c r="M85" s="320"/>
      <c r="N85" s="320"/>
      <c r="O85" s="320"/>
    </row>
    <row r="86" spans="1:15">
      <c r="B86" s="986"/>
      <c r="D86" s="986">
        <f>'Smmy FGD'!F750</f>
        <v>93062985</v>
      </c>
      <c r="E86" s="986">
        <f>'Smmy FGD'!M495</f>
        <v>8737119024</v>
      </c>
      <c r="F86" s="986"/>
      <c r="G86" s="320"/>
      <c r="H86" s="320"/>
      <c r="I86" s="320"/>
      <c r="J86" s="320"/>
      <c r="K86" s="320"/>
      <c r="L86" s="320"/>
      <c r="M86" s="320"/>
      <c r="N86" s="320"/>
      <c r="O86" s="320"/>
    </row>
    <row r="87" spans="1:15">
      <c r="B87" s="986"/>
      <c r="D87" s="986">
        <f>-'Smmy FGD'!M750</f>
        <v>-94094716</v>
      </c>
      <c r="E87" s="986">
        <f>-'Smmy FGD'!M652</f>
        <v>-462328760</v>
      </c>
      <c r="F87" s="986"/>
      <c r="G87" s="320"/>
      <c r="H87" s="320"/>
      <c r="I87" s="320"/>
      <c r="J87" s="320"/>
      <c r="K87" s="320"/>
      <c r="L87" s="320"/>
      <c r="M87" s="320"/>
      <c r="N87" s="320"/>
      <c r="O87" s="320"/>
    </row>
    <row r="88" spans="1:15">
      <c r="B88" s="986"/>
      <c r="D88" s="986"/>
      <c r="E88" s="986">
        <f>-'Smmy FGD'!M666</f>
        <v>-8644431170</v>
      </c>
      <c r="F88" s="986"/>
      <c r="G88" s="320"/>
      <c r="H88" s="320"/>
      <c r="I88" s="320"/>
      <c r="J88" s="320"/>
      <c r="K88" s="320"/>
      <c r="L88" s="320"/>
      <c r="M88" s="320"/>
      <c r="N88" s="320"/>
      <c r="O88" s="320"/>
    </row>
    <row r="89" spans="1:15">
      <c r="B89" s="987"/>
      <c r="D89" s="987"/>
      <c r="E89" s="987">
        <f>-D39</f>
        <v>0</v>
      </c>
      <c r="F89" s="986"/>
      <c r="G89" s="320"/>
      <c r="H89" s="320"/>
      <c r="I89" s="320"/>
      <c r="J89" s="320"/>
      <c r="K89" s="320"/>
      <c r="L89" s="320"/>
      <c r="M89" s="320"/>
      <c r="N89" s="320"/>
      <c r="O89" s="320"/>
    </row>
    <row r="90" spans="1:15">
      <c r="B90" s="986">
        <f>SUM(B85:B89)</f>
        <v>-516217731</v>
      </c>
      <c r="D90" s="986">
        <f>SUM(D85:D89)</f>
        <v>13444305</v>
      </c>
      <c r="E90" s="986">
        <f>SUM(E85:E89)</f>
        <v>2304414042</v>
      </c>
      <c r="F90" s="986">
        <f>B90-D90-E90</f>
        <v>-2834076078</v>
      </c>
    </row>
    <row r="91" spans="1:15" ht="12.75" customHeight="1">
      <c r="B91" s="986"/>
      <c r="D91" s="986"/>
      <c r="E91" s="986"/>
      <c r="F91" s="986"/>
    </row>
    <row r="92" spans="1:15" ht="12.75" customHeight="1">
      <c r="B92" s="987"/>
      <c r="C92" s="538"/>
      <c r="D92" s="987"/>
      <c r="E92" s="987"/>
      <c r="F92" s="987"/>
    </row>
    <row r="93" spans="1:15" ht="12.75" customHeight="1">
      <c r="B93" s="986">
        <f>SUM(B90:B92)</f>
        <v>-516217731</v>
      </c>
      <c r="D93" s="986">
        <f>SUM(D90:D92)</f>
        <v>13444305</v>
      </c>
      <c r="E93" s="986">
        <f>SUM(E90:E92)</f>
        <v>2304414042</v>
      </c>
      <c r="F93" s="986">
        <f>SUM(F90:F92)</f>
        <v>-2834076078</v>
      </c>
    </row>
    <row r="94" spans="1:15" ht="12.75" customHeight="1">
      <c r="B94" s="986"/>
      <c r="D94" s="986"/>
      <c r="E94" s="986"/>
      <c r="F94" s="986"/>
    </row>
    <row r="95" spans="1:15" ht="12.75" customHeight="1">
      <c r="B95" s="492">
        <f>B81-B93</f>
        <v>0</v>
      </c>
      <c r="D95" s="492">
        <f>D81-D93</f>
        <v>0</v>
      </c>
      <c r="E95" s="492">
        <f>E81-E93</f>
        <v>0</v>
      </c>
      <c r="F95" s="492">
        <f>F81-F93</f>
        <v>0</v>
      </c>
    </row>
    <row r="96" spans="1:15">
      <c r="D96" s="320"/>
      <c r="E96" s="320"/>
      <c r="F96" s="988" t="str">
        <f>IF(F95=0,"Balanced","Error")</f>
        <v>Balanced</v>
      </c>
    </row>
    <row r="110" spans="1:2" ht="15.6">
      <c r="A110" s="276" t="str">
        <f>A2</f>
        <v>For the Year Ended August 31, 2022</v>
      </c>
      <c r="B110" s="734" t="s">
        <v>574</v>
      </c>
    </row>
    <row r="111" spans="1:2" ht="15.6">
      <c r="A111" s="276" t="s">
        <v>575</v>
      </c>
      <c r="B111" s="1076" t="s">
        <v>576</v>
      </c>
    </row>
    <row r="112" spans="1:2">
      <c r="A112" s="277" t="s">
        <v>101</v>
      </c>
      <c r="B112" s="1077">
        <f>B23</f>
        <v>1918801288</v>
      </c>
    </row>
    <row r="113" spans="1:2">
      <c r="A113" s="277" t="s">
        <v>134</v>
      </c>
      <c r="B113" s="1077">
        <f>B24</f>
        <v>186025714</v>
      </c>
    </row>
    <row r="114" spans="1:2">
      <c r="A114" s="277" t="s">
        <v>136</v>
      </c>
      <c r="B114" s="1077">
        <f>B25</f>
        <v>0</v>
      </c>
    </row>
    <row r="115" spans="1:2">
      <c r="A115" s="277" t="s">
        <v>577</v>
      </c>
      <c r="B115" s="1077">
        <f>B26+B27</f>
        <v>114288662</v>
      </c>
    </row>
    <row r="116" spans="1:2">
      <c r="A116" s="277" t="s">
        <v>539</v>
      </c>
      <c r="B116" s="1077">
        <f>B33</f>
        <v>392101953</v>
      </c>
    </row>
    <row r="117" spans="1:2">
      <c r="A117" s="277" t="s">
        <v>578</v>
      </c>
      <c r="B117" s="1077">
        <f>B36</f>
        <v>1487986562</v>
      </c>
    </row>
    <row r="118" spans="1:2">
      <c r="A118" s="277" t="s">
        <v>163</v>
      </c>
      <c r="B118" s="1077">
        <f>B39</f>
        <v>2674054948</v>
      </c>
    </row>
    <row r="119" spans="1:2">
      <c r="A119" s="277" t="s">
        <v>523</v>
      </c>
      <c r="B119" s="1077">
        <f>B42</f>
        <v>8737119024</v>
      </c>
    </row>
    <row r="120" spans="1:2">
      <c r="A120" s="277" t="s">
        <v>579</v>
      </c>
      <c r="B120" s="1077">
        <f>B51-B121</f>
        <v>4836570146</v>
      </c>
    </row>
    <row r="121" spans="1:2">
      <c r="A121" s="277" t="s">
        <v>580</v>
      </c>
      <c r="B121" s="1078">
        <f>B49</f>
        <v>109585127</v>
      </c>
    </row>
    <row r="122" spans="1:2">
      <c r="A122" s="277" t="s">
        <v>581</v>
      </c>
      <c r="B122" s="501">
        <f>SUM(B112:B121)</f>
        <v>20456533424</v>
      </c>
    </row>
    <row r="126" spans="1:2">
      <c r="B126" s="501">
        <f>B52</f>
        <v>20456533424</v>
      </c>
    </row>
    <row r="129" spans="2:2">
      <c r="B129" s="501">
        <f>B122-B126</f>
        <v>0</v>
      </c>
    </row>
  </sheetData>
  <dataConsolidate link="1">
    <dataRefs count="9">
      <dataRef ref="C6" sheet="HSH Sum" r:id="rId1"/>
      <dataRef ref="C6" sheet="HSSA Sum" r:id="rId2"/>
      <dataRef ref="C6" sheet="MBG Sum" r:id="rId3"/>
      <dataRef ref="C6" sheet="MDA Sum" r:id="rId4"/>
      <dataRef ref="C6" sheet="SWM Sum" r:id="rId5"/>
      <dataRef ref="C6" sheet="TAMHSC Sum" r:id="rId6"/>
      <dataRef ref="C6" sheet="THC Sum" r:id="rId7"/>
      <dataRef ref="C6" sheet="TTUHSC Sum" r:id="rId8"/>
      <dataRef ref="C6" sheet="UNTHSC Sum" r:id="rId9"/>
    </dataRefs>
  </dataConsolidate>
  <mergeCells count="17">
    <mergeCell ref="G76:H76"/>
    <mergeCell ref="D4:D5"/>
    <mergeCell ref="J1:O1"/>
    <mergeCell ref="E4:E5"/>
    <mergeCell ref="F1:I1"/>
    <mergeCell ref="G67:H70"/>
    <mergeCell ref="J68:J69"/>
    <mergeCell ref="G51:H51"/>
    <mergeCell ref="G52:H52"/>
    <mergeCell ref="K48:O48"/>
    <mergeCell ref="K49:O49"/>
    <mergeCell ref="M50:M53"/>
    <mergeCell ref="L50:L53"/>
    <mergeCell ref="K58:O58"/>
    <mergeCell ref="K50:K53"/>
    <mergeCell ref="N50:N53"/>
    <mergeCell ref="O50:O53"/>
  </mergeCells>
  <hyperlinks>
    <hyperlink ref="E1" location="Index!A1" display="Return to Index" xr:uid="{00000000-0004-0000-1300-000000000000}"/>
  </hyperlinks>
  <printOptions horizontalCentered="1"/>
  <pageMargins left="0.25" right="0.25" top="0.5" bottom="0.3" header="0.3" footer="0.25"/>
  <pageSetup scale="79" orientation="portrait" r:id="rId10"/>
  <headerFooter alignWithMargins="0"/>
  <legacyDrawing r:id="rId1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1"/>
    <pageSetUpPr fitToPage="1"/>
  </sheetPr>
  <dimension ref="A1:U1145"/>
  <sheetViews>
    <sheetView showGridLines="0" zoomScale="75" zoomScaleNormal="75" workbookViewId="0">
      <pane xSplit="2" ySplit="8" topLeftCell="D79" activePane="bottomRight" state="frozen"/>
      <selection activeCell="B4" sqref="A1:XFD1048576"/>
      <selection pane="topRight" activeCell="B4" sqref="A1:XFD1048576"/>
      <selection pane="bottomLeft" activeCell="B4" sqref="A1:XFD1048576"/>
      <selection pane="bottomRight" activeCell="E638" sqref="E638"/>
    </sheetView>
  </sheetViews>
  <sheetFormatPr defaultColWidth="9.109375" defaultRowHeight="13.2" outlineLevelRow="1"/>
  <cols>
    <col min="1" max="1" width="5.6640625" style="460" hidden="1" customWidth="1"/>
    <col min="2" max="2" width="60.109375" style="752" customWidth="1"/>
    <col min="3" max="3" width="60.109375" style="752" hidden="1" customWidth="1"/>
    <col min="4" max="4" width="18.44140625" style="752" customWidth="1"/>
    <col min="5" max="5" width="15.6640625" style="752" customWidth="1"/>
    <col min="6" max="6" width="15.109375" style="752" customWidth="1"/>
    <col min="7" max="7" width="16" style="752" customWidth="1"/>
    <col min="8" max="8" width="12.6640625" style="752" customWidth="1"/>
    <col min="9" max="9" width="17.44140625" style="752" customWidth="1"/>
    <col min="10" max="10" width="15.5546875" style="752" customWidth="1"/>
    <col min="11" max="11" width="16" style="752" customWidth="1"/>
    <col min="12" max="12" width="16.33203125" style="752" customWidth="1"/>
    <col min="13" max="13" width="18" style="752" customWidth="1"/>
    <col min="14" max="14" width="6.6640625" style="752" customWidth="1"/>
    <col min="15" max="15" width="12.6640625" style="320" customWidth="1"/>
    <col min="16" max="16384" width="9.109375" style="752"/>
  </cols>
  <sheetData>
    <row r="1" spans="1:15" s="460" customFormat="1" hidden="1">
      <c r="A1" s="460">
        <v>0</v>
      </c>
      <c r="B1" s="460">
        <v>1</v>
      </c>
      <c r="D1" s="460">
        <v>2</v>
      </c>
      <c r="E1" s="460">
        <v>3</v>
      </c>
      <c r="F1" s="460">
        <v>4</v>
      </c>
      <c r="G1" s="460">
        <v>5</v>
      </c>
      <c r="H1" s="460">
        <v>6</v>
      </c>
      <c r="I1" s="460">
        <v>7</v>
      </c>
      <c r="J1" s="460">
        <v>8</v>
      </c>
      <c r="K1" s="460">
        <v>9</v>
      </c>
      <c r="L1" s="460">
        <v>10</v>
      </c>
      <c r="M1" s="460">
        <v>11</v>
      </c>
      <c r="N1" s="460">
        <v>12</v>
      </c>
      <c r="O1" s="322"/>
    </row>
    <row r="2" spans="1:15" ht="21">
      <c r="A2" s="460">
        <v>1</v>
      </c>
      <c r="B2" s="1168" t="s">
        <v>489</v>
      </c>
      <c r="C2" s="1168"/>
      <c r="D2" s="1168"/>
      <c r="E2" s="1168"/>
      <c r="F2" s="1168"/>
      <c r="G2" s="1168"/>
      <c r="H2" s="890"/>
      <c r="K2" s="890"/>
      <c r="L2" s="890"/>
      <c r="M2" s="890"/>
      <c r="N2" s="321" t="s">
        <v>51</v>
      </c>
    </row>
    <row r="3" spans="1:15" ht="21">
      <c r="A3" s="460">
        <v>2</v>
      </c>
      <c r="B3" s="1168" t="str">
        <f>'Smmy Chts'!$A$2</f>
        <v>For the Year Ended August 31, 2022</v>
      </c>
      <c r="C3" s="1168"/>
      <c r="D3" s="1168"/>
      <c r="E3" s="1168"/>
      <c r="F3" s="1168"/>
      <c r="G3" s="890"/>
      <c r="H3" s="890"/>
      <c r="K3" s="890"/>
      <c r="L3" s="890"/>
      <c r="M3" s="672"/>
    </row>
    <row r="4" spans="1:15" ht="21">
      <c r="A4" s="460">
        <v>3</v>
      </c>
      <c r="B4" s="1168" t="str">
        <f>'Smmy Chts'!$A$3</f>
        <v>Source: FY 2022 Annual Financial Report</v>
      </c>
      <c r="C4" s="1168"/>
      <c r="D4" s="1168"/>
      <c r="E4" s="1168"/>
      <c r="F4" s="1168"/>
      <c r="G4" s="890"/>
      <c r="H4" s="890"/>
      <c r="K4" s="890"/>
      <c r="L4" s="890"/>
      <c r="M4" s="672"/>
    </row>
    <row r="5" spans="1:15">
      <c r="A5" s="460">
        <v>4</v>
      </c>
      <c r="M5" s="460"/>
    </row>
    <row r="6" spans="1:15">
      <c r="A6" s="460">
        <v>5</v>
      </c>
      <c r="B6" s="1169" t="str">
        <f>'Smmy Chts'!$C$32</f>
        <v>Detail Worksheet FY 2022</v>
      </c>
      <c r="C6" s="1169"/>
      <c r="D6" s="1170"/>
      <c r="E6" s="1170"/>
      <c r="F6" s="1170"/>
      <c r="G6" s="1170"/>
      <c r="H6" s="1170"/>
      <c r="I6" s="1170"/>
      <c r="J6" s="1170"/>
      <c r="K6" s="1170"/>
      <c r="L6" s="1170"/>
      <c r="M6" s="1170"/>
    </row>
    <row r="7" spans="1:15">
      <c r="A7" s="460">
        <v>6</v>
      </c>
      <c r="B7" s="771"/>
      <c r="C7" s="771"/>
      <c r="M7" s="756" t="str">
        <f>'Smmy Chts'!$C$33</f>
        <v>FY 2022</v>
      </c>
    </row>
    <row r="8" spans="1:15" ht="39.6">
      <c r="A8" s="460">
        <v>7</v>
      </c>
      <c r="B8" s="822" t="s">
        <v>151</v>
      </c>
      <c r="C8" s="822"/>
      <c r="D8" s="1020" t="s">
        <v>582</v>
      </c>
      <c r="E8" s="1020" t="s">
        <v>583</v>
      </c>
      <c r="F8" s="1020" t="s">
        <v>186</v>
      </c>
      <c r="G8" s="1020" t="s">
        <v>584</v>
      </c>
      <c r="H8" s="1020" t="s">
        <v>585</v>
      </c>
      <c r="I8" s="1020" t="s">
        <v>586</v>
      </c>
      <c r="J8" s="1020" t="s">
        <v>587</v>
      </c>
      <c r="K8" s="1020" t="s">
        <v>588</v>
      </c>
      <c r="L8" s="1020" t="s">
        <v>589</v>
      </c>
      <c r="M8" s="1020" t="s">
        <v>590</v>
      </c>
    </row>
    <row r="9" spans="1:15">
      <c r="A9" s="460">
        <v>8</v>
      </c>
      <c r="B9" s="771" t="s">
        <v>152</v>
      </c>
      <c r="C9" s="771"/>
      <c r="D9" s="1021"/>
      <c r="E9" s="1021"/>
      <c r="F9" s="1021"/>
      <c r="G9" s="1021"/>
      <c r="H9" s="1021"/>
      <c r="I9" s="1021"/>
      <c r="J9" s="1021"/>
      <c r="K9" s="1021"/>
      <c r="L9" s="1021"/>
      <c r="M9" s="1021"/>
    </row>
    <row r="10" spans="1:15" hidden="1" outlineLevel="1">
      <c r="B10" s="823" t="str">
        <f>'AUSM FGD'!$B$2</f>
        <v>The University of Texas at Austin Medical School (M)</v>
      </c>
      <c r="C10" s="771"/>
      <c r="D10" s="1021">
        <f>'AUSM FGD'!$D$10</f>
        <v>16760652</v>
      </c>
      <c r="E10" s="1021">
        <f>'AUSM FGD'!$E$10</f>
        <v>0</v>
      </c>
      <c r="F10" s="1021">
        <f>'AUSM FGD'!$F$10</f>
        <v>0</v>
      </c>
      <c r="G10" s="1021">
        <f>'AUSM FGD'!$G$10</f>
        <v>0</v>
      </c>
      <c r="H10" s="1021">
        <f>'AUSM FGD'!$H$10</f>
        <v>0</v>
      </c>
      <c r="I10" s="1021">
        <f>'AUSM FGD'!$I$10</f>
        <v>0</v>
      </c>
      <c r="J10" s="1021">
        <f>'AUSM FGD'!$J$10</f>
        <v>0</v>
      </c>
      <c r="K10" s="1021">
        <f>'AUSM FGD'!$K$10</f>
        <v>0</v>
      </c>
      <c r="L10" s="1021">
        <f>'AUSM FGD'!$L$10</f>
        <v>0</v>
      </c>
      <c r="M10" s="1021">
        <f>'AUSM FGD'!$M$10</f>
        <v>16760652</v>
      </c>
    </row>
    <row r="11" spans="1:15" hidden="1" outlineLevel="1">
      <c r="B11" s="823" t="str">
        <f>'HSH FGD'!$B$2</f>
        <v>The University of Texas Health Science Center at Houston</v>
      </c>
      <c r="C11" s="771"/>
      <c r="D11" s="1021">
        <f>'HSH FGD'!$D$10</f>
        <v>240771921</v>
      </c>
      <c r="E11" s="1021">
        <f>'HSH FGD'!$E$10</f>
        <v>0</v>
      </c>
      <c r="F11" s="1021">
        <f>'HSH FGD'!$F$10</f>
        <v>0</v>
      </c>
      <c r="G11" s="1021">
        <f>'HSH FGD'!$G$10</f>
        <v>0</v>
      </c>
      <c r="H11" s="1021">
        <f>'HSH FGD'!$H$10</f>
        <v>0</v>
      </c>
      <c r="I11" s="1021">
        <f>'HSH FGD'!$I$10</f>
        <v>0</v>
      </c>
      <c r="J11" s="1021">
        <f>'HSH FGD'!$J$10</f>
        <v>0</v>
      </c>
      <c r="K11" s="1021">
        <f>'HSH FGD'!$K$10</f>
        <v>0</v>
      </c>
      <c r="L11" s="1021">
        <f>'HSH FGD'!$L$10</f>
        <v>0</v>
      </c>
      <c r="M11" s="1021">
        <f>'HSH FGD'!$M$10</f>
        <v>240771921</v>
      </c>
    </row>
    <row r="12" spans="1:15" hidden="1" outlineLevel="1">
      <c r="B12" s="823" t="str">
        <f>'HSSA FGD'!$B$2</f>
        <v>The University of Texas Health Science Center at San Antonio</v>
      </c>
      <c r="C12" s="771"/>
      <c r="D12" s="1021">
        <f>'HSSA FGD'!$D$10</f>
        <v>183996390</v>
      </c>
      <c r="E12" s="1021">
        <f>'HSSA FGD'!$E$10</f>
        <v>0</v>
      </c>
      <c r="F12" s="1021">
        <f>'HSSA FGD'!$F$10</f>
        <v>0</v>
      </c>
      <c r="G12" s="1021">
        <f>'HSSA FGD'!$G$10</f>
        <v>0</v>
      </c>
      <c r="H12" s="1021">
        <f>'HSSA FGD'!$H$10</f>
        <v>0</v>
      </c>
      <c r="I12" s="1021">
        <f>'HSSA FGD'!$I$10</f>
        <v>0</v>
      </c>
      <c r="J12" s="1021">
        <f>'HSSA FGD'!$J$10</f>
        <v>0</v>
      </c>
      <c r="K12" s="1021">
        <f>'HSSA FGD'!$K$10</f>
        <v>0</v>
      </c>
      <c r="L12" s="1021">
        <f>'HSSA FGD'!$L$10</f>
        <v>0</v>
      </c>
      <c r="M12" s="1021">
        <f>'HSSA FGD'!$M$10</f>
        <v>183996390</v>
      </c>
    </row>
    <row r="13" spans="1:15" hidden="1" outlineLevel="1">
      <c r="B13" s="823" t="str">
        <f>'MBG FGD'!$B$2</f>
        <v>The University of Texas Medical Branch at Galveston</v>
      </c>
      <c r="C13" s="771"/>
      <c r="D13" s="1021">
        <f>'MBG FGD'!$D$10</f>
        <v>379544163</v>
      </c>
      <c r="E13" s="1021">
        <f>'MBG FGD'!$E$10</f>
        <v>0</v>
      </c>
      <c r="F13" s="1021">
        <f>'MBG FGD'!$F$10</f>
        <v>0</v>
      </c>
      <c r="G13" s="1021">
        <f>'MBG FGD'!$G$10</f>
        <v>0</v>
      </c>
      <c r="H13" s="1021">
        <f>'MBG FGD'!$H$10</f>
        <v>0</v>
      </c>
      <c r="I13" s="1021">
        <f>'MBG FGD'!$I$10</f>
        <v>0</v>
      </c>
      <c r="J13" s="1021">
        <f>'MBG FGD'!$J$10</f>
        <v>0</v>
      </c>
      <c r="K13" s="1021">
        <f>'MBG FGD'!$K$10</f>
        <v>0</v>
      </c>
      <c r="L13" s="1021">
        <f>'MBG FGD'!$L$10</f>
        <v>0</v>
      </c>
      <c r="M13" s="1021">
        <f>'MBG FGD'!$M$10</f>
        <v>379544163</v>
      </c>
    </row>
    <row r="14" spans="1:15" hidden="1" outlineLevel="1">
      <c r="B14" s="823" t="str">
        <f>'MDA FGD'!$B$2</f>
        <v>The University of Texas M.D. Anderson Cancer Center</v>
      </c>
      <c r="C14" s="771"/>
      <c r="D14" s="1021">
        <f>'MDA FGD'!$D$10</f>
        <v>222277361</v>
      </c>
      <c r="E14" s="1021">
        <f>'MDA FGD'!$E$10</f>
        <v>0</v>
      </c>
      <c r="F14" s="1021">
        <f>'MDA FGD'!$F$10</f>
        <v>0</v>
      </c>
      <c r="G14" s="1021">
        <f>'MDA FGD'!$G$10</f>
        <v>0</v>
      </c>
      <c r="H14" s="1021">
        <f>'MDA FGD'!$H$10</f>
        <v>0</v>
      </c>
      <c r="I14" s="1021">
        <f>'MDA FGD'!$I$10</f>
        <v>0</v>
      </c>
      <c r="J14" s="1021">
        <f>'MDA FGD'!$J$10</f>
        <v>0</v>
      </c>
      <c r="K14" s="1021">
        <f>'MDA FGD'!$K$10</f>
        <v>0</v>
      </c>
      <c r="L14" s="1021">
        <f>'MDA FGD'!$L$10</f>
        <v>0</v>
      </c>
      <c r="M14" s="1021">
        <f>'MDA FGD'!$M$10</f>
        <v>222277361</v>
      </c>
    </row>
    <row r="15" spans="1:15" hidden="1" outlineLevel="1">
      <c r="B15" s="823" t="str">
        <f>'RGVM FGD'!$B$2</f>
        <v>The University of Texas Rio Grande Valley Medical School (M)</v>
      </c>
      <c r="C15" s="771"/>
      <c r="D15" s="1021">
        <f>'RGVM FGD'!$D$10</f>
        <v>42597486</v>
      </c>
      <c r="E15" s="1021">
        <f>'RGVM FGD'!$E$10</f>
        <v>0</v>
      </c>
      <c r="F15" s="1021">
        <f>'RGVM FGD'!$F$10</f>
        <v>0</v>
      </c>
      <c r="G15" s="1021">
        <f>'RGVM FGD'!$G$10</f>
        <v>0</v>
      </c>
      <c r="H15" s="1021">
        <f>'RGVM FGD'!$H$10</f>
        <v>0</v>
      </c>
      <c r="I15" s="1021">
        <f>'RGVM FGD'!$I$10</f>
        <v>0</v>
      </c>
      <c r="J15" s="1021">
        <f>'RGVM FGD'!$J$10</f>
        <v>0</v>
      </c>
      <c r="K15" s="1021">
        <f>'RGVM FGD'!$K$10</f>
        <v>0</v>
      </c>
      <c r="L15" s="1021">
        <f>'RGVM FGD'!$L$10</f>
        <v>0</v>
      </c>
      <c r="M15" s="1021">
        <f>'RGVM FGD'!$M$10</f>
        <v>42597486</v>
      </c>
    </row>
    <row r="16" spans="1:15" hidden="1" outlineLevel="1">
      <c r="B16" s="823" t="str">
        <f>'SWM FGD'!$B$2</f>
        <v>The University of Texas Southwestern Medical Center</v>
      </c>
      <c r="C16" s="771"/>
      <c r="D16" s="1021">
        <f>'SWM FGD'!$D$10</f>
        <v>214022335</v>
      </c>
      <c r="E16" s="1021">
        <f>'SWM FGD'!$E$10</f>
        <v>0</v>
      </c>
      <c r="F16" s="1021">
        <f>'SWM FGD'!$F$10</f>
        <v>0</v>
      </c>
      <c r="G16" s="1021">
        <f>'SWM FGD'!$G$10</f>
        <v>0</v>
      </c>
      <c r="H16" s="1021">
        <f>'SWM FGD'!$H$10</f>
        <v>0</v>
      </c>
      <c r="I16" s="1021">
        <f>'SWM FGD'!$I$10</f>
        <v>0</v>
      </c>
      <c r="J16" s="1021">
        <f>'SWM FGD'!$J$10</f>
        <v>0</v>
      </c>
      <c r="K16" s="1021">
        <f>'SWM FGD'!$K$10</f>
        <v>0</v>
      </c>
      <c r="L16" s="1021">
        <f>'SWM FGD'!$L$10</f>
        <v>0</v>
      </c>
      <c r="M16" s="1021">
        <f>'SWM FGD'!$M$10</f>
        <v>214022335</v>
      </c>
    </row>
    <row r="17" spans="1:13" hidden="1" outlineLevel="1">
      <c r="B17" s="823" t="str">
        <f>'TAMHSC FGD'!$B$2</f>
        <v>Texas A&amp;M University System Health Science Center</v>
      </c>
      <c r="C17" s="771"/>
      <c r="D17" s="1021">
        <f>'TAMHSC FGD'!$D$10</f>
        <v>176061466</v>
      </c>
      <c r="E17" s="1021">
        <f>'TAMHSC FGD'!$E$10</f>
        <v>0</v>
      </c>
      <c r="F17" s="1021">
        <f>'TAMHSC FGD'!$F$10</f>
        <v>0</v>
      </c>
      <c r="G17" s="1021">
        <f>'TAMHSC FGD'!$G$10</f>
        <v>0</v>
      </c>
      <c r="H17" s="1021">
        <f>'TAMHSC FGD'!$H$10</f>
        <v>0</v>
      </c>
      <c r="I17" s="1021">
        <f>'TAMHSC FGD'!$I$10</f>
        <v>0</v>
      </c>
      <c r="J17" s="1021">
        <f>'TAMHSC FGD'!$J$10</f>
        <v>0</v>
      </c>
      <c r="K17" s="1021">
        <f>'TAMHSC FGD'!$K$10</f>
        <v>0</v>
      </c>
      <c r="L17" s="1021">
        <f>'TAMHSC FGD'!$L$10</f>
        <v>0</v>
      </c>
      <c r="M17" s="1021">
        <f>'TAMHSC FGD'!$M$10</f>
        <v>176061466</v>
      </c>
    </row>
    <row r="18" spans="1:13" hidden="1" outlineLevel="1">
      <c r="B18" s="823" t="str">
        <f>'THC FGD'!$B$2</f>
        <v>The University of Texas Health Science Center at Tyler</v>
      </c>
      <c r="C18" s="771"/>
      <c r="D18" s="1021">
        <f>'THC FGD'!$D$10</f>
        <v>55239453</v>
      </c>
      <c r="E18" s="1021">
        <f>'THC FGD'!$E$10</f>
        <v>0</v>
      </c>
      <c r="F18" s="1021">
        <f>'THC FGD'!$F$10</f>
        <v>0</v>
      </c>
      <c r="G18" s="1021">
        <f>'THC FGD'!$G$10</f>
        <v>0</v>
      </c>
      <c r="H18" s="1021">
        <f>'THC FGD'!$H$10</f>
        <v>0</v>
      </c>
      <c r="I18" s="1021">
        <f>'THC FGD'!$I$10</f>
        <v>0</v>
      </c>
      <c r="J18" s="1021">
        <f>'THC FGD'!$J$10</f>
        <v>0</v>
      </c>
      <c r="K18" s="1021">
        <f>'THC FGD'!$K$10</f>
        <v>0</v>
      </c>
      <c r="L18" s="1021">
        <f>'THC FGD'!$L$10</f>
        <v>0</v>
      </c>
      <c r="M18" s="1021">
        <f>'THC FGD'!$M$10</f>
        <v>55239453</v>
      </c>
    </row>
    <row r="19" spans="1:13" hidden="1" outlineLevel="1">
      <c r="B19" s="823" t="str">
        <f>'TTUHSC FGD'!$B$2</f>
        <v>Texas Tech University Health Sciences Center</v>
      </c>
      <c r="C19" s="771"/>
      <c r="D19" s="1021">
        <f>'TTUHSC FGD'!$D$10</f>
        <v>166379240</v>
      </c>
      <c r="E19" s="1021">
        <f>'TTUHSC FGD'!$E$10</f>
        <v>0</v>
      </c>
      <c r="F19" s="1021">
        <f>'TTUHSC FGD'!$F$10</f>
        <v>0</v>
      </c>
      <c r="G19" s="1021">
        <f>'TTUHSC FGD'!$G$10</f>
        <v>13427001</v>
      </c>
      <c r="H19" s="1021">
        <f>'TTUHSC FGD'!$H$10</f>
        <v>0</v>
      </c>
      <c r="I19" s="1021">
        <f>'TTUHSC FGD'!$I$10</f>
        <v>0</v>
      </c>
      <c r="J19" s="1021">
        <f>'TTUHSC FGD'!$J$10</f>
        <v>0</v>
      </c>
      <c r="K19" s="1021">
        <f>'TTUHSC FGD'!$K$10</f>
        <v>0</v>
      </c>
      <c r="L19" s="1021">
        <f>'TTUHSC FGD'!$L$10</f>
        <v>0</v>
      </c>
      <c r="M19" s="1021">
        <f>'TTUHSC FGD'!$M$10</f>
        <v>179806241</v>
      </c>
    </row>
    <row r="20" spans="1:13" hidden="1" outlineLevel="1">
      <c r="B20" s="823" t="str">
        <f>'TTUHSCEP FGD'!$B$2</f>
        <v>Texas Tech University Health Sciences Center at El Paso</v>
      </c>
      <c r="C20" s="771"/>
      <c r="D20" s="1021">
        <f>'TTUHSCEP FGD'!$D$10</f>
        <v>80558351</v>
      </c>
      <c r="E20" s="1021">
        <f>'TTUHSCEP FGD'!$E$10</f>
        <v>0</v>
      </c>
      <c r="F20" s="1021">
        <f>'TTUHSCEP FGD'!$F$10</f>
        <v>0</v>
      </c>
      <c r="G20" s="1021">
        <f>'TTUHSCEP FGD'!$G$10</f>
        <v>0</v>
      </c>
      <c r="H20" s="1021">
        <f>'TTUHSCEP FGD'!$H$10</f>
        <v>0</v>
      </c>
      <c r="I20" s="1021">
        <f>'TTUHSCEP FGD'!$I$10</f>
        <v>0</v>
      </c>
      <c r="J20" s="1021">
        <f>'TTUHSCEP FGD'!$J$10</f>
        <v>0</v>
      </c>
      <c r="K20" s="1021">
        <f>'TTUHSCEP FGD'!$K$10</f>
        <v>0</v>
      </c>
      <c r="L20" s="1021">
        <f>'TTUHSCEP FGD'!$L$10</f>
        <v>0</v>
      </c>
      <c r="M20" s="1021">
        <f>'TTUHSCEP FGD'!$M$10</f>
        <v>80558351</v>
      </c>
    </row>
    <row r="21" spans="1:13" hidden="1" outlineLevel="1">
      <c r="B21" s="823" t="str">
        <f>'UHM FGD'!$B$2</f>
        <v>University of Houston Medical School (M)</v>
      </c>
      <c r="C21" s="771"/>
      <c r="D21" s="1021">
        <f>'UHM FGD'!$D$10</f>
        <v>14889291</v>
      </c>
      <c r="E21" s="1021">
        <f>'UHM FGD'!$E$10</f>
        <v>0</v>
      </c>
      <c r="F21" s="1021">
        <f>'UHM FGD'!$F$10</f>
        <v>0</v>
      </c>
      <c r="G21" s="1021">
        <f>'UHM FGD'!$G$10</f>
        <v>0</v>
      </c>
      <c r="H21" s="1021">
        <f>'UHM FGD'!$H$10</f>
        <v>0</v>
      </c>
      <c r="I21" s="1021">
        <f>'UHM FGD'!$I$10</f>
        <v>0</v>
      </c>
      <c r="J21" s="1021">
        <f>'UHM FGD'!$J$10</f>
        <v>0</v>
      </c>
      <c r="K21" s="1021">
        <f>'UHM FGD'!$K$10</f>
        <v>0</v>
      </c>
      <c r="L21" s="1021">
        <f>'UHM FGD'!$L$10</f>
        <v>0</v>
      </c>
      <c r="M21" s="1021">
        <f>'UHM FGD'!$M$10</f>
        <v>14889291</v>
      </c>
    </row>
    <row r="22" spans="1:13" hidden="1" outlineLevel="1">
      <c r="B22" s="823" t="str">
        <f>'UNTHSC1 FGD'!$B$2</f>
        <v>University of North Texas Health Science Center at Fort Worth (Public Medical)</v>
      </c>
      <c r="C22" s="771"/>
      <c r="D22" s="1021">
        <f>'UNTHSC1 FGD'!$D$10</f>
        <v>112276178</v>
      </c>
      <c r="E22" s="1021">
        <f>'UNTHSC1 FGD'!$E$10</f>
        <v>0</v>
      </c>
      <c r="F22" s="1021">
        <f>'UNTHSC1 FGD'!$F$10</f>
        <v>0</v>
      </c>
      <c r="G22" s="1021">
        <f>'UNTHSC1 FGD'!$G$10</f>
        <v>0</v>
      </c>
      <c r="H22" s="1021">
        <f>'UNTHSC1 FGD'!$H$10</f>
        <v>0</v>
      </c>
      <c r="I22" s="1021">
        <f>'UNTHSC1 FGD'!$I$10</f>
        <v>0</v>
      </c>
      <c r="J22" s="1021">
        <f>'UNTHSC1 FGD'!$J$10</f>
        <v>0</v>
      </c>
      <c r="K22" s="1021">
        <f>'UNTHSC1 FGD'!$K$10</f>
        <v>0</v>
      </c>
      <c r="L22" s="1021">
        <f>'UNTHSC1 FGD'!$L$10</f>
        <v>0</v>
      </c>
      <c r="M22" s="1021">
        <f>'UNTHSC1 FGD'!$M$10</f>
        <v>112276178</v>
      </c>
    </row>
    <row r="23" spans="1:13" ht="12.75" customHeight="1" collapsed="1">
      <c r="A23" s="460">
        <v>9</v>
      </c>
      <c r="B23" s="752" t="s">
        <v>101</v>
      </c>
      <c r="D23" s="762">
        <f t="shared" ref="D23:M23" si="0">SUM(D10:D22)</f>
        <v>1905374287</v>
      </c>
      <c r="E23" s="762">
        <f t="shared" si="0"/>
        <v>0</v>
      </c>
      <c r="F23" s="762">
        <f t="shared" si="0"/>
        <v>0</v>
      </c>
      <c r="G23" s="762">
        <f t="shared" si="0"/>
        <v>13427001</v>
      </c>
      <c r="H23" s="762">
        <f t="shared" si="0"/>
        <v>0</v>
      </c>
      <c r="I23" s="762">
        <f t="shared" si="0"/>
        <v>0</v>
      </c>
      <c r="J23" s="762">
        <f t="shared" si="0"/>
        <v>0</v>
      </c>
      <c r="K23" s="762">
        <f t="shared" si="0"/>
        <v>0</v>
      </c>
      <c r="L23" s="762">
        <f t="shared" si="0"/>
        <v>0</v>
      </c>
      <c r="M23" s="723">
        <f t="shared" si="0"/>
        <v>1918801288</v>
      </c>
    </row>
    <row r="24" spans="1:13" ht="12.75" hidden="1" customHeight="1" outlineLevel="1">
      <c r="B24" s="823" t="str">
        <f>'AUSM FGD'!$B$2</f>
        <v>The University of Texas at Austin Medical School (M)</v>
      </c>
      <c r="D24" s="762">
        <f>'AUSM FGD'!$D$11</f>
        <v>0</v>
      </c>
      <c r="E24" s="762">
        <f>'AUSM FGD'!$E$11</f>
        <v>725865</v>
      </c>
      <c r="F24" s="762">
        <f>'AUSM FGD'!$F$11</f>
        <v>0</v>
      </c>
      <c r="G24" s="762">
        <f>'AUSM FGD'!$G$11</f>
        <v>3719461</v>
      </c>
      <c r="H24" s="762">
        <f>'AUSM FGD'!$H$11</f>
        <v>0</v>
      </c>
      <c r="I24" s="762">
        <f>'AUSM FGD'!$I$11</f>
        <v>0</v>
      </c>
      <c r="J24" s="762">
        <f>'AUSM FGD'!$J$11</f>
        <v>0</v>
      </c>
      <c r="K24" s="762">
        <f>'AUSM FGD'!$K$11</f>
        <v>0</v>
      </c>
      <c r="L24" s="762">
        <f>'AUSM FGD'!$L$11</f>
        <v>0</v>
      </c>
      <c r="M24" s="723">
        <f>'AUSM FGD'!$M$11</f>
        <v>4445326</v>
      </c>
    </row>
    <row r="25" spans="1:13" ht="12.75" hidden="1" customHeight="1" outlineLevel="1">
      <c r="B25" s="823" t="str">
        <f>'HSH FGD'!$B$2</f>
        <v>The University of Texas Health Science Center at Houston</v>
      </c>
      <c r="D25" s="762">
        <f>'HSH FGD'!$D$11</f>
        <v>7990728</v>
      </c>
      <c r="E25" s="762">
        <f>'HSH FGD'!$E$11</f>
        <v>768205</v>
      </c>
      <c r="F25" s="762">
        <f>'HSH FGD'!$F$11</f>
        <v>0</v>
      </c>
      <c r="G25" s="762">
        <f>'HSH FGD'!$G$11</f>
        <v>10770468</v>
      </c>
      <c r="H25" s="762">
        <f>'HSH FGD'!$H$11</f>
        <v>0</v>
      </c>
      <c r="I25" s="762">
        <f>'HSH FGD'!$I$11</f>
        <v>0</v>
      </c>
      <c r="J25" s="762">
        <f>'HSH FGD'!$J$11</f>
        <v>0</v>
      </c>
      <c r="K25" s="762">
        <f>'HSH FGD'!$K$11</f>
        <v>0</v>
      </c>
      <c r="L25" s="762">
        <f>'HSH FGD'!$L$11</f>
        <v>0</v>
      </c>
      <c r="M25" s="723">
        <f>'HSH FGD'!$M$11</f>
        <v>19529401</v>
      </c>
    </row>
    <row r="26" spans="1:13" ht="12.75" hidden="1" customHeight="1" outlineLevel="1">
      <c r="B26" s="823" t="str">
        <f>'HSSA FGD'!$B$2</f>
        <v>The University of Texas Health Science Center at San Antonio</v>
      </c>
      <c r="D26" s="762">
        <f>'HSSA FGD'!$D$11</f>
        <v>4527251</v>
      </c>
      <c r="E26" s="762">
        <f>'HSSA FGD'!$E$11</f>
        <v>1802627</v>
      </c>
      <c r="F26" s="762">
        <f>'HSSA FGD'!$F$11</f>
        <v>0</v>
      </c>
      <c r="G26" s="762">
        <f>'HSSA FGD'!$G$11</f>
        <v>12340839</v>
      </c>
      <c r="H26" s="762">
        <f>'HSSA FGD'!$H$11</f>
        <v>0</v>
      </c>
      <c r="I26" s="762">
        <f>'HSSA FGD'!$I$11</f>
        <v>0</v>
      </c>
      <c r="J26" s="762">
        <f>'HSSA FGD'!$J$11</f>
        <v>0</v>
      </c>
      <c r="K26" s="762">
        <f>'HSSA FGD'!$K$11</f>
        <v>0</v>
      </c>
      <c r="L26" s="762">
        <f>'HSSA FGD'!$L$11</f>
        <v>0</v>
      </c>
      <c r="M26" s="723">
        <f>'HSSA FGD'!$M$11</f>
        <v>18670717</v>
      </c>
    </row>
    <row r="27" spans="1:13" ht="12.75" hidden="1" customHeight="1" outlineLevel="1">
      <c r="B27" s="823" t="str">
        <f>'MBG FGD'!$B$2</f>
        <v>The University of Texas Medical Branch at Galveston</v>
      </c>
      <c r="D27" s="762">
        <f>'MBG FGD'!$D$11</f>
        <v>29619</v>
      </c>
      <c r="E27" s="762">
        <f>'MBG FGD'!$E$11</f>
        <v>0</v>
      </c>
      <c r="F27" s="762">
        <f>'MBG FGD'!$F$11</f>
        <v>0</v>
      </c>
      <c r="G27" s="762">
        <f>'MBG FGD'!$G$11</f>
        <v>13062782</v>
      </c>
      <c r="H27" s="762">
        <f>'MBG FGD'!$H$11</f>
        <v>0</v>
      </c>
      <c r="I27" s="762">
        <f>'MBG FGD'!$I$11</f>
        <v>0</v>
      </c>
      <c r="J27" s="762">
        <f>'MBG FGD'!$J$11</f>
        <v>0</v>
      </c>
      <c r="K27" s="762">
        <f>'MBG FGD'!$K$11</f>
        <v>0</v>
      </c>
      <c r="L27" s="762">
        <f>'MBG FGD'!$L$11</f>
        <v>0</v>
      </c>
      <c r="M27" s="723">
        <f>'MBG FGD'!$M$11</f>
        <v>13092401</v>
      </c>
    </row>
    <row r="28" spans="1:13" ht="12.75" hidden="1" customHeight="1" outlineLevel="1">
      <c r="B28" s="823" t="str">
        <f>'MDA FGD'!$B$2</f>
        <v>The University of Texas M.D. Anderson Cancer Center</v>
      </c>
      <c r="D28" s="762">
        <f>'MDA FGD'!$D$11</f>
        <v>54310</v>
      </c>
      <c r="E28" s="762">
        <f>'MDA FGD'!$E$11</f>
        <v>1807482</v>
      </c>
      <c r="F28" s="762">
        <f>'MDA FGD'!$F$11</f>
        <v>0</v>
      </c>
      <c r="G28" s="762">
        <f>'MDA FGD'!$G$11</f>
        <v>37505912</v>
      </c>
      <c r="H28" s="762">
        <f>'MDA FGD'!$H$11</f>
        <v>0</v>
      </c>
      <c r="I28" s="762">
        <f>'MDA FGD'!$I$11</f>
        <v>0</v>
      </c>
      <c r="J28" s="762">
        <f>'MDA FGD'!$J$11</f>
        <v>0</v>
      </c>
      <c r="K28" s="762">
        <f>'MDA FGD'!$K$11</f>
        <v>0</v>
      </c>
      <c r="L28" s="762">
        <f>'MDA FGD'!$L$11</f>
        <v>0</v>
      </c>
      <c r="M28" s="723">
        <f>'MDA FGD'!$M$11</f>
        <v>39367704</v>
      </c>
    </row>
    <row r="29" spans="1:13" ht="12.75" hidden="1" customHeight="1" outlineLevel="1">
      <c r="B29" s="823" t="str">
        <f>'RGVM FGD'!$B$2</f>
        <v>The University of Texas Rio Grande Valley Medical School (M)</v>
      </c>
      <c r="D29" s="762">
        <f>'RGVM FGD'!$D$11</f>
        <v>6345296</v>
      </c>
      <c r="E29" s="762">
        <f>'RGVM FGD'!$E$11</f>
        <v>0</v>
      </c>
      <c r="F29" s="762">
        <f>'RGVM FGD'!$F$11</f>
        <v>0</v>
      </c>
      <c r="G29" s="762">
        <f>'RGVM FGD'!$G$11</f>
        <v>531773</v>
      </c>
      <c r="H29" s="762">
        <f>'RGVM FGD'!$H$11</f>
        <v>0</v>
      </c>
      <c r="I29" s="762">
        <f>'RGVM FGD'!$I$11</f>
        <v>0</v>
      </c>
      <c r="J29" s="762">
        <f>'RGVM FGD'!$J$11</f>
        <v>0</v>
      </c>
      <c r="K29" s="762">
        <f>'RGVM FGD'!$K$11</f>
        <v>0</v>
      </c>
      <c r="L29" s="762">
        <f>'RGVM FGD'!$L$11</f>
        <v>0</v>
      </c>
      <c r="M29" s="723">
        <f>'RGVM FGD'!$M$11</f>
        <v>6877069</v>
      </c>
    </row>
    <row r="30" spans="1:13" ht="12.75" hidden="1" customHeight="1" outlineLevel="1">
      <c r="B30" s="823" t="str">
        <f>'SWM FGD'!$B$2</f>
        <v>The University of Texas Southwestern Medical Center</v>
      </c>
      <c r="D30" s="762">
        <f>'SWM FGD'!$D$11</f>
        <v>2374355</v>
      </c>
      <c r="E30" s="762">
        <f>'SWM FGD'!$E$11</f>
        <v>2063501</v>
      </c>
      <c r="F30" s="762">
        <f>'SWM FGD'!$F$11</f>
        <v>0</v>
      </c>
      <c r="G30" s="762">
        <f>'SWM FGD'!$G$11</f>
        <v>41863416</v>
      </c>
      <c r="H30" s="762">
        <f>'SWM FGD'!$H$11</f>
        <v>0</v>
      </c>
      <c r="I30" s="762">
        <f>'SWM FGD'!$I$11</f>
        <v>0</v>
      </c>
      <c r="J30" s="762">
        <f>'SWM FGD'!$J$11</f>
        <v>0</v>
      </c>
      <c r="K30" s="762">
        <f>'SWM FGD'!$K$11</f>
        <v>0</v>
      </c>
      <c r="L30" s="762">
        <f>'SWM FGD'!$L$11</f>
        <v>0</v>
      </c>
      <c r="M30" s="723">
        <f>'SWM FGD'!$M$11</f>
        <v>46301272</v>
      </c>
    </row>
    <row r="31" spans="1:13" ht="12.75" hidden="1" customHeight="1" outlineLevel="1">
      <c r="B31" s="823" t="str">
        <f>'TAMHSC FGD'!$B$2</f>
        <v>Texas A&amp;M University System Health Science Center</v>
      </c>
      <c r="D31" s="762">
        <f>'TAMHSC FGD'!$D$11</f>
        <v>1417836</v>
      </c>
      <c r="E31" s="762">
        <f>'TAMHSC FGD'!$E$11</f>
        <v>1558685</v>
      </c>
      <c r="F31" s="762">
        <f>'TAMHSC FGD'!$F$11</f>
        <v>0</v>
      </c>
      <c r="G31" s="762">
        <f>'TAMHSC FGD'!$G$11</f>
        <v>4167236</v>
      </c>
      <c r="H31" s="762">
        <f>'TAMHSC FGD'!$H$11</f>
        <v>0</v>
      </c>
      <c r="I31" s="762">
        <f>'TAMHSC FGD'!$I$11</f>
        <v>0</v>
      </c>
      <c r="J31" s="762">
        <f>'TAMHSC FGD'!$J$11</f>
        <v>0</v>
      </c>
      <c r="K31" s="762">
        <f>'TAMHSC FGD'!$K$11</f>
        <v>0</v>
      </c>
      <c r="L31" s="762">
        <f>'TAMHSC FGD'!$L$11</f>
        <v>0</v>
      </c>
      <c r="M31" s="723">
        <f>'TAMHSC FGD'!$M$11</f>
        <v>7143757</v>
      </c>
    </row>
    <row r="32" spans="1:13" ht="12.75" hidden="1" customHeight="1" outlineLevel="1">
      <c r="B32" s="823" t="str">
        <f>'THC FGD'!$B$2</f>
        <v>The University of Texas Health Science Center at Tyler</v>
      </c>
      <c r="D32" s="762">
        <f>'THC FGD'!$D$11</f>
        <v>0</v>
      </c>
      <c r="E32" s="762">
        <f>'THC FGD'!$E$11</f>
        <v>80176</v>
      </c>
      <c r="F32" s="762">
        <f>'THC FGD'!$F$11</f>
        <v>0</v>
      </c>
      <c r="G32" s="762">
        <f>'THC FGD'!$G$11</f>
        <v>6465306</v>
      </c>
      <c r="H32" s="762">
        <f>'THC FGD'!$H$11</f>
        <v>0</v>
      </c>
      <c r="I32" s="762">
        <f>'THC FGD'!$I$11</f>
        <v>0</v>
      </c>
      <c r="J32" s="762">
        <f>'THC FGD'!$J$11</f>
        <v>0</v>
      </c>
      <c r="K32" s="762">
        <f>'THC FGD'!$K$11</f>
        <v>0</v>
      </c>
      <c r="L32" s="762">
        <f>'THC FGD'!$L$11</f>
        <v>0</v>
      </c>
      <c r="M32" s="723">
        <f>'THC FGD'!$M$11</f>
        <v>6545482</v>
      </c>
    </row>
    <row r="33" spans="1:14" ht="12.75" hidden="1" customHeight="1" outlineLevel="1">
      <c r="B33" s="823" t="str">
        <f>'TTUHSC FGD'!$B$2</f>
        <v>Texas Tech University Health Sciences Center</v>
      </c>
      <c r="D33" s="762">
        <f>'TTUHSC FGD'!$D$11</f>
        <v>8775000</v>
      </c>
      <c r="E33" s="762">
        <f>'TTUHSC FGD'!$E$11</f>
        <v>71625</v>
      </c>
      <c r="F33" s="762">
        <f>'TTUHSC FGD'!$F$11</f>
        <v>0</v>
      </c>
      <c r="G33" s="762">
        <f>'TTUHSC FGD'!$G$11</f>
        <v>6863026</v>
      </c>
      <c r="H33" s="762">
        <f>'TTUHSC FGD'!$H$11</f>
        <v>0</v>
      </c>
      <c r="I33" s="762">
        <f>'TTUHSC FGD'!$I$11</f>
        <v>0</v>
      </c>
      <c r="J33" s="762">
        <f>'TTUHSC FGD'!$J$11</f>
        <v>0</v>
      </c>
      <c r="K33" s="762">
        <f>'TTUHSC FGD'!$K$11</f>
        <v>0</v>
      </c>
      <c r="L33" s="762">
        <f>'TTUHSC FGD'!$L$11</f>
        <v>0</v>
      </c>
      <c r="M33" s="723">
        <f>'TTUHSC FGD'!$M$11</f>
        <v>15709651</v>
      </c>
    </row>
    <row r="34" spans="1:14" ht="12.75" hidden="1" customHeight="1" outlineLevel="1">
      <c r="B34" s="823" t="str">
        <f>'TTUHSCEP FGD'!$B$2</f>
        <v>Texas Tech University Health Sciences Center at El Paso</v>
      </c>
      <c r="D34" s="762">
        <f>'TTUHSCEP FGD'!$D$11</f>
        <v>744808</v>
      </c>
      <c r="E34" s="762">
        <f>'TTUHSCEP FGD'!$E$11</f>
        <v>175403</v>
      </c>
      <c r="F34" s="762">
        <f>'TTUHSCEP FGD'!$F$11</f>
        <v>0</v>
      </c>
      <c r="G34" s="762">
        <f>'TTUHSCEP FGD'!$G$11</f>
        <v>5279082</v>
      </c>
      <c r="H34" s="762">
        <f>'TTUHSCEP FGD'!$H$11</f>
        <v>0</v>
      </c>
      <c r="I34" s="762">
        <f>'TTUHSCEP FGD'!$I$11</f>
        <v>0</v>
      </c>
      <c r="J34" s="762">
        <f>'TTUHSCEP FGD'!$J$11</f>
        <v>0</v>
      </c>
      <c r="K34" s="762">
        <f>'TTUHSCEP FGD'!$K$11</f>
        <v>0</v>
      </c>
      <c r="L34" s="762">
        <f>'TTUHSCEP FGD'!$L$11</f>
        <v>0</v>
      </c>
      <c r="M34" s="723">
        <f>'TTUHSCEP FGD'!$M$11</f>
        <v>6199293</v>
      </c>
    </row>
    <row r="35" spans="1:14" ht="12.75" hidden="1" customHeight="1" outlineLevel="1">
      <c r="B35" s="823" t="str">
        <f>'UHM FGD'!$B$2</f>
        <v>University of Houston Medical School (M)</v>
      </c>
      <c r="D35" s="762">
        <f>'UHM FGD'!$D$11</f>
        <v>0</v>
      </c>
      <c r="E35" s="762">
        <f>'UHM FGD'!$E$11</f>
        <v>0</v>
      </c>
      <c r="F35" s="762">
        <f>'UHM FGD'!$F$11</f>
        <v>0</v>
      </c>
      <c r="G35" s="762">
        <f>'UHM FGD'!$G$11</f>
        <v>50972</v>
      </c>
      <c r="H35" s="762">
        <f>'UHM FGD'!$H$11</f>
        <v>0</v>
      </c>
      <c r="I35" s="762">
        <f>'UHM FGD'!$I$11</f>
        <v>0</v>
      </c>
      <c r="J35" s="762">
        <f>'UHM FGD'!$J$11</f>
        <v>0</v>
      </c>
      <c r="K35" s="762">
        <f>'UHM FGD'!$K$11</f>
        <v>0</v>
      </c>
      <c r="L35" s="762">
        <f>'UHM FGD'!$L$11</f>
        <v>0</v>
      </c>
      <c r="M35" s="723">
        <f>'UHM FGD'!$M$11</f>
        <v>50972</v>
      </c>
    </row>
    <row r="36" spans="1:14" ht="12.75" hidden="1" customHeight="1" outlineLevel="1">
      <c r="B36" s="823" t="str">
        <f>'UNTHSC1 FGD'!$B$2</f>
        <v>University of North Texas Health Science Center at Fort Worth (Public Medical)</v>
      </c>
      <c r="D36" s="762">
        <f>'UNTHSC1 FGD'!$D$11</f>
        <v>900772</v>
      </c>
      <c r="E36" s="762">
        <f>'UNTHSC1 FGD'!$E$11</f>
        <v>0</v>
      </c>
      <c r="F36" s="762">
        <f>'UNTHSC1 FGD'!$F$11</f>
        <v>0</v>
      </c>
      <c r="G36" s="762">
        <f>'UNTHSC1 FGD'!$G$11</f>
        <v>1191897</v>
      </c>
      <c r="H36" s="762">
        <f>'UNTHSC1 FGD'!$H$11</f>
        <v>0</v>
      </c>
      <c r="I36" s="762">
        <f>'UNTHSC1 FGD'!$I$11</f>
        <v>0</v>
      </c>
      <c r="J36" s="762">
        <f>'UNTHSC1 FGD'!$J$11</f>
        <v>0</v>
      </c>
      <c r="K36" s="762">
        <f>'UNTHSC1 FGD'!$K$11</f>
        <v>0</v>
      </c>
      <c r="L36" s="762">
        <f>'UNTHSC1 FGD'!$L$11</f>
        <v>0</v>
      </c>
      <c r="M36" s="723">
        <f>'UNTHSC1 FGD'!$M$11</f>
        <v>2092669</v>
      </c>
    </row>
    <row r="37" spans="1:14" collapsed="1">
      <c r="A37" s="460">
        <v>10</v>
      </c>
      <c r="B37" s="752" t="s">
        <v>134</v>
      </c>
      <c r="D37" s="762">
        <f t="shared" ref="D37:M37" si="1">SUM(D24:D36)</f>
        <v>33159975</v>
      </c>
      <c r="E37" s="762">
        <f t="shared" si="1"/>
        <v>9053569</v>
      </c>
      <c r="F37" s="762">
        <f t="shared" si="1"/>
        <v>0</v>
      </c>
      <c r="G37" s="762">
        <f t="shared" si="1"/>
        <v>143812170</v>
      </c>
      <c r="H37" s="762">
        <f t="shared" si="1"/>
        <v>0</v>
      </c>
      <c r="I37" s="762">
        <f t="shared" si="1"/>
        <v>0</v>
      </c>
      <c r="J37" s="762">
        <f t="shared" si="1"/>
        <v>0</v>
      </c>
      <c r="K37" s="762">
        <f t="shared" si="1"/>
        <v>0</v>
      </c>
      <c r="L37" s="762">
        <f t="shared" si="1"/>
        <v>0</v>
      </c>
      <c r="M37" s="723">
        <f t="shared" si="1"/>
        <v>186025714</v>
      </c>
      <c r="N37" s="763"/>
    </row>
    <row r="38" spans="1:14" hidden="1" outlineLevel="1">
      <c r="B38" s="823" t="str">
        <f>'AUSM FGD'!$B$2</f>
        <v>The University of Texas at Austin Medical School (M)</v>
      </c>
      <c r="D38" s="762">
        <f>'AUSM FGD'!$D$12</f>
        <v>0</v>
      </c>
      <c r="E38" s="762">
        <f>'AUSM FGD'!$E$12</f>
        <v>0</v>
      </c>
      <c r="F38" s="762">
        <f>'AUSM FGD'!$F$12</f>
        <v>0</v>
      </c>
      <c r="G38" s="762">
        <f>'AUSM FGD'!$G$12</f>
        <v>0</v>
      </c>
      <c r="H38" s="762">
        <f>'AUSM FGD'!$H$12</f>
        <v>0</v>
      </c>
      <c r="I38" s="762">
        <f>'AUSM FGD'!$I$12</f>
        <v>0</v>
      </c>
      <c r="J38" s="762">
        <f>'AUSM FGD'!$J$12</f>
        <v>0</v>
      </c>
      <c r="K38" s="762">
        <f>'AUSM FGD'!$K$12</f>
        <v>0</v>
      </c>
      <c r="L38" s="762">
        <f>'AUSM FGD'!$L$12</f>
        <v>0</v>
      </c>
      <c r="M38" s="723">
        <f>'AUSM FGD'!$M$12</f>
        <v>0</v>
      </c>
      <c r="N38" s="763"/>
    </row>
    <row r="39" spans="1:14" hidden="1" outlineLevel="1">
      <c r="B39" s="823" t="str">
        <f>'HSH FGD'!$B$2</f>
        <v>The University of Texas Health Science Center at Houston</v>
      </c>
      <c r="D39" s="762">
        <f>'HSH FGD'!$D$12</f>
        <v>0</v>
      </c>
      <c r="E39" s="762">
        <f>'HSH FGD'!$E$12</f>
        <v>0</v>
      </c>
      <c r="F39" s="762">
        <f>'HSH FGD'!$F$12</f>
        <v>0</v>
      </c>
      <c r="G39" s="762">
        <f>'HSH FGD'!$G$12</f>
        <v>0</v>
      </c>
      <c r="H39" s="762">
        <f>'HSH FGD'!$H$12</f>
        <v>0</v>
      </c>
      <c r="I39" s="762">
        <f>'HSH FGD'!$I$12</f>
        <v>0</v>
      </c>
      <c r="J39" s="762">
        <f>'HSH FGD'!$J$12</f>
        <v>0</v>
      </c>
      <c r="K39" s="762">
        <f>'HSH FGD'!$K$12</f>
        <v>0</v>
      </c>
      <c r="L39" s="762">
        <f>'HSH FGD'!$L$12</f>
        <v>0</v>
      </c>
      <c r="M39" s="723">
        <f>'HSH FGD'!$M$12</f>
        <v>0</v>
      </c>
      <c r="N39" s="763"/>
    </row>
    <row r="40" spans="1:14" hidden="1" outlineLevel="1">
      <c r="B40" s="823" t="str">
        <f>'HSSA FGD'!$B$2</f>
        <v>The University of Texas Health Science Center at San Antonio</v>
      </c>
      <c r="D40" s="762">
        <f>'HSSA FGD'!$D$12</f>
        <v>0</v>
      </c>
      <c r="E40" s="762">
        <f>'HSSA FGD'!$E$12</f>
        <v>0</v>
      </c>
      <c r="F40" s="762">
        <f>'HSSA FGD'!$F$12</f>
        <v>0</v>
      </c>
      <c r="G40" s="762">
        <f>'HSSA FGD'!$G$12</f>
        <v>0</v>
      </c>
      <c r="H40" s="762">
        <f>'HSSA FGD'!$H$12</f>
        <v>0</v>
      </c>
      <c r="I40" s="762">
        <f>'HSSA FGD'!$I$12</f>
        <v>0</v>
      </c>
      <c r="J40" s="762">
        <f>'HSSA FGD'!$J$12</f>
        <v>0</v>
      </c>
      <c r="K40" s="762">
        <f>'HSSA FGD'!$K$12</f>
        <v>0</v>
      </c>
      <c r="L40" s="762">
        <f>'HSSA FGD'!$L$12</f>
        <v>0</v>
      </c>
      <c r="M40" s="723">
        <f>'HSSA FGD'!$M$12</f>
        <v>0</v>
      </c>
      <c r="N40" s="763"/>
    </row>
    <row r="41" spans="1:14" hidden="1" outlineLevel="1">
      <c r="B41" s="823" t="str">
        <f>'MBG FGD'!$B$2</f>
        <v>The University of Texas Medical Branch at Galveston</v>
      </c>
      <c r="D41" s="762">
        <f>'MBG FGD'!$D$12</f>
        <v>0</v>
      </c>
      <c r="E41" s="762">
        <f>'MBG FGD'!$E$12</f>
        <v>0</v>
      </c>
      <c r="F41" s="762">
        <f>'MBG FGD'!$F$12</f>
        <v>0</v>
      </c>
      <c r="G41" s="762">
        <f>'MBG FGD'!$G$12</f>
        <v>0</v>
      </c>
      <c r="H41" s="762">
        <f>'MBG FGD'!$H$12</f>
        <v>0</v>
      </c>
      <c r="I41" s="762">
        <f>'MBG FGD'!$I$12</f>
        <v>0</v>
      </c>
      <c r="J41" s="762">
        <f>'MBG FGD'!$J$12</f>
        <v>0</v>
      </c>
      <c r="K41" s="762">
        <f>'MBG FGD'!$K$12</f>
        <v>0</v>
      </c>
      <c r="L41" s="762">
        <f>'MBG FGD'!$L$12</f>
        <v>0</v>
      </c>
      <c r="M41" s="723">
        <f>'MBG FGD'!$M$12</f>
        <v>0</v>
      </c>
      <c r="N41" s="763"/>
    </row>
    <row r="42" spans="1:14" hidden="1" outlineLevel="1">
      <c r="B42" s="823" t="str">
        <f>'MDA FGD'!$B$2</f>
        <v>The University of Texas M.D. Anderson Cancer Center</v>
      </c>
      <c r="D42" s="762">
        <f>'MDA FGD'!$D$12</f>
        <v>0</v>
      </c>
      <c r="E42" s="762">
        <f>'MDA FGD'!$E$12</f>
        <v>0</v>
      </c>
      <c r="F42" s="762">
        <f>'MDA FGD'!$F$12</f>
        <v>0</v>
      </c>
      <c r="G42" s="762">
        <f>'MDA FGD'!$G$12</f>
        <v>0</v>
      </c>
      <c r="H42" s="762">
        <f>'MDA FGD'!$H$12</f>
        <v>0</v>
      </c>
      <c r="I42" s="762">
        <f>'MDA FGD'!$I$12</f>
        <v>0</v>
      </c>
      <c r="J42" s="762">
        <f>'MDA FGD'!$J$12</f>
        <v>0</v>
      </c>
      <c r="K42" s="762">
        <f>'MDA FGD'!$K$12</f>
        <v>0</v>
      </c>
      <c r="L42" s="762">
        <f>'MDA FGD'!$L$12</f>
        <v>0</v>
      </c>
      <c r="M42" s="723">
        <f>'MDA FGD'!$M$12</f>
        <v>0</v>
      </c>
      <c r="N42" s="763"/>
    </row>
    <row r="43" spans="1:14" hidden="1" outlineLevel="1">
      <c r="B43" s="823" t="str">
        <f>'RGVM FGD'!$B$2</f>
        <v>The University of Texas Rio Grande Valley Medical School (M)</v>
      </c>
      <c r="D43" s="762">
        <f>'RGVM FGD'!$D$12</f>
        <v>0</v>
      </c>
      <c r="E43" s="762">
        <f>'RGVM FGD'!$E$12</f>
        <v>0</v>
      </c>
      <c r="F43" s="762">
        <f>'RGVM FGD'!$F$12</f>
        <v>0</v>
      </c>
      <c r="G43" s="762">
        <f>'RGVM FGD'!$G$12</f>
        <v>0</v>
      </c>
      <c r="H43" s="762">
        <f>'RGVM FGD'!$H$12</f>
        <v>0</v>
      </c>
      <c r="I43" s="762">
        <f>'RGVM FGD'!$I$12</f>
        <v>0</v>
      </c>
      <c r="J43" s="762">
        <f>'RGVM FGD'!$J$12</f>
        <v>0</v>
      </c>
      <c r="K43" s="762">
        <f>'RGVM FGD'!$K$12</f>
        <v>0</v>
      </c>
      <c r="L43" s="762">
        <f>'RGVM FGD'!$L$12</f>
        <v>0</v>
      </c>
      <c r="M43" s="723">
        <f>'RGVM FGD'!$M$12</f>
        <v>0</v>
      </c>
      <c r="N43" s="763"/>
    </row>
    <row r="44" spans="1:14" hidden="1" outlineLevel="1">
      <c r="B44" s="823" t="str">
        <f>'SWM FGD'!$B$2</f>
        <v>The University of Texas Southwestern Medical Center</v>
      </c>
      <c r="D44" s="762">
        <f>'SWM FGD'!$D$12</f>
        <v>0</v>
      </c>
      <c r="E44" s="762">
        <f>'SWM FGD'!$E$12</f>
        <v>0</v>
      </c>
      <c r="F44" s="762">
        <f>'SWM FGD'!$F$12</f>
        <v>0</v>
      </c>
      <c r="G44" s="762">
        <f>'SWM FGD'!$G$12</f>
        <v>0</v>
      </c>
      <c r="H44" s="762">
        <f>'SWM FGD'!$H$12</f>
        <v>0</v>
      </c>
      <c r="I44" s="762">
        <f>'SWM FGD'!$I$12</f>
        <v>0</v>
      </c>
      <c r="J44" s="762">
        <f>'SWM FGD'!$J$12</f>
        <v>0</v>
      </c>
      <c r="K44" s="762">
        <f>'SWM FGD'!$K$12</f>
        <v>0</v>
      </c>
      <c r="L44" s="762">
        <f>'SWM FGD'!$L$12</f>
        <v>0</v>
      </c>
      <c r="M44" s="723">
        <f>'SWM FGD'!$M$12</f>
        <v>0</v>
      </c>
      <c r="N44" s="763"/>
    </row>
    <row r="45" spans="1:14" hidden="1" outlineLevel="1">
      <c r="B45" s="823" t="str">
        <f>'TAMHSC FGD'!$B$2</f>
        <v>Texas A&amp;M University System Health Science Center</v>
      </c>
      <c r="D45" s="762">
        <f>'TAMHSC FGD'!$D$12</f>
        <v>0</v>
      </c>
      <c r="E45" s="762">
        <f>'TAMHSC FGD'!$E$12</f>
        <v>0</v>
      </c>
      <c r="F45" s="762">
        <f>'TAMHSC FGD'!$F$12</f>
        <v>0</v>
      </c>
      <c r="G45" s="762">
        <f>'TAMHSC FGD'!$G$12</f>
        <v>0</v>
      </c>
      <c r="H45" s="762">
        <f>'TAMHSC FGD'!$H$12</f>
        <v>0</v>
      </c>
      <c r="I45" s="762">
        <f>'TAMHSC FGD'!$I$12</f>
        <v>0</v>
      </c>
      <c r="J45" s="762">
        <f>'TAMHSC FGD'!$J$12</f>
        <v>0</v>
      </c>
      <c r="K45" s="762">
        <f>'TAMHSC FGD'!$K$12</f>
        <v>0</v>
      </c>
      <c r="L45" s="762">
        <f>'TAMHSC FGD'!$L$12</f>
        <v>0</v>
      </c>
      <c r="M45" s="723">
        <f>'TAMHSC FGD'!$M$12</f>
        <v>0</v>
      </c>
      <c r="N45" s="763"/>
    </row>
    <row r="46" spans="1:14" hidden="1" outlineLevel="1">
      <c r="B46" s="823" t="str">
        <f>'THC FGD'!$B$2</f>
        <v>The University of Texas Health Science Center at Tyler</v>
      </c>
      <c r="D46" s="762">
        <f>'THC FGD'!$D$12</f>
        <v>0</v>
      </c>
      <c r="E46" s="762">
        <f>'THC FGD'!$E$12</f>
        <v>0</v>
      </c>
      <c r="F46" s="762">
        <f>'THC FGD'!$F$12</f>
        <v>0</v>
      </c>
      <c r="G46" s="762">
        <f>'THC FGD'!$G$12</f>
        <v>0</v>
      </c>
      <c r="H46" s="762">
        <f>'THC FGD'!$H$12</f>
        <v>0</v>
      </c>
      <c r="I46" s="762">
        <f>'THC FGD'!$I$12</f>
        <v>0</v>
      </c>
      <c r="J46" s="762">
        <f>'THC FGD'!$J$12</f>
        <v>0</v>
      </c>
      <c r="K46" s="762">
        <f>'THC FGD'!$K$12</f>
        <v>0</v>
      </c>
      <c r="L46" s="762">
        <f>'THC FGD'!$L$12</f>
        <v>0</v>
      </c>
      <c r="M46" s="723">
        <f>'THC FGD'!$M$12</f>
        <v>0</v>
      </c>
      <c r="N46" s="763"/>
    </row>
    <row r="47" spans="1:14" hidden="1" outlineLevel="1">
      <c r="B47" s="823" t="str">
        <f>'TTUHSC FGD'!$B$2</f>
        <v>Texas Tech University Health Sciences Center</v>
      </c>
      <c r="D47" s="762">
        <f>'TTUHSC FGD'!$D$12</f>
        <v>0</v>
      </c>
      <c r="E47" s="762">
        <f>'TTUHSC FGD'!$E$12</f>
        <v>0</v>
      </c>
      <c r="F47" s="762">
        <f>'TTUHSC FGD'!$F$12</f>
        <v>0</v>
      </c>
      <c r="G47" s="762">
        <f>'TTUHSC FGD'!$G$12</f>
        <v>0</v>
      </c>
      <c r="H47" s="762">
        <f>'TTUHSC FGD'!$H$12</f>
        <v>0</v>
      </c>
      <c r="I47" s="762">
        <f>'TTUHSC FGD'!$I$12</f>
        <v>0</v>
      </c>
      <c r="J47" s="762">
        <f>'TTUHSC FGD'!$J$12</f>
        <v>0</v>
      </c>
      <c r="K47" s="762">
        <f>'TTUHSC FGD'!$K$12</f>
        <v>0</v>
      </c>
      <c r="L47" s="762">
        <f>'TTUHSC FGD'!$L$12</f>
        <v>0</v>
      </c>
      <c r="M47" s="723">
        <f>'TTUHSC FGD'!$M$12</f>
        <v>0</v>
      </c>
      <c r="N47" s="763"/>
    </row>
    <row r="48" spans="1:14" ht="12" hidden="1" customHeight="1" outlineLevel="1">
      <c r="B48" s="823" t="str">
        <f>'TTUHSCEP FGD'!$B$2</f>
        <v>Texas Tech University Health Sciences Center at El Paso</v>
      </c>
      <c r="D48" s="762">
        <f>'TTUHSCEP FGD'!$D$12</f>
        <v>0</v>
      </c>
      <c r="E48" s="762">
        <f>'TTUHSCEP FGD'!$E$12</f>
        <v>0</v>
      </c>
      <c r="F48" s="762">
        <f>'TTUHSCEP FGD'!$F$12</f>
        <v>0</v>
      </c>
      <c r="G48" s="762">
        <f>'TTUHSCEP FGD'!$G$12</f>
        <v>0</v>
      </c>
      <c r="H48" s="762">
        <f>'TTUHSCEP FGD'!$H$12</f>
        <v>0</v>
      </c>
      <c r="I48" s="762">
        <f>'TTUHSCEP FGD'!$I$12</f>
        <v>0</v>
      </c>
      <c r="J48" s="762">
        <f>'TTUHSCEP FGD'!$J$12</f>
        <v>0</v>
      </c>
      <c r="K48" s="762">
        <f>'TTUHSCEP FGD'!$K$12</f>
        <v>0</v>
      </c>
      <c r="L48" s="762">
        <f>'TTUHSCEP FGD'!$L$12</f>
        <v>0</v>
      </c>
      <c r="M48" s="723">
        <f>'TTUHSCEP FGD'!$M$12</f>
        <v>0</v>
      </c>
      <c r="N48" s="763"/>
    </row>
    <row r="49" spans="1:14" hidden="1" outlineLevel="1">
      <c r="B49" s="823" t="str">
        <f>'UHM FGD'!$B$2</f>
        <v>University of Houston Medical School (M)</v>
      </c>
      <c r="D49" s="762">
        <f>'UHM FGD'!$D$12</f>
        <v>0</v>
      </c>
      <c r="E49" s="762">
        <f>'UHM FGD'!$E$12</f>
        <v>0</v>
      </c>
      <c r="F49" s="762">
        <f>'UHM FGD'!$F$12</f>
        <v>0</v>
      </c>
      <c r="G49" s="762">
        <f>'UHM FGD'!$G$12</f>
        <v>0</v>
      </c>
      <c r="H49" s="762">
        <f>'UHM FGD'!$H$12</f>
        <v>0</v>
      </c>
      <c r="I49" s="762">
        <f>'UHM FGD'!$I$12</f>
        <v>0</v>
      </c>
      <c r="J49" s="762">
        <f>'UHM FGD'!$J$12</f>
        <v>0</v>
      </c>
      <c r="K49" s="762">
        <f>'UHM FGD'!$K$12</f>
        <v>0</v>
      </c>
      <c r="L49" s="762">
        <f>'UHM FGD'!$L$12</f>
        <v>0</v>
      </c>
      <c r="M49" s="723">
        <f>'UHM FGD'!$M$12</f>
        <v>0</v>
      </c>
      <c r="N49" s="763"/>
    </row>
    <row r="50" spans="1:14" hidden="1" outlineLevel="1">
      <c r="B50" s="823" t="str">
        <f>'UNTHSC1 FGD'!$B$2</f>
        <v>University of North Texas Health Science Center at Fort Worth (Public Medical)</v>
      </c>
      <c r="D50" s="762">
        <f>'UNTHSC1 FGD'!$D$12</f>
        <v>0</v>
      </c>
      <c r="E50" s="762">
        <f>'UNTHSC1 FGD'!$E$12</f>
        <v>0</v>
      </c>
      <c r="F50" s="762">
        <f>'UNTHSC1 FGD'!$F$12</f>
        <v>0</v>
      </c>
      <c r="G50" s="762">
        <f>'UNTHSC1 FGD'!$G$12</f>
        <v>0</v>
      </c>
      <c r="H50" s="762">
        <f>'UNTHSC1 FGD'!$H$12</f>
        <v>0</v>
      </c>
      <c r="I50" s="762">
        <f>'UNTHSC1 FGD'!$I$12</f>
        <v>0</v>
      </c>
      <c r="J50" s="762">
        <f>'UNTHSC1 FGD'!$J$12</f>
        <v>0</v>
      </c>
      <c r="K50" s="762">
        <f>'UNTHSC1 FGD'!$K$12</f>
        <v>0</v>
      </c>
      <c r="L50" s="762">
        <f>'UNTHSC1 FGD'!$L$12</f>
        <v>0</v>
      </c>
      <c r="M50" s="723">
        <f>'UNTHSC1 FGD'!$M$12</f>
        <v>0</v>
      </c>
      <c r="N50" s="763"/>
    </row>
    <row r="51" spans="1:14" ht="2.25" customHeight="1" collapsed="1">
      <c r="A51" s="460">
        <v>11</v>
      </c>
      <c r="B51" s="752" t="s">
        <v>591</v>
      </c>
      <c r="D51" s="762">
        <f t="shared" ref="D51:M51" si="2">SUM(D38:D50)</f>
        <v>0</v>
      </c>
      <c r="E51" s="762">
        <f t="shared" si="2"/>
        <v>0</v>
      </c>
      <c r="F51" s="762">
        <f t="shared" si="2"/>
        <v>0</v>
      </c>
      <c r="G51" s="762">
        <f t="shared" si="2"/>
        <v>0</v>
      </c>
      <c r="H51" s="762">
        <f t="shared" si="2"/>
        <v>0</v>
      </c>
      <c r="I51" s="762">
        <f t="shared" si="2"/>
        <v>0</v>
      </c>
      <c r="J51" s="762">
        <f t="shared" si="2"/>
        <v>0</v>
      </c>
      <c r="K51" s="762">
        <f t="shared" si="2"/>
        <v>0</v>
      </c>
      <c r="L51" s="762">
        <f t="shared" si="2"/>
        <v>0</v>
      </c>
      <c r="M51" s="723">
        <f t="shared" si="2"/>
        <v>0</v>
      </c>
    </row>
    <row r="52" spans="1:14" hidden="1" outlineLevel="1">
      <c r="B52" s="823" t="str">
        <f>'AUSM FGD'!$B$2</f>
        <v>The University of Texas at Austin Medical School (M)</v>
      </c>
      <c r="D52" s="762">
        <f>'AUSM FGD'!$D$13</f>
        <v>0</v>
      </c>
      <c r="E52" s="762">
        <f>'AUSM FGD'!$E$13</f>
        <v>0</v>
      </c>
      <c r="F52" s="762">
        <f>'AUSM FGD'!$F$13</f>
        <v>0</v>
      </c>
      <c r="G52" s="762">
        <f>'AUSM FGD'!$G$13</f>
        <v>0</v>
      </c>
      <c r="H52" s="762">
        <f>'AUSM FGD'!$H$13</f>
        <v>0</v>
      </c>
      <c r="I52" s="762">
        <f>'AUSM FGD'!$I$13</f>
        <v>0</v>
      </c>
      <c r="J52" s="762">
        <f>'AUSM FGD'!$J$13</f>
        <v>0</v>
      </c>
      <c r="K52" s="762">
        <f>'AUSM FGD'!$K$13</f>
        <v>0</v>
      </c>
      <c r="L52" s="762">
        <f>'AUSM FGD'!$L$13</f>
        <v>0</v>
      </c>
      <c r="M52" s="723">
        <f>'AUSM FGD'!$M$13</f>
        <v>0</v>
      </c>
    </row>
    <row r="53" spans="1:14" hidden="1" outlineLevel="1">
      <c r="B53" s="823" t="str">
        <f>'HSH FGD'!$B$2</f>
        <v>The University of Texas Health Science Center at Houston</v>
      </c>
      <c r="D53" s="762">
        <f>'HSH FGD'!$D$13</f>
        <v>0</v>
      </c>
      <c r="E53" s="762">
        <f>'HSH FGD'!$E$13</f>
        <v>0</v>
      </c>
      <c r="F53" s="762">
        <f>'HSH FGD'!$F$13</f>
        <v>0</v>
      </c>
      <c r="G53" s="762">
        <f>'HSH FGD'!$G$13</f>
        <v>0</v>
      </c>
      <c r="H53" s="762">
        <f>'HSH FGD'!$H$13</f>
        <v>0</v>
      </c>
      <c r="I53" s="762">
        <f>'HSH FGD'!$I$13</f>
        <v>0</v>
      </c>
      <c r="J53" s="762">
        <f>'HSH FGD'!$J$13</f>
        <v>0</v>
      </c>
      <c r="K53" s="762">
        <f>'HSH FGD'!$K$13</f>
        <v>0</v>
      </c>
      <c r="L53" s="762">
        <f>'HSH FGD'!$L$13</f>
        <v>0</v>
      </c>
      <c r="M53" s="723">
        <f>'HSH FGD'!$M$13</f>
        <v>0</v>
      </c>
    </row>
    <row r="54" spans="1:14" hidden="1" outlineLevel="1">
      <c r="B54" s="823" t="str">
        <f>'HSSA FGD'!$B$2</f>
        <v>The University of Texas Health Science Center at San Antonio</v>
      </c>
      <c r="D54" s="762">
        <f>'HSSA FGD'!$D$13</f>
        <v>0</v>
      </c>
      <c r="E54" s="762">
        <f>'HSSA FGD'!$E$13</f>
        <v>0</v>
      </c>
      <c r="F54" s="762">
        <f>'HSSA FGD'!$F$13</f>
        <v>0</v>
      </c>
      <c r="G54" s="762">
        <f>'HSSA FGD'!$G$13</f>
        <v>0</v>
      </c>
      <c r="H54" s="762">
        <f>'HSSA FGD'!$H$13</f>
        <v>0</v>
      </c>
      <c r="I54" s="762">
        <f>'HSSA FGD'!$I$13</f>
        <v>0</v>
      </c>
      <c r="J54" s="762">
        <f>'HSSA FGD'!$J$13</f>
        <v>0</v>
      </c>
      <c r="K54" s="762">
        <f>'HSSA FGD'!$K$13</f>
        <v>0</v>
      </c>
      <c r="L54" s="762">
        <f>'HSSA FGD'!$L$13</f>
        <v>0</v>
      </c>
      <c r="M54" s="723">
        <f>'HSSA FGD'!$M$13</f>
        <v>0</v>
      </c>
    </row>
    <row r="55" spans="1:14" hidden="1" outlineLevel="1">
      <c r="B55" s="823" t="str">
        <f>'MBG FGD'!$B$2</f>
        <v>The University of Texas Medical Branch at Galveston</v>
      </c>
      <c r="D55" s="762">
        <f>'MBG FGD'!$D$13</f>
        <v>0</v>
      </c>
      <c r="E55" s="762">
        <f>'MBG FGD'!$E$13</f>
        <v>0</v>
      </c>
      <c r="F55" s="762">
        <f>'MBG FGD'!$F$13</f>
        <v>0</v>
      </c>
      <c r="G55" s="762">
        <f>'MBG FGD'!$G$13</f>
        <v>0</v>
      </c>
      <c r="H55" s="762">
        <f>'MBG FGD'!$H$13</f>
        <v>0</v>
      </c>
      <c r="I55" s="762">
        <f>'MBG FGD'!$I$13</f>
        <v>0</v>
      </c>
      <c r="J55" s="762">
        <f>'MBG FGD'!$J$13</f>
        <v>0</v>
      </c>
      <c r="K55" s="762">
        <f>'MBG FGD'!$K$13</f>
        <v>0</v>
      </c>
      <c r="L55" s="762">
        <f>'MBG FGD'!$L$13</f>
        <v>0</v>
      </c>
      <c r="M55" s="723">
        <f>'MBG FGD'!$M$13</f>
        <v>0</v>
      </c>
    </row>
    <row r="56" spans="1:14" hidden="1" outlineLevel="1">
      <c r="B56" s="823" t="str">
        <f>'MDA FGD'!$B$2</f>
        <v>The University of Texas M.D. Anderson Cancer Center</v>
      </c>
      <c r="D56" s="762">
        <f>'MDA FGD'!$D$13</f>
        <v>0</v>
      </c>
      <c r="E56" s="762">
        <f>'MDA FGD'!$E$13</f>
        <v>0</v>
      </c>
      <c r="F56" s="762">
        <f>'MDA FGD'!$F$13</f>
        <v>0</v>
      </c>
      <c r="G56" s="762">
        <f>'MDA FGD'!$G$13</f>
        <v>0</v>
      </c>
      <c r="H56" s="762">
        <f>'MDA FGD'!$H$13</f>
        <v>0</v>
      </c>
      <c r="I56" s="762">
        <f>'MDA FGD'!$I$13</f>
        <v>0</v>
      </c>
      <c r="J56" s="762">
        <f>'MDA FGD'!$J$13</f>
        <v>0</v>
      </c>
      <c r="K56" s="762">
        <f>'MDA FGD'!$K$13</f>
        <v>0</v>
      </c>
      <c r="L56" s="762">
        <f>'MDA FGD'!$L$13</f>
        <v>0</v>
      </c>
      <c r="M56" s="723">
        <f>'MDA FGD'!$M$13</f>
        <v>0</v>
      </c>
    </row>
    <row r="57" spans="1:14" hidden="1" outlineLevel="1">
      <c r="B57" s="823" t="str">
        <f>'RGVM FGD'!$B$2</f>
        <v>The University of Texas Rio Grande Valley Medical School (M)</v>
      </c>
      <c r="D57" s="762">
        <f>'RGVM FGD'!$D$13</f>
        <v>0</v>
      </c>
      <c r="E57" s="762">
        <f>'RGVM FGD'!$E$13</f>
        <v>0</v>
      </c>
      <c r="F57" s="762">
        <f>'RGVM FGD'!$F$13</f>
        <v>0</v>
      </c>
      <c r="G57" s="762">
        <f>'RGVM FGD'!$G$13</f>
        <v>0</v>
      </c>
      <c r="H57" s="762">
        <f>'RGVM FGD'!$H$13</f>
        <v>0</v>
      </c>
      <c r="I57" s="762">
        <f>'RGVM FGD'!$I$13</f>
        <v>0</v>
      </c>
      <c r="J57" s="762">
        <f>'RGVM FGD'!$J$13</f>
        <v>0</v>
      </c>
      <c r="K57" s="762">
        <f>'RGVM FGD'!$K$13</f>
        <v>0</v>
      </c>
      <c r="L57" s="762">
        <f>'RGVM FGD'!$L$13</f>
        <v>0</v>
      </c>
      <c r="M57" s="723">
        <f>'RGVM FGD'!$M$13</f>
        <v>0</v>
      </c>
    </row>
    <row r="58" spans="1:14" hidden="1" outlineLevel="1">
      <c r="B58" s="823" t="str">
        <f>'SWM FGD'!$B$2</f>
        <v>The University of Texas Southwestern Medical Center</v>
      </c>
      <c r="D58" s="762">
        <f>'SWM FGD'!$D$13</f>
        <v>0</v>
      </c>
      <c r="E58" s="762">
        <f>'SWM FGD'!$E$13</f>
        <v>0</v>
      </c>
      <c r="F58" s="762">
        <f>'SWM FGD'!$F$13</f>
        <v>0</v>
      </c>
      <c r="G58" s="762">
        <f>'SWM FGD'!$G$13</f>
        <v>0</v>
      </c>
      <c r="H58" s="762">
        <f>'SWM FGD'!$H$13</f>
        <v>0</v>
      </c>
      <c r="I58" s="762">
        <f>'SWM FGD'!$I$13</f>
        <v>0</v>
      </c>
      <c r="J58" s="762">
        <f>'SWM FGD'!$J$13</f>
        <v>0</v>
      </c>
      <c r="K58" s="762">
        <f>'SWM FGD'!$K$13</f>
        <v>0</v>
      </c>
      <c r="L58" s="762">
        <f>'SWM FGD'!$L$13</f>
        <v>0</v>
      </c>
      <c r="M58" s="723">
        <f>'SWM FGD'!$M$13</f>
        <v>0</v>
      </c>
    </row>
    <row r="59" spans="1:14" hidden="1" outlineLevel="1">
      <c r="B59" s="823" t="str">
        <f>'TAMHSC FGD'!$B$2</f>
        <v>Texas A&amp;M University System Health Science Center</v>
      </c>
      <c r="D59" s="762">
        <f>'TAMHSC FGD'!$D$13</f>
        <v>0</v>
      </c>
      <c r="E59" s="762">
        <f>'TAMHSC FGD'!$E$13</f>
        <v>0</v>
      </c>
      <c r="F59" s="762">
        <f>'TAMHSC FGD'!$F$13</f>
        <v>0</v>
      </c>
      <c r="G59" s="762">
        <f>'TAMHSC FGD'!$G$13</f>
        <v>0</v>
      </c>
      <c r="H59" s="762">
        <f>'TAMHSC FGD'!$H$13</f>
        <v>0</v>
      </c>
      <c r="I59" s="762">
        <f>'TAMHSC FGD'!$I$13</f>
        <v>0</v>
      </c>
      <c r="J59" s="762">
        <f>'TAMHSC FGD'!$J$13</f>
        <v>0</v>
      </c>
      <c r="K59" s="762">
        <f>'TAMHSC FGD'!$K$13</f>
        <v>0</v>
      </c>
      <c r="L59" s="762">
        <f>'TAMHSC FGD'!$L$13</f>
        <v>0</v>
      </c>
      <c r="M59" s="723">
        <f>'TAMHSC FGD'!$M$13</f>
        <v>0</v>
      </c>
    </row>
    <row r="60" spans="1:14" hidden="1" outlineLevel="1">
      <c r="B60" s="823" t="str">
        <f>'THC FGD'!$B$2</f>
        <v>The University of Texas Health Science Center at Tyler</v>
      </c>
      <c r="D60" s="762">
        <f>'THC FGD'!$D$13</f>
        <v>0</v>
      </c>
      <c r="E60" s="762">
        <f>'THC FGD'!$E$13</f>
        <v>0</v>
      </c>
      <c r="F60" s="762">
        <f>'THC FGD'!$F$13</f>
        <v>0</v>
      </c>
      <c r="G60" s="762">
        <f>'THC FGD'!$G$13</f>
        <v>0</v>
      </c>
      <c r="H60" s="762">
        <f>'THC FGD'!$H$13</f>
        <v>0</v>
      </c>
      <c r="I60" s="762">
        <f>'THC FGD'!$I$13</f>
        <v>0</v>
      </c>
      <c r="J60" s="762">
        <f>'THC FGD'!$J$13</f>
        <v>0</v>
      </c>
      <c r="K60" s="762">
        <f>'THC FGD'!$K$13</f>
        <v>0</v>
      </c>
      <c r="L60" s="762">
        <f>'THC FGD'!$L$13</f>
        <v>0</v>
      </c>
      <c r="M60" s="723">
        <f>'THC FGD'!$M$13</f>
        <v>0</v>
      </c>
    </row>
    <row r="61" spans="1:14" hidden="1" outlineLevel="1">
      <c r="B61" s="823" t="str">
        <f>'TTUHSC FGD'!$B$2</f>
        <v>Texas Tech University Health Sciences Center</v>
      </c>
      <c r="D61" s="762">
        <f>'TTUHSC FGD'!$D$13</f>
        <v>21652392</v>
      </c>
      <c r="E61" s="762">
        <f>'TTUHSC FGD'!$E$13</f>
        <v>0</v>
      </c>
      <c r="F61" s="762">
        <f>'TTUHSC FGD'!$F$13</f>
        <v>0</v>
      </c>
      <c r="G61" s="762">
        <f>'TTUHSC FGD'!$G$13</f>
        <v>0</v>
      </c>
      <c r="H61" s="762">
        <f>'TTUHSC FGD'!$H$13</f>
        <v>0</v>
      </c>
      <c r="I61" s="762">
        <f>'TTUHSC FGD'!$I$13</f>
        <v>0</v>
      </c>
      <c r="J61" s="762">
        <f>'TTUHSC FGD'!$J$13</f>
        <v>0</v>
      </c>
      <c r="K61" s="762">
        <f>'TTUHSC FGD'!$K$13</f>
        <v>0</v>
      </c>
      <c r="L61" s="762">
        <f>'TTUHSC FGD'!$L$13</f>
        <v>0</v>
      </c>
      <c r="M61" s="723">
        <f>'TTUHSC FGD'!$M$13</f>
        <v>21652392</v>
      </c>
    </row>
    <row r="62" spans="1:14" hidden="1" outlineLevel="1">
      <c r="B62" s="823" t="str">
        <f>'TTUHSCEP FGD'!$B$2</f>
        <v>Texas Tech University Health Sciences Center at El Paso</v>
      </c>
      <c r="D62" s="762">
        <f>'TTUHSCEP FGD'!$D$13</f>
        <v>5557572</v>
      </c>
      <c r="E62" s="762">
        <f>'TTUHSCEP FGD'!$E$13</f>
        <v>0</v>
      </c>
      <c r="F62" s="762">
        <f>'TTUHSCEP FGD'!$F$13</f>
        <v>0</v>
      </c>
      <c r="G62" s="762">
        <f>'TTUHSCEP FGD'!$G$13</f>
        <v>0</v>
      </c>
      <c r="H62" s="762">
        <f>'TTUHSCEP FGD'!$H$13</f>
        <v>0</v>
      </c>
      <c r="I62" s="762">
        <f>'TTUHSCEP FGD'!$I$13</f>
        <v>0</v>
      </c>
      <c r="J62" s="762">
        <f>'TTUHSCEP FGD'!$J$13</f>
        <v>0</v>
      </c>
      <c r="K62" s="762">
        <f>'TTUHSCEP FGD'!$K$13</f>
        <v>0</v>
      </c>
      <c r="L62" s="762">
        <f>'TTUHSCEP FGD'!$L$13</f>
        <v>0</v>
      </c>
      <c r="M62" s="723">
        <f>'TTUHSCEP FGD'!$M$13</f>
        <v>5557572</v>
      </c>
    </row>
    <row r="63" spans="1:14" hidden="1" outlineLevel="1">
      <c r="B63" s="823" t="str">
        <f>'UHM FGD'!$B$2</f>
        <v>University of Houston Medical School (M)</v>
      </c>
      <c r="D63" s="762">
        <f>'UHM FGD'!$D$13</f>
        <v>0</v>
      </c>
      <c r="E63" s="762">
        <f>'UHM FGD'!$E$13</f>
        <v>0</v>
      </c>
      <c r="F63" s="762">
        <f>'UHM FGD'!$F$13</f>
        <v>0</v>
      </c>
      <c r="G63" s="762">
        <f>'UHM FGD'!$G$13</f>
        <v>0</v>
      </c>
      <c r="H63" s="762">
        <f>'UHM FGD'!$H$13</f>
        <v>0</v>
      </c>
      <c r="I63" s="762">
        <f>'UHM FGD'!$I$13</f>
        <v>0</v>
      </c>
      <c r="J63" s="762">
        <f>'UHM FGD'!$J$13</f>
        <v>0</v>
      </c>
      <c r="K63" s="762">
        <f>'UHM FGD'!$K$13</f>
        <v>0</v>
      </c>
      <c r="L63" s="762">
        <f>'UHM FGD'!$L$13</f>
        <v>0</v>
      </c>
      <c r="M63" s="723">
        <f>'UHM FGD'!$M$13</f>
        <v>0</v>
      </c>
    </row>
    <row r="64" spans="1:14" ht="15" hidden="1" customHeight="1" outlineLevel="1">
      <c r="B64" s="823" t="str">
        <f>'UNTHSC1 FGD'!$B$2</f>
        <v>University of North Texas Health Science Center at Fort Worth (Public Medical)</v>
      </c>
      <c r="D64" s="762">
        <f>'UNTHSC1 FGD'!$D$13</f>
        <v>15125502</v>
      </c>
      <c r="E64" s="762">
        <f>'UNTHSC1 FGD'!$E$13</f>
        <v>0</v>
      </c>
      <c r="F64" s="762">
        <f>'UNTHSC1 FGD'!$F$13</f>
        <v>0</v>
      </c>
      <c r="G64" s="762">
        <f>'UNTHSC1 FGD'!$G$13</f>
        <v>0</v>
      </c>
      <c r="H64" s="762">
        <f>'UNTHSC1 FGD'!$H$13</f>
        <v>0</v>
      </c>
      <c r="I64" s="762">
        <f>'UNTHSC1 FGD'!$I$13</f>
        <v>0</v>
      </c>
      <c r="J64" s="762">
        <f>'UNTHSC1 FGD'!$J$13</f>
        <v>0</v>
      </c>
      <c r="K64" s="762">
        <f>'UNTHSC1 FGD'!$K$13</f>
        <v>0</v>
      </c>
      <c r="L64" s="762">
        <f>'UNTHSC1 FGD'!$L$13</f>
        <v>0</v>
      </c>
      <c r="M64" s="723">
        <f>'UNTHSC1 FGD'!$M$13</f>
        <v>15125502</v>
      </c>
    </row>
    <row r="65" spans="1:13" collapsed="1">
      <c r="A65" s="460">
        <v>12</v>
      </c>
      <c r="B65" s="752" t="s">
        <v>468</v>
      </c>
      <c r="D65" s="762">
        <f t="shared" ref="D65:M65" si="3">SUM(D52:D64)</f>
        <v>42335466</v>
      </c>
      <c r="E65" s="762">
        <f t="shared" si="3"/>
        <v>0</v>
      </c>
      <c r="F65" s="762">
        <f t="shared" si="3"/>
        <v>0</v>
      </c>
      <c r="G65" s="762">
        <f t="shared" si="3"/>
        <v>0</v>
      </c>
      <c r="H65" s="762">
        <f t="shared" si="3"/>
        <v>0</v>
      </c>
      <c r="I65" s="762">
        <f t="shared" si="3"/>
        <v>0</v>
      </c>
      <c r="J65" s="762">
        <f t="shared" si="3"/>
        <v>0</v>
      </c>
      <c r="K65" s="762">
        <f t="shared" si="3"/>
        <v>0</v>
      </c>
      <c r="L65" s="762">
        <f t="shared" si="3"/>
        <v>0</v>
      </c>
      <c r="M65" s="723">
        <f t="shared" si="3"/>
        <v>42335466</v>
      </c>
    </row>
    <row r="66" spans="1:13" hidden="1" outlineLevel="1">
      <c r="B66" s="823" t="str">
        <f>'AUSM FGD'!$B$2</f>
        <v>The University of Texas at Austin Medical School (M)</v>
      </c>
      <c r="D66" s="762">
        <f>'AUSM FGD'!$D$14</f>
        <v>25010190</v>
      </c>
      <c r="E66" s="762">
        <f>'AUSM FGD'!$E$14</f>
        <v>0</v>
      </c>
      <c r="F66" s="762">
        <f>'AUSM FGD'!$F$14</f>
        <v>0</v>
      </c>
      <c r="G66" s="762">
        <f>'AUSM FGD'!$G$14</f>
        <v>0</v>
      </c>
      <c r="H66" s="762">
        <f>'AUSM FGD'!$H$14</f>
        <v>0</v>
      </c>
      <c r="I66" s="762">
        <f>'AUSM FGD'!$I$14</f>
        <v>0</v>
      </c>
      <c r="J66" s="762">
        <f>'AUSM FGD'!$J$14</f>
        <v>0</v>
      </c>
      <c r="K66" s="762">
        <f>'AUSM FGD'!$K$14</f>
        <v>0</v>
      </c>
      <c r="L66" s="762">
        <f>'AUSM FGD'!$L$14</f>
        <v>0</v>
      </c>
      <c r="M66" s="723">
        <f>'AUSM FGD'!$M$14</f>
        <v>25010190</v>
      </c>
    </row>
    <row r="67" spans="1:13" hidden="1" outlineLevel="1">
      <c r="B67" s="823" t="str">
        <f>'HSH FGD'!$B$2</f>
        <v>The University of Texas Health Science Center at Houston</v>
      </c>
      <c r="D67" s="762">
        <f>'HSH FGD'!$D$14</f>
        <v>0</v>
      </c>
      <c r="E67" s="762">
        <f>'HSH FGD'!$E$14</f>
        <v>0</v>
      </c>
      <c r="F67" s="762">
        <f>'HSH FGD'!$F$14</f>
        <v>0</v>
      </c>
      <c r="G67" s="762">
        <f>'HSH FGD'!$G$14</f>
        <v>0</v>
      </c>
      <c r="H67" s="762">
        <f>'HSH FGD'!$H$14</f>
        <v>0</v>
      </c>
      <c r="I67" s="762">
        <f>'HSH FGD'!$I$14</f>
        <v>0</v>
      </c>
      <c r="J67" s="762">
        <f>'HSH FGD'!$J$14</f>
        <v>0</v>
      </c>
      <c r="K67" s="762">
        <f>'HSH FGD'!$K$14</f>
        <v>0</v>
      </c>
      <c r="L67" s="762">
        <f>'HSH FGD'!$L$14</f>
        <v>0</v>
      </c>
      <c r="M67" s="723">
        <f>'HSH FGD'!$M$14</f>
        <v>0</v>
      </c>
    </row>
    <row r="68" spans="1:13" hidden="1" outlineLevel="1">
      <c r="B68" s="823" t="str">
        <f>'HSSA FGD'!$B$2</f>
        <v>The University of Texas Health Science Center at San Antonio</v>
      </c>
      <c r="D68" s="762">
        <f>'HSSA FGD'!$D$14</f>
        <v>0</v>
      </c>
      <c r="E68" s="762">
        <f>'HSSA FGD'!$E$14</f>
        <v>0</v>
      </c>
      <c r="F68" s="762">
        <f>'HSSA FGD'!$F$14</f>
        <v>0</v>
      </c>
      <c r="G68" s="762">
        <f>'HSSA FGD'!$G$14</f>
        <v>0</v>
      </c>
      <c r="H68" s="762">
        <f>'HSSA FGD'!$H$14</f>
        <v>0</v>
      </c>
      <c r="I68" s="762">
        <f>'HSSA FGD'!$I$14</f>
        <v>0</v>
      </c>
      <c r="J68" s="762">
        <f>'HSSA FGD'!$J$14</f>
        <v>0</v>
      </c>
      <c r="K68" s="762">
        <f>'HSSA FGD'!$K$14</f>
        <v>0</v>
      </c>
      <c r="L68" s="762">
        <f>'HSSA FGD'!$L$14</f>
        <v>0</v>
      </c>
      <c r="M68" s="723">
        <f>'HSSA FGD'!$M$14</f>
        <v>0</v>
      </c>
    </row>
    <row r="69" spans="1:13" hidden="1" outlineLevel="1">
      <c r="B69" s="823" t="str">
        <f>'MBG FGD'!$B$2</f>
        <v>The University of Texas Medical Branch at Galveston</v>
      </c>
      <c r="D69" s="762">
        <f>'MBG FGD'!$D$14</f>
        <v>0</v>
      </c>
      <c r="E69" s="762">
        <f>'MBG FGD'!$E$14</f>
        <v>0</v>
      </c>
      <c r="F69" s="762">
        <f>'MBG FGD'!$F$14</f>
        <v>0</v>
      </c>
      <c r="G69" s="762">
        <f>'MBG FGD'!$G$14</f>
        <v>0</v>
      </c>
      <c r="H69" s="762">
        <f>'MBG FGD'!$H$14</f>
        <v>0</v>
      </c>
      <c r="I69" s="762">
        <f>'MBG FGD'!$I$14</f>
        <v>0</v>
      </c>
      <c r="J69" s="762">
        <f>'MBG FGD'!$J$14</f>
        <v>0</v>
      </c>
      <c r="K69" s="762">
        <f>'MBG FGD'!$K$14</f>
        <v>0</v>
      </c>
      <c r="L69" s="762">
        <f>'MBG FGD'!$L$14</f>
        <v>0</v>
      </c>
      <c r="M69" s="723">
        <f>'MBG FGD'!$M$14</f>
        <v>0</v>
      </c>
    </row>
    <row r="70" spans="1:13" hidden="1" outlineLevel="1">
      <c r="B70" s="823" t="str">
        <f>'MDA FGD'!$B$2</f>
        <v>The University of Texas M.D. Anderson Cancer Center</v>
      </c>
      <c r="D70" s="762">
        <f>'MDA FGD'!$D$14</f>
        <v>0</v>
      </c>
      <c r="E70" s="762">
        <f>'MDA FGD'!$E$14</f>
        <v>0</v>
      </c>
      <c r="F70" s="762">
        <f>'MDA FGD'!$F$14</f>
        <v>0</v>
      </c>
      <c r="G70" s="762">
        <f>'MDA FGD'!$G$14</f>
        <v>0</v>
      </c>
      <c r="H70" s="762">
        <f>'MDA FGD'!$H$14</f>
        <v>0</v>
      </c>
      <c r="I70" s="762">
        <f>'MDA FGD'!$I$14</f>
        <v>0</v>
      </c>
      <c r="J70" s="762">
        <f>'MDA FGD'!$J$14</f>
        <v>0</v>
      </c>
      <c r="K70" s="762">
        <f>'MDA FGD'!$K$14</f>
        <v>0</v>
      </c>
      <c r="L70" s="762">
        <f>'MDA FGD'!$L$14</f>
        <v>0</v>
      </c>
      <c r="M70" s="723">
        <f>'MDA FGD'!$M$14</f>
        <v>0</v>
      </c>
    </row>
    <row r="71" spans="1:13" hidden="1" outlineLevel="1">
      <c r="B71" s="823" t="str">
        <f>'RGVM FGD'!$B$2</f>
        <v>The University of Texas Rio Grande Valley Medical School (M)</v>
      </c>
      <c r="D71" s="762">
        <f>'RGVM FGD'!$D$14</f>
        <v>0</v>
      </c>
      <c r="E71" s="762">
        <f>'RGVM FGD'!$E$14</f>
        <v>0</v>
      </c>
      <c r="F71" s="762">
        <f>'RGVM FGD'!$F$14</f>
        <v>0</v>
      </c>
      <c r="G71" s="762">
        <f>'RGVM FGD'!$G$14</f>
        <v>0</v>
      </c>
      <c r="H71" s="762">
        <f>'RGVM FGD'!$H$14</f>
        <v>0</v>
      </c>
      <c r="I71" s="762">
        <f>'RGVM FGD'!$I$14</f>
        <v>0</v>
      </c>
      <c r="J71" s="762">
        <f>'RGVM FGD'!$J$14</f>
        <v>0</v>
      </c>
      <c r="K71" s="762">
        <f>'RGVM FGD'!$K$14</f>
        <v>0</v>
      </c>
      <c r="L71" s="762">
        <f>'RGVM FGD'!$L$14</f>
        <v>0</v>
      </c>
      <c r="M71" s="723">
        <f>'RGVM FGD'!$M$14</f>
        <v>0</v>
      </c>
    </row>
    <row r="72" spans="1:13" hidden="1" outlineLevel="1">
      <c r="B72" s="823" t="str">
        <f>'SWM FGD'!$B$2</f>
        <v>The University of Texas Southwestern Medical Center</v>
      </c>
      <c r="D72" s="762">
        <f>'SWM FGD'!$D$14</f>
        <v>0</v>
      </c>
      <c r="E72" s="762">
        <f>'SWM FGD'!$E$14</f>
        <v>0</v>
      </c>
      <c r="F72" s="762">
        <f>'SWM FGD'!$F$14</f>
        <v>0</v>
      </c>
      <c r="G72" s="762">
        <f>'SWM FGD'!$G$14</f>
        <v>0</v>
      </c>
      <c r="H72" s="762">
        <f>'SWM FGD'!$H$14</f>
        <v>0</v>
      </c>
      <c r="I72" s="762">
        <f>'SWM FGD'!$I$14</f>
        <v>0</v>
      </c>
      <c r="J72" s="762">
        <f>'SWM FGD'!$J$14</f>
        <v>0</v>
      </c>
      <c r="K72" s="762">
        <f>'SWM FGD'!$K$14</f>
        <v>0</v>
      </c>
      <c r="L72" s="762">
        <f>'SWM FGD'!$L$14</f>
        <v>0</v>
      </c>
      <c r="M72" s="723">
        <f>'SWM FGD'!$M$14</f>
        <v>0</v>
      </c>
    </row>
    <row r="73" spans="1:13" hidden="1" outlineLevel="1">
      <c r="B73" s="823" t="str">
        <f>'TAMHSC FGD'!$B$2</f>
        <v>Texas A&amp;M University System Health Science Center</v>
      </c>
      <c r="D73" s="762">
        <f>'TAMHSC FGD'!$D$14</f>
        <v>0</v>
      </c>
      <c r="E73" s="762">
        <f>'TAMHSC FGD'!$E$14</f>
        <v>46943006</v>
      </c>
      <c r="F73" s="762">
        <f>'TAMHSC FGD'!$F$14</f>
        <v>0</v>
      </c>
      <c r="G73" s="762">
        <f>'TAMHSC FGD'!$G$14</f>
        <v>0</v>
      </c>
      <c r="H73" s="762">
        <f>'TAMHSC FGD'!$H$14</f>
        <v>0</v>
      </c>
      <c r="I73" s="762">
        <f>'TAMHSC FGD'!$I$14</f>
        <v>0</v>
      </c>
      <c r="J73" s="762">
        <f>'TAMHSC FGD'!$J$14</f>
        <v>0</v>
      </c>
      <c r="K73" s="762">
        <f>'TAMHSC FGD'!$K$14</f>
        <v>0</v>
      </c>
      <c r="L73" s="762">
        <f>'TAMHSC FGD'!$L$14</f>
        <v>0</v>
      </c>
      <c r="M73" s="723">
        <f>'TAMHSC FGD'!$M$14</f>
        <v>46943006</v>
      </c>
    </row>
    <row r="74" spans="1:13" hidden="1" outlineLevel="1">
      <c r="B74" s="823" t="str">
        <f>'THC FGD'!$B$2</f>
        <v>The University of Texas Health Science Center at Tyler</v>
      </c>
      <c r="D74" s="762">
        <f>'THC FGD'!$D$14</f>
        <v>0</v>
      </c>
      <c r="E74" s="762">
        <f>'THC FGD'!$E$14</f>
        <v>0</v>
      </c>
      <c r="F74" s="762">
        <f>'THC FGD'!$F$14</f>
        <v>0</v>
      </c>
      <c r="G74" s="762">
        <f>'THC FGD'!$G$14</f>
        <v>0</v>
      </c>
      <c r="H74" s="762">
        <f>'THC FGD'!$H$14</f>
        <v>0</v>
      </c>
      <c r="I74" s="762">
        <f>'THC FGD'!$I$14</f>
        <v>0</v>
      </c>
      <c r="J74" s="762">
        <f>'THC FGD'!$J$14</f>
        <v>0</v>
      </c>
      <c r="K74" s="762">
        <f>'THC FGD'!$K$14</f>
        <v>0</v>
      </c>
      <c r="L74" s="762">
        <f>'THC FGD'!$L$14</f>
        <v>0</v>
      </c>
      <c r="M74" s="723">
        <f>'THC FGD'!$M$14</f>
        <v>0</v>
      </c>
    </row>
    <row r="75" spans="1:13" hidden="1" outlineLevel="1">
      <c r="B75" s="823" t="str">
        <f>'TTUHSC FGD'!$B$2</f>
        <v>Texas Tech University Health Sciences Center</v>
      </c>
      <c r="D75" s="762">
        <f>'TTUHSC FGD'!$D$14</f>
        <v>0</v>
      </c>
      <c r="E75" s="762">
        <f>'TTUHSC FGD'!$E$14</f>
        <v>0</v>
      </c>
      <c r="F75" s="762">
        <f>'TTUHSC FGD'!$F$14</f>
        <v>0</v>
      </c>
      <c r="G75" s="762">
        <f>'TTUHSC FGD'!$G$14</f>
        <v>0</v>
      </c>
      <c r="H75" s="762">
        <f>'TTUHSC FGD'!$H$14</f>
        <v>0</v>
      </c>
      <c r="I75" s="762">
        <f>'TTUHSC FGD'!$I$14</f>
        <v>0</v>
      </c>
      <c r="J75" s="762">
        <f>'TTUHSC FGD'!$J$14</f>
        <v>0</v>
      </c>
      <c r="K75" s="762">
        <f>'TTUHSC FGD'!$K$14</f>
        <v>0</v>
      </c>
      <c r="L75" s="762">
        <f>'TTUHSC FGD'!$L$14</f>
        <v>0</v>
      </c>
      <c r="M75" s="723">
        <f>'TTUHSC FGD'!$M$14</f>
        <v>0</v>
      </c>
    </row>
    <row r="76" spans="1:13" hidden="1" outlineLevel="1">
      <c r="B76" s="823" t="str">
        <f>'TTUHSCEP FGD'!$B$2</f>
        <v>Texas Tech University Health Sciences Center at El Paso</v>
      </c>
      <c r="D76" s="762">
        <f>'TTUHSCEP FGD'!$D$14</f>
        <v>0</v>
      </c>
      <c r="E76" s="762">
        <f>'TTUHSCEP FGD'!$E$14</f>
        <v>0</v>
      </c>
      <c r="F76" s="762">
        <f>'TTUHSCEP FGD'!$F$14</f>
        <v>0</v>
      </c>
      <c r="G76" s="762">
        <f>'TTUHSCEP FGD'!$G$14</f>
        <v>0</v>
      </c>
      <c r="H76" s="762">
        <f>'TTUHSCEP FGD'!$H$14</f>
        <v>0</v>
      </c>
      <c r="I76" s="762">
        <f>'TTUHSCEP FGD'!$I$14</f>
        <v>0</v>
      </c>
      <c r="J76" s="762">
        <f>'TTUHSCEP FGD'!$J$14</f>
        <v>0</v>
      </c>
      <c r="K76" s="762">
        <f>'TTUHSCEP FGD'!$K$14</f>
        <v>0</v>
      </c>
      <c r="L76" s="762">
        <f>'TTUHSCEP FGD'!$L$14</f>
        <v>0</v>
      </c>
      <c r="M76" s="723">
        <f>'TTUHSCEP FGD'!$M$14</f>
        <v>0</v>
      </c>
    </row>
    <row r="77" spans="1:13" hidden="1" outlineLevel="1">
      <c r="B77" s="823" t="str">
        <f>'UHM FGD'!$B$2</f>
        <v>University of Houston Medical School (M)</v>
      </c>
      <c r="D77" s="762">
        <f>'UHM FGD'!$D$14</f>
        <v>0</v>
      </c>
      <c r="E77" s="762">
        <f>'UHM FGD'!$E$14</f>
        <v>0</v>
      </c>
      <c r="F77" s="762">
        <f>'UHM FGD'!$F$14</f>
        <v>0</v>
      </c>
      <c r="G77" s="762">
        <f>'UHM FGD'!$G$14</f>
        <v>0</v>
      </c>
      <c r="H77" s="762">
        <f>'UHM FGD'!$H$14</f>
        <v>0</v>
      </c>
      <c r="I77" s="762">
        <f>'UHM FGD'!$I$14</f>
        <v>0</v>
      </c>
      <c r="J77" s="762">
        <f>'UHM FGD'!$J$14</f>
        <v>0</v>
      </c>
      <c r="K77" s="762">
        <f>'UHM FGD'!$K$14</f>
        <v>0</v>
      </c>
      <c r="L77" s="762">
        <f>'UHM FGD'!$L$14</f>
        <v>0</v>
      </c>
      <c r="M77" s="723">
        <f>'UHM FGD'!$M$14</f>
        <v>0</v>
      </c>
    </row>
    <row r="78" spans="1:13" hidden="1" outlineLevel="1">
      <c r="B78" s="823" t="str">
        <f>'UNTHSC1 FGD'!$B$2</f>
        <v>University of North Texas Health Science Center at Fort Worth (Public Medical)</v>
      </c>
      <c r="D78" s="762">
        <f>'UNTHSC1 FGD'!$D$14</f>
        <v>0</v>
      </c>
      <c r="E78" s="762">
        <f>'UNTHSC1 FGD'!$E$14</f>
        <v>0</v>
      </c>
      <c r="F78" s="762">
        <f>'UNTHSC1 FGD'!$F$14</f>
        <v>0</v>
      </c>
      <c r="G78" s="762">
        <f>'UNTHSC1 FGD'!$G$14</f>
        <v>0</v>
      </c>
      <c r="H78" s="762">
        <f>'UNTHSC1 FGD'!$H$14</f>
        <v>0</v>
      </c>
      <c r="I78" s="762">
        <f>'UNTHSC1 FGD'!$I$14</f>
        <v>0</v>
      </c>
      <c r="J78" s="762">
        <f>'UNTHSC1 FGD'!$J$14</f>
        <v>0</v>
      </c>
      <c r="K78" s="762">
        <f>'UNTHSC1 FGD'!$K$14</f>
        <v>0</v>
      </c>
      <c r="L78" s="762">
        <f>'UNTHSC1 FGD'!$L$14</f>
        <v>0</v>
      </c>
      <c r="M78" s="723">
        <f>'UNTHSC1 FGD'!$M$14</f>
        <v>0</v>
      </c>
    </row>
    <row r="79" spans="1:13" collapsed="1">
      <c r="A79" s="460">
        <v>13</v>
      </c>
      <c r="B79" s="752" t="s">
        <v>135</v>
      </c>
      <c r="D79" s="762">
        <f t="shared" ref="D79:M79" si="4">SUM(D66:D78)</f>
        <v>25010190</v>
      </c>
      <c r="E79" s="762">
        <f t="shared" si="4"/>
        <v>46943006</v>
      </c>
      <c r="F79" s="762">
        <f t="shared" si="4"/>
        <v>0</v>
      </c>
      <c r="G79" s="762">
        <f t="shared" si="4"/>
        <v>0</v>
      </c>
      <c r="H79" s="762">
        <f t="shared" si="4"/>
        <v>0</v>
      </c>
      <c r="I79" s="762">
        <f t="shared" si="4"/>
        <v>0</v>
      </c>
      <c r="J79" s="762">
        <f t="shared" si="4"/>
        <v>0</v>
      </c>
      <c r="K79" s="762">
        <f t="shared" si="4"/>
        <v>0</v>
      </c>
      <c r="L79" s="762">
        <f t="shared" si="4"/>
        <v>0</v>
      </c>
      <c r="M79" s="723">
        <f t="shared" si="4"/>
        <v>71953196</v>
      </c>
    </row>
    <row r="80" spans="1:13" hidden="1" outlineLevel="1">
      <c r="B80" s="823" t="str">
        <f>'AUSM FGD'!$B$2</f>
        <v>The University of Texas at Austin Medical School (M)</v>
      </c>
      <c r="D80" s="762">
        <f>'AUSM FGD'!$D$15</f>
        <v>41770842</v>
      </c>
      <c r="E80" s="762">
        <f>'AUSM FGD'!$E$15</f>
        <v>725865</v>
      </c>
      <c r="F80" s="762">
        <f>'AUSM FGD'!$F$15</f>
        <v>0</v>
      </c>
      <c r="G80" s="762">
        <f>'AUSM FGD'!$G$15</f>
        <v>3719461</v>
      </c>
      <c r="H80" s="762">
        <f>'AUSM FGD'!$H$15</f>
        <v>0</v>
      </c>
      <c r="I80" s="762">
        <f>'AUSM FGD'!$I$15</f>
        <v>0</v>
      </c>
      <c r="J80" s="762">
        <f>'AUSM FGD'!$J$15</f>
        <v>0</v>
      </c>
      <c r="K80" s="762">
        <f>'AUSM FGD'!$K$15</f>
        <v>0</v>
      </c>
      <c r="L80" s="762">
        <f>'AUSM FGD'!$L$15</f>
        <v>0</v>
      </c>
      <c r="M80" s="723">
        <f>'AUSM FGD'!$M$15</f>
        <v>46216168</v>
      </c>
    </row>
    <row r="81" spans="1:15" hidden="1" outlineLevel="1">
      <c r="B81" s="823" t="str">
        <f>'HSH FGD'!$B$2</f>
        <v>The University of Texas Health Science Center at Houston</v>
      </c>
      <c r="D81" s="762">
        <f>'HSH FGD'!$D$15</f>
        <v>248762649</v>
      </c>
      <c r="E81" s="762">
        <f>'HSH FGD'!$E$15</f>
        <v>768205</v>
      </c>
      <c r="F81" s="762">
        <f>'HSH FGD'!$F$15</f>
        <v>0</v>
      </c>
      <c r="G81" s="762">
        <f>'HSH FGD'!$G$15</f>
        <v>10770468</v>
      </c>
      <c r="H81" s="762">
        <f>'HSH FGD'!$H$15</f>
        <v>0</v>
      </c>
      <c r="I81" s="762">
        <f>'HSH FGD'!$I$15</f>
        <v>0</v>
      </c>
      <c r="J81" s="762">
        <f>'HSH FGD'!$J$15</f>
        <v>0</v>
      </c>
      <c r="K81" s="762">
        <f>'HSH FGD'!$K$15</f>
        <v>0</v>
      </c>
      <c r="L81" s="762">
        <f>'HSH FGD'!$L$15</f>
        <v>0</v>
      </c>
      <c r="M81" s="723">
        <f>'HSH FGD'!$M$15</f>
        <v>260301322</v>
      </c>
    </row>
    <row r="82" spans="1:15" hidden="1" outlineLevel="1">
      <c r="B82" s="823" t="str">
        <f>'HSSA FGD'!$B$2</f>
        <v>The University of Texas Health Science Center at San Antonio</v>
      </c>
      <c r="D82" s="762">
        <f>'HSSA FGD'!$D$15</f>
        <v>188523641</v>
      </c>
      <c r="E82" s="762">
        <f>'HSSA FGD'!$E$15</f>
        <v>1802627</v>
      </c>
      <c r="F82" s="762">
        <f>'HSSA FGD'!$F$15</f>
        <v>0</v>
      </c>
      <c r="G82" s="762">
        <f>'HSSA FGD'!$G$15</f>
        <v>12340839</v>
      </c>
      <c r="H82" s="762">
        <f>'HSSA FGD'!$H$15</f>
        <v>0</v>
      </c>
      <c r="I82" s="762">
        <f>'HSSA FGD'!$I$15</f>
        <v>0</v>
      </c>
      <c r="J82" s="762">
        <f>'HSSA FGD'!$J$15</f>
        <v>0</v>
      </c>
      <c r="K82" s="762">
        <f>'HSSA FGD'!$K$15</f>
        <v>0</v>
      </c>
      <c r="L82" s="762">
        <f>'HSSA FGD'!$L$15</f>
        <v>0</v>
      </c>
      <c r="M82" s="723">
        <f>'HSSA FGD'!$M$15</f>
        <v>202667107</v>
      </c>
    </row>
    <row r="83" spans="1:15" hidden="1" outlineLevel="1">
      <c r="B83" s="823" t="str">
        <f>'MBG FGD'!$B$2</f>
        <v>The University of Texas Medical Branch at Galveston</v>
      </c>
      <c r="D83" s="762">
        <f>'MBG FGD'!$D$15</f>
        <v>379573782</v>
      </c>
      <c r="E83" s="762">
        <f>'MBG FGD'!$E$15</f>
        <v>0</v>
      </c>
      <c r="F83" s="762">
        <f>'MBG FGD'!$F$15</f>
        <v>0</v>
      </c>
      <c r="G83" s="762">
        <f>'MBG FGD'!$G$15</f>
        <v>13062782</v>
      </c>
      <c r="H83" s="762">
        <f>'MBG FGD'!$H$15</f>
        <v>0</v>
      </c>
      <c r="I83" s="762">
        <f>'MBG FGD'!$I$15</f>
        <v>0</v>
      </c>
      <c r="J83" s="762">
        <f>'MBG FGD'!$J$15</f>
        <v>0</v>
      </c>
      <c r="K83" s="762">
        <f>'MBG FGD'!$K$15</f>
        <v>0</v>
      </c>
      <c r="L83" s="762">
        <f>'MBG FGD'!$L$15</f>
        <v>0</v>
      </c>
      <c r="M83" s="723">
        <f>'MBG FGD'!$M$15</f>
        <v>392636564</v>
      </c>
    </row>
    <row r="84" spans="1:15" hidden="1" outlineLevel="1">
      <c r="B84" s="823" t="str">
        <f>'MDA FGD'!$B$2</f>
        <v>The University of Texas M.D. Anderson Cancer Center</v>
      </c>
      <c r="D84" s="762">
        <f>'MDA FGD'!$D$15</f>
        <v>222331671</v>
      </c>
      <c r="E84" s="762">
        <f>'MDA FGD'!$E$15</f>
        <v>1807482</v>
      </c>
      <c r="F84" s="762">
        <f>'MDA FGD'!$F$15</f>
        <v>0</v>
      </c>
      <c r="G84" s="762">
        <f>'MDA FGD'!$G$15</f>
        <v>37505912</v>
      </c>
      <c r="H84" s="762">
        <f>'MDA FGD'!$H$15</f>
        <v>0</v>
      </c>
      <c r="I84" s="762">
        <f>'MDA FGD'!$I$15</f>
        <v>0</v>
      </c>
      <c r="J84" s="762">
        <f>'MDA FGD'!$J$15</f>
        <v>0</v>
      </c>
      <c r="K84" s="762">
        <f>'MDA FGD'!$K$15</f>
        <v>0</v>
      </c>
      <c r="L84" s="762">
        <f>'MDA FGD'!$L$15</f>
        <v>0</v>
      </c>
      <c r="M84" s="723">
        <f>'MDA FGD'!$M$15</f>
        <v>261645065</v>
      </c>
    </row>
    <row r="85" spans="1:15" hidden="1" outlineLevel="1">
      <c r="B85" s="823" t="str">
        <f>'RGVM FGD'!$B$2</f>
        <v>The University of Texas Rio Grande Valley Medical School (M)</v>
      </c>
      <c r="D85" s="762">
        <f>'RGVM FGD'!$D$15</f>
        <v>48942782</v>
      </c>
      <c r="E85" s="762">
        <f>'RGVM FGD'!$E$15</f>
        <v>0</v>
      </c>
      <c r="F85" s="762">
        <f>'RGVM FGD'!$F$15</f>
        <v>0</v>
      </c>
      <c r="G85" s="762">
        <f>'RGVM FGD'!$G$15</f>
        <v>531773</v>
      </c>
      <c r="H85" s="762">
        <f>'RGVM FGD'!$H$15</f>
        <v>0</v>
      </c>
      <c r="I85" s="762">
        <f>'RGVM FGD'!$I$15</f>
        <v>0</v>
      </c>
      <c r="J85" s="762">
        <f>'RGVM FGD'!$J$15</f>
        <v>0</v>
      </c>
      <c r="K85" s="762">
        <f>'RGVM FGD'!$K$15</f>
        <v>0</v>
      </c>
      <c r="L85" s="762">
        <f>'RGVM FGD'!$L$15</f>
        <v>0</v>
      </c>
      <c r="M85" s="723">
        <f>'RGVM FGD'!$M$15</f>
        <v>49474555</v>
      </c>
    </row>
    <row r="86" spans="1:15" hidden="1" outlineLevel="1">
      <c r="B86" s="823" t="str">
        <f>'SWM FGD'!$B$2</f>
        <v>The University of Texas Southwestern Medical Center</v>
      </c>
      <c r="D86" s="762">
        <f>'SWM FGD'!$D$15</f>
        <v>216396690</v>
      </c>
      <c r="E86" s="762">
        <f>'SWM FGD'!$E$15</f>
        <v>2063501</v>
      </c>
      <c r="F86" s="762">
        <f>'SWM FGD'!$F$15</f>
        <v>0</v>
      </c>
      <c r="G86" s="762">
        <f>'SWM FGD'!$G$15</f>
        <v>41863416</v>
      </c>
      <c r="H86" s="762">
        <f>'SWM FGD'!$H$15</f>
        <v>0</v>
      </c>
      <c r="I86" s="762">
        <f>'SWM FGD'!$I$15</f>
        <v>0</v>
      </c>
      <c r="J86" s="762">
        <f>'SWM FGD'!$J$15</f>
        <v>0</v>
      </c>
      <c r="K86" s="762">
        <f>'SWM FGD'!$K$15</f>
        <v>0</v>
      </c>
      <c r="L86" s="762">
        <f>'SWM FGD'!$L$15</f>
        <v>0</v>
      </c>
      <c r="M86" s="723">
        <f>'SWM FGD'!$M$15</f>
        <v>260323607</v>
      </c>
    </row>
    <row r="87" spans="1:15" hidden="1" outlineLevel="1">
      <c r="B87" s="823" t="str">
        <f>'TAMHSC FGD'!$B$2</f>
        <v>Texas A&amp;M University System Health Science Center</v>
      </c>
      <c r="D87" s="762">
        <f>'TAMHSC FGD'!$D$15</f>
        <v>177479302</v>
      </c>
      <c r="E87" s="762">
        <f>'TAMHSC FGD'!$E$15</f>
        <v>48501691</v>
      </c>
      <c r="F87" s="762">
        <f>'TAMHSC FGD'!$F$15</f>
        <v>0</v>
      </c>
      <c r="G87" s="762">
        <f>'TAMHSC FGD'!$G$15</f>
        <v>4167236</v>
      </c>
      <c r="H87" s="762">
        <f>'TAMHSC FGD'!$H$15</f>
        <v>0</v>
      </c>
      <c r="I87" s="762">
        <f>'TAMHSC FGD'!$I$15</f>
        <v>0</v>
      </c>
      <c r="J87" s="762">
        <f>'TAMHSC FGD'!$J$15</f>
        <v>0</v>
      </c>
      <c r="K87" s="762">
        <f>'TAMHSC FGD'!$K$15</f>
        <v>0</v>
      </c>
      <c r="L87" s="762">
        <f>'TAMHSC FGD'!$L$15</f>
        <v>0</v>
      </c>
      <c r="M87" s="723">
        <f>'TAMHSC FGD'!$M$15</f>
        <v>230148229</v>
      </c>
    </row>
    <row r="88" spans="1:15" hidden="1" outlineLevel="1">
      <c r="B88" s="823" t="str">
        <f>'THC FGD'!$B$2</f>
        <v>The University of Texas Health Science Center at Tyler</v>
      </c>
      <c r="D88" s="762">
        <f>'THC FGD'!$D$15</f>
        <v>55239453</v>
      </c>
      <c r="E88" s="762">
        <f>'THC FGD'!$E$15</f>
        <v>80176</v>
      </c>
      <c r="F88" s="762">
        <f>'THC FGD'!$F$15</f>
        <v>0</v>
      </c>
      <c r="G88" s="762">
        <f>'THC FGD'!$G$15</f>
        <v>6465306</v>
      </c>
      <c r="H88" s="762">
        <f>'THC FGD'!$H$15</f>
        <v>0</v>
      </c>
      <c r="I88" s="762">
        <f>'THC FGD'!$I$15</f>
        <v>0</v>
      </c>
      <c r="J88" s="762">
        <f>'THC FGD'!$J$15</f>
        <v>0</v>
      </c>
      <c r="K88" s="762">
        <f>'THC FGD'!$K$15</f>
        <v>0</v>
      </c>
      <c r="L88" s="762">
        <f>'THC FGD'!$L$15</f>
        <v>0</v>
      </c>
      <c r="M88" s="723">
        <f>'THC FGD'!$M$15</f>
        <v>61784935</v>
      </c>
    </row>
    <row r="89" spans="1:15" hidden="1" outlineLevel="1">
      <c r="B89" s="823" t="str">
        <f>'TTUHSC FGD'!$B$2</f>
        <v>Texas Tech University Health Sciences Center</v>
      </c>
      <c r="D89" s="762">
        <f>'TTUHSC FGD'!$D$15</f>
        <v>196806632</v>
      </c>
      <c r="E89" s="762">
        <f>'TTUHSC FGD'!$E$15</f>
        <v>71625</v>
      </c>
      <c r="F89" s="762">
        <f>'TTUHSC FGD'!$F$15</f>
        <v>0</v>
      </c>
      <c r="G89" s="762">
        <f>'TTUHSC FGD'!$G$15</f>
        <v>20290027</v>
      </c>
      <c r="H89" s="762">
        <f>'TTUHSC FGD'!$H$15</f>
        <v>0</v>
      </c>
      <c r="I89" s="762">
        <f>'TTUHSC FGD'!$I$15</f>
        <v>0</v>
      </c>
      <c r="J89" s="762">
        <f>'TTUHSC FGD'!$J$15</f>
        <v>0</v>
      </c>
      <c r="K89" s="762">
        <f>'TTUHSC FGD'!$K$15</f>
        <v>0</v>
      </c>
      <c r="L89" s="762">
        <f>'TTUHSC FGD'!$L$15</f>
        <v>0</v>
      </c>
      <c r="M89" s="723">
        <f>'TTUHSC FGD'!$M$15</f>
        <v>217168284</v>
      </c>
    </row>
    <row r="90" spans="1:15" hidden="1" outlineLevel="1">
      <c r="B90" s="823" t="str">
        <f>'TTUHSCEP FGD'!$B$2</f>
        <v>Texas Tech University Health Sciences Center at El Paso</v>
      </c>
      <c r="D90" s="762">
        <f>'TTUHSCEP FGD'!$D$15</f>
        <v>86860731</v>
      </c>
      <c r="E90" s="762">
        <f>'TTUHSCEP FGD'!$E$15</f>
        <v>175403</v>
      </c>
      <c r="F90" s="762">
        <f>'TTUHSCEP FGD'!$F$15</f>
        <v>0</v>
      </c>
      <c r="G90" s="762">
        <f>'TTUHSCEP FGD'!$G$15</f>
        <v>5279082</v>
      </c>
      <c r="H90" s="762">
        <f>'TTUHSCEP FGD'!$H$15</f>
        <v>0</v>
      </c>
      <c r="I90" s="762">
        <f>'TTUHSCEP FGD'!$I$15</f>
        <v>0</v>
      </c>
      <c r="J90" s="762">
        <f>'TTUHSCEP FGD'!$J$15</f>
        <v>0</v>
      </c>
      <c r="K90" s="762">
        <f>'TTUHSCEP FGD'!$K$15</f>
        <v>0</v>
      </c>
      <c r="L90" s="762">
        <f>'TTUHSCEP FGD'!$L$15</f>
        <v>0</v>
      </c>
      <c r="M90" s="723">
        <f>'TTUHSCEP FGD'!$M$15</f>
        <v>92315216</v>
      </c>
    </row>
    <row r="91" spans="1:15" hidden="1" outlineLevel="1">
      <c r="B91" s="823" t="str">
        <f>'UHM FGD'!$B$2</f>
        <v>University of Houston Medical School (M)</v>
      </c>
      <c r="D91" s="762">
        <f>'UHM FGD'!$D$15</f>
        <v>14889291</v>
      </c>
      <c r="E91" s="762">
        <f>'UHM FGD'!$E$15</f>
        <v>0</v>
      </c>
      <c r="F91" s="762">
        <f>'UHM FGD'!$F$15</f>
        <v>0</v>
      </c>
      <c r="G91" s="762">
        <f>'UHM FGD'!$G$15</f>
        <v>50972</v>
      </c>
      <c r="H91" s="762">
        <f>'UHM FGD'!$H$15</f>
        <v>0</v>
      </c>
      <c r="I91" s="762">
        <f>'UHM FGD'!$I$15</f>
        <v>0</v>
      </c>
      <c r="J91" s="762">
        <f>'UHM FGD'!$J$15</f>
        <v>0</v>
      </c>
      <c r="K91" s="762">
        <f>'UHM FGD'!$K$15</f>
        <v>0</v>
      </c>
      <c r="L91" s="762">
        <f>'UHM FGD'!$L$15</f>
        <v>0</v>
      </c>
      <c r="M91" s="723">
        <f>'UHM FGD'!$M$15</f>
        <v>14940263</v>
      </c>
    </row>
    <row r="92" spans="1:15" hidden="1" outlineLevel="1">
      <c r="B92" s="823" t="str">
        <f>'UNTHSC1 FGD'!$B$2</f>
        <v>University of North Texas Health Science Center at Fort Worth (Public Medical)</v>
      </c>
      <c r="D92" s="762">
        <f>'UNTHSC1 FGD'!$D$15</f>
        <v>128302452</v>
      </c>
      <c r="E92" s="762">
        <f>'UNTHSC1 FGD'!$E$15</f>
        <v>0</v>
      </c>
      <c r="F92" s="762">
        <f>'UNTHSC1 FGD'!$F$15</f>
        <v>0</v>
      </c>
      <c r="G92" s="762">
        <f>'UNTHSC1 FGD'!$G$15</f>
        <v>1191897</v>
      </c>
      <c r="H92" s="762">
        <f>'UNTHSC1 FGD'!$H$15</f>
        <v>0</v>
      </c>
      <c r="I92" s="762">
        <f>'UNTHSC1 FGD'!$I$15</f>
        <v>0</v>
      </c>
      <c r="J92" s="762">
        <f>'UNTHSC1 FGD'!$J$15</f>
        <v>0</v>
      </c>
      <c r="K92" s="762">
        <f>'UNTHSC1 FGD'!$K$15</f>
        <v>0</v>
      </c>
      <c r="L92" s="762">
        <f>'UNTHSC1 FGD'!$L$15</f>
        <v>0</v>
      </c>
      <c r="M92" s="723">
        <f>'UNTHSC1 FGD'!$M$15</f>
        <v>129494349</v>
      </c>
    </row>
    <row r="93" spans="1:15" collapsed="1">
      <c r="A93" s="460">
        <v>14</v>
      </c>
      <c r="B93" s="768" t="s">
        <v>155</v>
      </c>
      <c r="C93" s="768"/>
      <c r="D93" s="769">
        <f t="shared" ref="D93:M93" si="5">SUM(D80:D92)</f>
        <v>2005879918</v>
      </c>
      <c r="E93" s="769">
        <f t="shared" si="5"/>
        <v>55996575</v>
      </c>
      <c r="F93" s="769">
        <f t="shared" si="5"/>
        <v>0</v>
      </c>
      <c r="G93" s="769">
        <f t="shared" si="5"/>
        <v>157239171</v>
      </c>
      <c r="H93" s="769">
        <f t="shared" si="5"/>
        <v>0</v>
      </c>
      <c r="I93" s="769">
        <f t="shared" si="5"/>
        <v>0</v>
      </c>
      <c r="J93" s="769">
        <f t="shared" si="5"/>
        <v>0</v>
      </c>
      <c r="K93" s="769">
        <f t="shared" si="5"/>
        <v>0</v>
      </c>
      <c r="L93" s="769">
        <f t="shared" si="5"/>
        <v>0</v>
      </c>
      <c r="M93" s="769">
        <f t="shared" si="5"/>
        <v>2219115664</v>
      </c>
      <c r="O93" s="322" t="str">
        <f>IF(M93&lt;&gt;M1059,"Error","OK")</f>
        <v>OK</v>
      </c>
    </row>
    <row r="94" spans="1:15" ht="12.75" customHeight="1">
      <c r="A94" s="460">
        <v>15</v>
      </c>
      <c r="D94" s="723"/>
      <c r="E94" s="723"/>
      <c r="F94" s="723"/>
      <c r="G94" s="723"/>
      <c r="H94" s="723"/>
      <c r="I94" s="723"/>
      <c r="J94" s="723"/>
      <c r="K94" s="723"/>
      <c r="L94" s="723"/>
      <c r="M94" s="723"/>
    </row>
    <row r="95" spans="1:15" ht="14.25" customHeight="1">
      <c r="A95" s="460">
        <v>16</v>
      </c>
      <c r="B95" s="771" t="s">
        <v>161</v>
      </c>
      <c r="C95" s="771"/>
      <c r="D95" s="723"/>
      <c r="E95" s="723"/>
      <c r="F95" s="723"/>
      <c r="G95" s="723"/>
      <c r="H95" s="723"/>
      <c r="I95" s="723"/>
      <c r="J95" s="723"/>
      <c r="K95" s="723"/>
      <c r="L95" s="723"/>
      <c r="M95" s="723"/>
      <c r="N95" s="400"/>
      <c r="O95" s="752"/>
    </row>
    <row r="96" spans="1:15" ht="14.25" hidden="1" customHeight="1" outlineLevel="1">
      <c r="B96" s="823" t="str">
        <f>'AUSM FGD'!$B$2</f>
        <v>The University of Texas at Austin Medical School (M)</v>
      </c>
      <c r="C96" s="771"/>
      <c r="D96" s="723">
        <f>'AUSM FGD'!$D$18</f>
        <v>1365995</v>
      </c>
      <c r="E96" s="723">
        <f>'AUSM FGD'!$E$18</f>
        <v>2437306</v>
      </c>
      <c r="F96" s="723">
        <f>'AUSM FGD'!$F$18</f>
        <v>0</v>
      </c>
      <c r="G96" s="723">
        <f>'AUSM FGD'!$G$18</f>
        <v>0</v>
      </c>
      <c r="H96" s="723">
        <f>'AUSM FGD'!$H$18</f>
        <v>0</v>
      </c>
      <c r="I96" s="723">
        <f>'AUSM FGD'!$I$18</f>
        <v>0</v>
      </c>
      <c r="J96" s="723">
        <f>'AUSM FGD'!$J$18</f>
        <v>0</v>
      </c>
      <c r="K96" s="723">
        <f>'AUSM FGD'!$K$18</f>
        <v>0</v>
      </c>
      <c r="L96" s="723">
        <f>'AUSM FGD'!$L$18</f>
        <v>0</v>
      </c>
      <c r="M96" s="723">
        <f>'AUSM FGD'!$M$18</f>
        <v>3803301</v>
      </c>
      <c r="N96" s="400"/>
      <c r="O96" s="752"/>
    </row>
    <row r="97" spans="1:15" ht="14.25" hidden="1" customHeight="1" outlineLevel="1">
      <c r="B97" s="823" t="str">
        <f>'HSH FGD'!$B$2</f>
        <v>The University of Texas Health Science Center at Houston</v>
      </c>
      <c r="C97" s="771"/>
      <c r="D97" s="723">
        <f>'HSH FGD'!$D$18</f>
        <v>34033284</v>
      </c>
      <c r="E97" s="723">
        <f>'HSH FGD'!$E$18</f>
        <v>31671233</v>
      </c>
      <c r="F97" s="723">
        <f>'HSH FGD'!$F$18</f>
        <v>0</v>
      </c>
      <c r="G97" s="723">
        <f>'HSH FGD'!$G$18</f>
        <v>0</v>
      </c>
      <c r="H97" s="723">
        <f>'HSH FGD'!$H$18</f>
        <v>0</v>
      </c>
      <c r="I97" s="723">
        <f>'HSH FGD'!$I$18</f>
        <v>0</v>
      </c>
      <c r="J97" s="723">
        <f>'HSH FGD'!$J$18</f>
        <v>0</v>
      </c>
      <c r="K97" s="723">
        <f>'HSH FGD'!$K$18</f>
        <v>0</v>
      </c>
      <c r="L97" s="723">
        <f>'HSH FGD'!$L$18</f>
        <v>0</v>
      </c>
      <c r="M97" s="723">
        <f>'HSH FGD'!$M$18</f>
        <v>65704517</v>
      </c>
      <c r="N97" s="400"/>
      <c r="O97" s="752"/>
    </row>
    <row r="98" spans="1:15" ht="14.25" hidden="1" customHeight="1" outlineLevel="1">
      <c r="B98" s="823" t="str">
        <f>'HSSA FGD'!$B$2</f>
        <v>The University of Texas Health Science Center at San Antonio</v>
      </c>
      <c r="C98" s="771"/>
      <c r="D98" s="723">
        <f>'HSSA FGD'!$D$18</f>
        <v>20976285</v>
      </c>
      <c r="E98" s="723">
        <f>'HSSA FGD'!$E$18</f>
        <v>38469051</v>
      </c>
      <c r="F98" s="723">
        <f>'HSSA FGD'!$F$18</f>
        <v>0</v>
      </c>
      <c r="G98" s="723">
        <f>'HSSA FGD'!$G$18</f>
        <v>0</v>
      </c>
      <c r="H98" s="723">
        <f>'HSSA FGD'!$H$18</f>
        <v>0</v>
      </c>
      <c r="I98" s="723">
        <f>'HSSA FGD'!$I$18</f>
        <v>0</v>
      </c>
      <c r="J98" s="723">
        <f>'HSSA FGD'!$J$18</f>
        <v>0</v>
      </c>
      <c r="K98" s="723">
        <f>'HSSA FGD'!$K$18</f>
        <v>0</v>
      </c>
      <c r="L98" s="723">
        <f>'HSSA FGD'!$L$18</f>
        <v>0</v>
      </c>
      <c r="M98" s="723">
        <f>'HSSA FGD'!$M$18</f>
        <v>59445336</v>
      </c>
      <c r="N98" s="400"/>
      <c r="O98" s="752"/>
    </row>
    <row r="99" spans="1:15" ht="14.25" hidden="1" customHeight="1" outlineLevel="1">
      <c r="B99" s="823" t="str">
        <f>'MBG FGD'!$B$2</f>
        <v>The University of Texas Medical Branch at Galveston</v>
      </c>
      <c r="C99" s="771"/>
      <c r="D99" s="723">
        <f>'MBG FGD'!$D$18</f>
        <v>14807729</v>
      </c>
      <c r="E99" s="723">
        <f>'MBG FGD'!$E$18</f>
        <v>27861800</v>
      </c>
      <c r="F99" s="723">
        <f>'MBG FGD'!$F$18</f>
        <v>0</v>
      </c>
      <c r="G99" s="723">
        <f>'MBG FGD'!$G$18</f>
        <v>0</v>
      </c>
      <c r="H99" s="723">
        <f>'MBG FGD'!$H$18</f>
        <v>0</v>
      </c>
      <c r="I99" s="723">
        <f>'MBG FGD'!$I$18</f>
        <v>0</v>
      </c>
      <c r="J99" s="723">
        <f>'MBG FGD'!$J$18</f>
        <v>0</v>
      </c>
      <c r="K99" s="723">
        <f>'MBG FGD'!$K$18</f>
        <v>0</v>
      </c>
      <c r="L99" s="723">
        <f>'MBG FGD'!$L$18</f>
        <v>0</v>
      </c>
      <c r="M99" s="723">
        <f>'MBG FGD'!$M$18</f>
        <v>42669529</v>
      </c>
      <c r="N99" s="400"/>
      <c r="O99" s="752"/>
    </row>
    <row r="100" spans="1:15" ht="14.25" hidden="1" customHeight="1" outlineLevel="1">
      <c r="B100" s="823" t="str">
        <f>'MDA FGD'!$B$2</f>
        <v>The University of Texas M.D. Anderson Cancer Center</v>
      </c>
      <c r="C100" s="771"/>
      <c r="D100" s="723">
        <f>'MDA FGD'!$D$18</f>
        <v>1015964</v>
      </c>
      <c r="E100" s="723">
        <f>'MDA FGD'!$E$18</f>
        <v>720714</v>
      </c>
      <c r="F100" s="723">
        <f>'MDA FGD'!$F$18</f>
        <v>0</v>
      </c>
      <c r="G100" s="723">
        <f>'MDA FGD'!$G$18</f>
        <v>0</v>
      </c>
      <c r="H100" s="723">
        <f>'MDA FGD'!$H$18</f>
        <v>0</v>
      </c>
      <c r="I100" s="723">
        <f>'MDA FGD'!$I$18</f>
        <v>0</v>
      </c>
      <c r="J100" s="723">
        <f>'MDA FGD'!$J$18</f>
        <v>0</v>
      </c>
      <c r="K100" s="723">
        <f>'MDA FGD'!$K$18</f>
        <v>0</v>
      </c>
      <c r="L100" s="723">
        <f>'MDA FGD'!$L$18</f>
        <v>0</v>
      </c>
      <c r="M100" s="723">
        <f>'MDA FGD'!$M$18</f>
        <v>1736678</v>
      </c>
      <c r="N100" s="400"/>
      <c r="O100" s="752"/>
    </row>
    <row r="101" spans="1:15" ht="14.25" hidden="1" customHeight="1" outlineLevel="1">
      <c r="B101" s="823" t="str">
        <f>'RGVM FGD'!$B$2</f>
        <v>The University of Texas Rio Grande Valley Medical School (M)</v>
      </c>
      <c r="C101" s="771"/>
      <c r="D101" s="723">
        <f>'RGVM FGD'!$D$18</f>
        <v>1550516</v>
      </c>
      <c r="E101" s="723">
        <f>'RGVM FGD'!$E$18</f>
        <v>2414450</v>
      </c>
      <c r="F101" s="723">
        <f>'RGVM FGD'!$F$18</f>
        <v>0</v>
      </c>
      <c r="G101" s="723">
        <f>'RGVM FGD'!$G$18</f>
        <v>0</v>
      </c>
      <c r="H101" s="723">
        <f>'RGVM FGD'!$H$18</f>
        <v>0</v>
      </c>
      <c r="I101" s="723">
        <f>'RGVM FGD'!$I$18</f>
        <v>0</v>
      </c>
      <c r="J101" s="723">
        <f>'RGVM FGD'!$J$18</f>
        <v>0</v>
      </c>
      <c r="K101" s="723">
        <f>'RGVM FGD'!$K$18</f>
        <v>0</v>
      </c>
      <c r="L101" s="723">
        <f>'RGVM FGD'!$L$18</f>
        <v>0</v>
      </c>
      <c r="M101" s="723">
        <f>'RGVM FGD'!$M$18</f>
        <v>3964966</v>
      </c>
      <c r="N101" s="400"/>
      <c r="O101" s="752"/>
    </row>
    <row r="102" spans="1:15" ht="14.25" hidden="1" customHeight="1" outlineLevel="1">
      <c r="B102" s="823" t="str">
        <f>'SWM FGD'!$B$2</f>
        <v>The University of Texas Southwestern Medical Center</v>
      </c>
      <c r="C102" s="771"/>
      <c r="D102" s="723">
        <f>'SWM FGD'!$D$18</f>
        <v>15361528</v>
      </c>
      <c r="E102" s="723">
        <f>'SWM FGD'!$E$18</f>
        <v>19366250</v>
      </c>
      <c r="F102" s="723">
        <f>'SWM FGD'!$F$18</f>
        <v>0</v>
      </c>
      <c r="G102" s="723">
        <f>'SWM FGD'!$G$18</f>
        <v>0</v>
      </c>
      <c r="H102" s="723">
        <f>'SWM FGD'!$H$18</f>
        <v>0</v>
      </c>
      <c r="I102" s="723">
        <f>'SWM FGD'!$I$18</f>
        <v>0</v>
      </c>
      <c r="J102" s="723">
        <f>'SWM FGD'!$J$18</f>
        <v>0</v>
      </c>
      <c r="K102" s="723">
        <f>'SWM FGD'!$K$18</f>
        <v>0</v>
      </c>
      <c r="L102" s="723">
        <f>'SWM FGD'!$L$18</f>
        <v>0</v>
      </c>
      <c r="M102" s="723">
        <f>'SWM FGD'!$M$18</f>
        <v>34727778</v>
      </c>
      <c r="N102" s="400"/>
      <c r="O102" s="752"/>
    </row>
    <row r="103" spans="1:15" ht="14.25" hidden="1" customHeight="1" outlineLevel="1">
      <c r="B103" s="823" t="str">
        <f>'TAMHSC FGD'!$B$2</f>
        <v>Texas A&amp;M University System Health Science Center</v>
      </c>
      <c r="C103" s="771"/>
      <c r="D103" s="723">
        <f>'TAMHSC FGD'!$D$18</f>
        <v>22750776</v>
      </c>
      <c r="E103" s="723">
        <f>'TAMHSC FGD'!$E$18</f>
        <v>18958760</v>
      </c>
      <c r="F103" s="723">
        <f>'TAMHSC FGD'!$F$18</f>
        <v>0</v>
      </c>
      <c r="G103" s="723">
        <f>'TAMHSC FGD'!$G$18</f>
        <v>0</v>
      </c>
      <c r="H103" s="723">
        <f>'TAMHSC FGD'!$H$18</f>
        <v>0</v>
      </c>
      <c r="I103" s="723">
        <f>'TAMHSC FGD'!$I$18</f>
        <v>0</v>
      </c>
      <c r="J103" s="723">
        <f>'TAMHSC FGD'!$J$18</f>
        <v>0</v>
      </c>
      <c r="K103" s="723">
        <f>'TAMHSC FGD'!$K$18</f>
        <v>0</v>
      </c>
      <c r="L103" s="723">
        <f>'TAMHSC FGD'!$L$18</f>
        <v>0</v>
      </c>
      <c r="M103" s="723">
        <f>'TAMHSC FGD'!$M$18</f>
        <v>41709536</v>
      </c>
      <c r="N103" s="400"/>
      <c r="O103" s="752"/>
    </row>
    <row r="104" spans="1:15" ht="14.25" hidden="1" customHeight="1" outlineLevel="1">
      <c r="B104" s="823" t="str">
        <f>'THC FGD'!$B$2</f>
        <v>The University of Texas Health Science Center at Tyler</v>
      </c>
      <c r="C104" s="771"/>
      <c r="D104" s="723">
        <f>'THC FGD'!$D$18</f>
        <v>236720</v>
      </c>
      <c r="E104" s="723">
        <f>'THC FGD'!$E$18</f>
        <v>311490</v>
      </c>
      <c r="F104" s="723">
        <f>'THC FGD'!$F$18</f>
        <v>0</v>
      </c>
      <c r="G104" s="723">
        <f>'THC FGD'!$G$18</f>
        <v>0</v>
      </c>
      <c r="H104" s="723">
        <f>'THC FGD'!$H$18</f>
        <v>0</v>
      </c>
      <c r="I104" s="723">
        <f>'THC FGD'!$I$18</f>
        <v>0</v>
      </c>
      <c r="J104" s="723">
        <f>'THC FGD'!$J$18</f>
        <v>0</v>
      </c>
      <c r="K104" s="723">
        <f>'THC FGD'!$K$18</f>
        <v>0</v>
      </c>
      <c r="L104" s="723">
        <f>'THC FGD'!$L$18</f>
        <v>0</v>
      </c>
      <c r="M104" s="723">
        <f>'THC FGD'!$M$18</f>
        <v>548210</v>
      </c>
      <c r="N104" s="400"/>
      <c r="O104" s="752"/>
    </row>
    <row r="105" spans="1:15" ht="14.25" hidden="1" customHeight="1" outlineLevel="1">
      <c r="B105" s="823" t="str">
        <f>'TTUHSC FGD'!$B$2</f>
        <v>Texas Tech University Health Sciences Center</v>
      </c>
      <c r="C105" s="771"/>
      <c r="D105" s="723">
        <f>'TTUHSC FGD'!$D$18</f>
        <v>22473769</v>
      </c>
      <c r="E105" s="723">
        <f>'TTUHSC FGD'!$E$18</f>
        <v>34060283</v>
      </c>
      <c r="F105" s="723">
        <f>'TTUHSC FGD'!$F$18</f>
        <v>0</v>
      </c>
      <c r="G105" s="723">
        <f>'TTUHSC FGD'!$G$18</f>
        <v>0</v>
      </c>
      <c r="H105" s="723">
        <f>'TTUHSC FGD'!$H$18</f>
        <v>0</v>
      </c>
      <c r="I105" s="723">
        <f>'TTUHSC FGD'!$I$18</f>
        <v>0</v>
      </c>
      <c r="J105" s="723">
        <f>'TTUHSC FGD'!$J$18</f>
        <v>0</v>
      </c>
      <c r="K105" s="723">
        <f>'TTUHSC FGD'!$K$18</f>
        <v>0</v>
      </c>
      <c r="L105" s="723">
        <f>'TTUHSC FGD'!$L$18</f>
        <v>0</v>
      </c>
      <c r="M105" s="723">
        <f>'TTUHSC FGD'!$M$18</f>
        <v>56534052</v>
      </c>
      <c r="N105" s="400"/>
      <c r="O105" s="752"/>
    </row>
    <row r="106" spans="1:15" ht="14.25" hidden="1" customHeight="1" outlineLevel="1">
      <c r="B106" s="823" t="str">
        <f>'TTUHSCEP FGD'!$B$2</f>
        <v>Texas Tech University Health Sciences Center at El Paso</v>
      </c>
      <c r="C106" s="771"/>
      <c r="D106" s="723">
        <f>'TTUHSCEP FGD'!$D$18</f>
        <v>4291126</v>
      </c>
      <c r="E106" s="723">
        <f>'TTUHSCEP FGD'!$E$18</f>
        <v>7204424</v>
      </c>
      <c r="F106" s="723">
        <f>'TTUHSCEP FGD'!$F$18</f>
        <v>0</v>
      </c>
      <c r="G106" s="723">
        <f>'TTUHSCEP FGD'!$G$18</f>
        <v>0</v>
      </c>
      <c r="H106" s="723">
        <f>'TTUHSCEP FGD'!$H$18</f>
        <v>0</v>
      </c>
      <c r="I106" s="723">
        <f>'TTUHSCEP FGD'!$I$18</f>
        <v>0</v>
      </c>
      <c r="J106" s="723">
        <f>'TTUHSCEP FGD'!$J$18</f>
        <v>0</v>
      </c>
      <c r="K106" s="723">
        <f>'TTUHSCEP FGD'!$K$18</f>
        <v>0</v>
      </c>
      <c r="L106" s="723">
        <f>'TTUHSCEP FGD'!$L$18</f>
        <v>0</v>
      </c>
      <c r="M106" s="723">
        <f>'TTUHSCEP FGD'!$M$18</f>
        <v>11495550</v>
      </c>
      <c r="N106" s="400"/>
      <c r="O106" s="752"/>
    </row>
    <row r="107" spans="1:15" ht="14.25" hidden="1" customHeight="1" outlineLevel="1">
      <c r="B107" s="823" t="str">
        <f>'UHM FGD'!$B$2</f>
        <v>University of Houston Medical School (M)</v>
      </c>
      <c r="C107" s="771"/>
      <c r="D107" s="723">
        <f>'UHM FGD'!$D$18</f>
        <v>778926</v>
      </c>
      <c r="E107" s="723">
        <f>'UHM FGD'!$E$18</f>
        <v>380551</v>
      </c>
      <c r="F107" s="723">
        <f>'UHM FGD'!$F$18</f>
        <v>0</v>
      </c>
      <c r="G107" s="723">
        <f>'UHM FGD'!$G$18</f>
        <v>0</v>
      </c>
      <c r="H107" s="723">
        <f>'UHM FGD'!$H$18</f>
        <v>0</v>
      </c>
      <c r="I107" s="723">
        <f>'UHM FGD'!$I$18</f>
        <v>0</v>
      </c>
      <c r="J107" s="723">
        <f>'UHM FGD'!$J$18</f>
        <v>0</v>
      </c>
      <c r="K107" s="723">
        <f>'UHM FGD'!$K$18</f>
        <v>0</v>
      </c>
      <c r="L107" s="723">
        <f>'UHM FGD'!$L$18</f>
        <v>0</v>
      </c>
      <c r="M107" s="723">
        <f>'UHM FGD'!$M$18</f>
        <v>1159477</v>
      </c>
      <c r="N107" s="400"/>
      <c r="O107" s="752"/>
    </row>
    <row r="108" spans="1:15" ht="14.25" hidden="1" customHeight="1" outlineLevel="1">
      <c r="B108" s="823" t="str">
        <f>'UNTHSC1 FGD'!$B$2</f>
        <v>University of North Texas Health Science Center at Fort Worth (Public Medical)</v>
      </c>
      <c r="C108" s="771"/>
      <c r="D108" s="723">
        <f>'UNTHSC1 FGD'!$D$18</f>
        <v>14265302</v>
      </c>
      <c r="E108" s="723">
        <f>'UNTHSC1 FGD'!$E$18</f>
        <v>13377771</v>
      </c>
      <c r="F108" s="723">
        <f>'UNTHSC1 FGD'!$F$18</f>
        <v>0</v>
      </c>
      <c r="G108" s="723">
        <f>'UNTHSC1 FGD'!$G$18</f>
        <v>0</v>
      </c>
      <c r="H108" s="723">
        <f>'UNTHSC1 FGD'!$H$18</f>
        <v>0</v>
      </c>
      <c r="I108" s="723">
        <f>'UNTHSC1 FGD'!$I$18</f>
        <v>0</v>
      </c>
      <c r="J108" s="723">
        <f>'UNTHSC1 FGD'!$J$18</f>
        <v>0</v>
      </c>
      <c r="K108" s="723">
        <f>'UNTHSC1 FGD'!$K$18</f>
        <v>0</v>
      </c>
      <c r="L108" s="723">
        <f>'UNTHSC1 FGD'!$L$18</f>
        <v>0</v>
      </c>
      <c r="M108" s="723">
        <f>'UNTHSC1 FGD'!$M$18</f>
        <v>27643073</v>
      </c>
      <c r="N108" s="400"/>
      <c r="O108" s="752"/>
    </row>
    <row r="109" spans="1:15" s="320" customFormat="1" ht="13.5" customHeight="1" collapsed="1">
      <c r="A109" s="322"/>
      <c r="B109" s="772" t="s">
        <v>228</v>
      </c>
      <c r="C109" s="772"/>
      <c r="D109" s="769">
        <f t="shared" ref="D109:M109" si="6">SUM(D96:D108)</f>
        <v>153907920</v>
      </c>
      <c r="E109" s="769">
        <f t="shared" si="6"/>
        <v>197234083</v>
      </c>
      <c r="F109" s="769">
        <f t="shared" si="6"/>
        <v>0</v>
      </c>
      <c r="G109" s="769">
        <f t="shared" si="6"/>
        <v>0</v>
      </c>
      <c r="H109" s="769">
        <f t="shared" si="6"/>
        <v>0</v>
      </c>
      <c r="I109" s="769">
        <f t="shared" si="6"/>
        <v>0</v>
      </c>
      <c r="J109" s="769">
        <f t="shared" si="6"/>
        <v>0</v>
      </c>
      <c r="K109" s="769">
        <f t="shared" si="6"/>
        <v>0</v>
      </c>
      <c r="L109" s="769">
        <f t="shared" si="6"/>
        <v>0</v>
      </c>
      <c r="M109" s="769">
        <f t="shared" si="6"/>
        <v>351142003</v>
      </c>
    </row>
    <row r="110" spans="1:15" s="320" customFormat="1" ht="13.5" hidden="1" customHeight="1" outlineLevel="1">
      <c r="A110" s="322"/>
      <c r="B110" s="823" t="str">
        <f>'AUSM FGD'!$B$2</f>
        <v>The University of Texas at Austin Medical School (M)</v>
      </c>
      <c r="C110" s="314"/>
      <c r="D110" s="723">
        <f>'AUSM FGD'!$D$19</f>
        <v>0</v>
      </c>
      <c r="E110" s="723">
        <f>'AUSM FGD'!$E$19</f>
        <v>0</v>
      </c>
      <c r="F110" s="723">
        <f>'AUSM FGD'!$F$19</f>
        <v>0</v>
      </c>
      <c r="G110" s="723">
        <f>'AUSM FGD'!$G$19</f>
        <v>0</v>
      </c>
      <c r="H110" s="723">
        <f>'AUSM FGD'!$H$19</f>
        <v>0</v>
      </c>
      <c r="I110" s="723">
        <f>'AUSM FGD'!$I$19</f>
        <v>0</v>
      </c>
      <c r="J110" s="723">
        <f>'AUSM FGD'!$J$19</f>
        <v>0</v>
      </c>
      <c r="K110" s="723">
        <f>'AUSM FGD'!$K$19</f>
        <v>0</v>
      </c>
      <c r="L110" s="723">
        <f>'AUSM FGD'!$L$19</f>
        <v>0</v>
      </c>
      <c r="M110" s="723">
        <f>'AUSM FGD'!$M$19</f>
        <v>0</v>
      </c>
    </row>
    <row r="111" spans="1:15" s="320" customFormat="1" ht="13.5" hidden="1" customHeight="1" outlineLevel="1">
      <c r="A111" s="322"/>
      <c r="B111" s="823" t="str">
        <f>'HSH FGD'!$B$2</f>
        <v>The University of Texas Health Science Center at Houston</v>
      </c>
      <c r="C111" s="314"/>
      <c r="D111" s="723">
        <f>'HSH FGD'!$D$19</f>
        <v>-6881844</v>
      </c>
      <c r="E111" s="723">
        <f>'HSH FGD'!$E$19</f>
        <v>-47720</v>
      </c>
      <c r="F111" s="723">
        <f>'HSH FGD'!$F$19</f>
        <v>0</v>
      </c>
      <c r="G111" s="723">
        <f>'HSH FGD'!$G$19</f>
        <v>0</v>
      </c>
      <c r="H111" s="723">
        <f>'HSH FGD'!$H$19</f>
        <v>0</v>
      </c>
      <c r="I111" s="723">
        <f>'HSH FGD'!$I$19</f>
        <v>0</v>
      </c>
      <c r="J111" s="723">
        <f>'HSH FGD'!$J$19</f>
        <v>0</v>
      </c>
      <c r="K111" s="723">
        <f>'HSH FGD'!$K$19</f>
        <v>0</v>
      </c>
      <c r="L111" s="723">
        <f>'HSH FGD'!$L$19</f>
        <v>0</v>
      </c>
      <c r="M111" s="723">
        <f>'HSH FGD'!$M$19</f>
        <v>-6929564</v>
      </c>
    </row>
    <row r="112" spans="1:15" s="320" customFormat="1" ht="13.5" hidden="1" customHeight="1" outlineLevel="1">
      <c r="A112" s="322"/>
      <c r="B112" s="823" t="str">
        <f>'HSSA FGD'!$B$2</f>
        <v>The University of Texas Health Science Center at San Antonio</v>
      </c>
      <c r="C112" s="314"/>
      <c r="D112" s="723">
        <f>'HSSA FGD'!$D$19</f>
        <v>-3430208</v>
      </c>
      <c r="E112" s="723">
        <f>'HSSA FGD'!$E$19</f>
        <v>0</v>
      </c>
      <c r="F112" s="723">
        <f>'HSSA FGD'!$F$19</f>
        <v>0</v>
      </c>
      <c r="G112" s="723">
        <f>'HSSA FGD'!$G$19</f>
        <v>0</v>
      </c>
      <c r="H112" s="723">
        <f>'HSSA FGD'!$H$19</f>
        <v>0</v>
      </c>
      <c r="I112" s="723">
        <f>'HSSA FGD'!$I$19</f>
        <v>0</v>
      </c>
      <c r="J112" s="723">
        <f>'HSSA FGD'!$J$19</f>
        <v>0</v>
      </c>
      <c r="K112" s="723">
        <f>'HSSA FGD'!$K$19</f>
        <v>0</v>
      </c>
      <c r="L112" s="723">
        <f>'HSSA FGD'!$L$19</f>
        <v>0</v>
      </c>
      <c r="M112" s="723">
        <f>'HSSA FGD'!$M$19</f>
        <v>-3430208</v>
      </c>
    </row>
    <row r="113" spans="1:13" s="320" customFormat="1" ht="13.5" hidden="1" customHeight="1" outlineLevel="1">
      <c r="A113" s="322"/>
      <c r="B113" s="823" t="str">
        <f>'MBG FGD'!$B$2</f>
        <v>The University of Texas Medical Branch at Galveston</v>
      </c>
      <c r="C113" s="314"/>
      <c r="D113" s="723">
        <f>'MBG FGD'!$D$19</f>
        <v>-1250428</v>
      </c>
      <c r="E113" s="723">
        <f>'MBG FGD'!$E$19</f>
        <v>-6474</v>
      </c>
      <c r="F113" s="723">
        <f>'MBG FGD'!$F$19</f>
        <v>0</v>
      </c>
      <c r="G113" s="723">
        <f>'MBG FGD'!$G$19</f>
        <v>0</v>
      </c>
      <c r="H113" s="723">
        <f>'MBG FGD'!$H$19</f>
        <v>0</v>
      </c>
      <c r="I113" s="723">
        <f>'MBG FGD'!$I$19</f>
        <v>0</v>
      </c>
      <c r="J113" s="723">
        <f>'MBG FGD'!$J$19</f>
        <v>0</v>
      </c>
      <c r="K113" s="723">
        <f>'MBG FGD'!$K$19</f>
        <v>0</v>
      </c>
      <c r="L113" s="723">
        <f>'MBG FGD'!$L$19</f>
        <v>0</v>
      </c>
      <c r="M113" s="723">
        <f>'MBG FGD'!$M$19</f>
        <v>-1256902</v>
      </c>
    </row>
    <row r="114" spans="1:13" s="320" customFormat="1" ht="13.5" hidden="1" customHeight="1" outlineLevel="1">
      <c r="A114" s="322"/>
      <c r="B114" s="823" t="str">
        <f>'MDA FGD'!$B$2</f>
        <v>The University of Texas M.D. Anderson Cancer Center</v>
      </c>
      <c r="C114" s="314"/>
      <c r="D114" s="723">
        <f>'MDA FGD'!$D$19</f>
        <v>-245732</v>
      </c>
      <c r="E114" s="723">
        <f>'MDA FGD'!$E$19</f>
        <v>0</v>
      </c>
      <c r="F114" s="723">
        <f>'MDA FGD'!$F$19</f>
        <v>0</v>
      </c>
      <c r="G114" s="723">
        <f>'MDA FGD'!$G$19</f>
        <v>0</v>
      </c>
      <c r="H114" s="723">
        <f>'MDA FGD'!$H$19</f>
        <v>0</v>
      </c>
      <c r="I114" s="723">
        <f>'MDA FGD'!$I$19</f>
        <v>0</v>
      </c>
      <c r="J114" s="723">
        <f>'MDA FGD'!$J$19</f>
        <v>0</v>
      </c>
      <c r="K114" s="723">
        <f>'MDA FGD'!$K$19</f>
        <v>0</v>
      </c>
      <c r="L114" s="723">
        <f>'MDA FGD'!$L$19</f>
        <v>0</v>
      </c>
      <c r="M114" s="723">
        <f>'MDA FGD'!$M$19</f>
        <v>-245732</v>
      </c>
    </row>
    <row r="115" spans="1:13" s="320" customFormat="1" ht="13.5" hidden="1" customHeight="1" outlineLevel="1">
      <c r="A115" s="322"/>
      <c r="B115" s="823" t="str">
        <f>'RGVM FGD'!$B$2</f>
        <v>The University of Texas Rio Grande Valley Medical School (M)</v>
      </c>
      <c r="C115" s="314"/>
      <c r="D115" s="723">
        <f>'RGVM FGD'!$D$19</f>
        <v>-64059</v>
      </c>
      <c r="E115" s="723">
        <f>'RGVM FGD'!$E$19</f>
        <v>0</v>
      </c>
      <c r="F115" s="723">
        <f>'RGVM FGD'!$F$19</f>
        <v>0</v>
      </c>
      <c r="G115" s="723">
        <f>'RGVM FGD'!$G$19</f>
        <v>0</v>
      </c>
      <c r="H115" s="723">
        <f>'RGVM FGD'!$H$19</f>
        <v>0</v>
      </c>
      <c r="I115" s="723">
        <f>'RGVM FGD'!$I$19</f>
        <v>0</v>
      </c>
      <c r="J115" s="723">
        <f>'RGVM FGD'!$J$19</f>
        <v>0</v>
      </c>
      <c r="K115" s="723">
        <f>'RGVM FGD'!$K$19</f>
        <v>0</v>
      </c>
      <c r="L115" s="723">
        <f>'RGVM FGD'!$L$19</f>
        <v>0</v>
      </c>
      <c r="M115" s="723">
        <f>'RGVM FGD'!$M$19</f>
        <v>-64059</v>
      </c>
    </row>
    <row r="116" spans="1:13" s="320" customFormat="1" ht="13.5" hidden="1" customHeight="1" outlineLevel="1">
      <c r="A116" s="322"/>
      <c r="B116" s="823" t="str">
        <f>'SWM FGD'!$B$2</f>
        <v>The University of Texas Southwestern Medical Center</v>
      </c>
      <c r="C116" s="314"/>
      <c r="D116" s="723">
        <f>'SWM FGD'!$D$19</f>
        <v>-6687827</v>
      </c>
      <c r="E116" s="723">
        <f>'SWM FGD'!$E$19</f>
        <v>0</v>
      </c>
      <c r="F116" s="723">
        <f>'SWM FGD'!$F$19</f>
        <v>0</v>
      </c>
      <c r="G116" s="723">
        <f>'SWM FGD'!$G$19</f>
        <v>0</v>
      </c>
      <c r="H116" s="723">
        <f>'SWM FGD'!$H$19</f>
        <v>0</v>
      </c>
      <c r="I116" s="723">
        <f>'SWM FGD'!$I$19</f>
        <v>0</v>
      </c>
      <c r="J116" s="723">
        <f>'SWM FGD'!$J$19</f>
        <v>0</v>
      </c>
      <c r="K116" s="723">
        <f>'SWM FGD'!$K$19</f>
        <v>0</v>
      </c>
      <c r="L116" s="723">
        <f>'SWM FGD'!$L$19</f>
        <v>0</v>
      </c>
      <c r="M116" s="723">
        <f>'SWM FGD'!$M$19</f>
        <v>-6687827</v>
      </c>
    </row>
    <row r="117" spans="1:13" s="320" customFormat="1" ht="13.5" hidden="1" customHeight="1" outlineLevel="1">
      <c r="A117" s="322"/>
      <c r="B117" s="823" t="str">
        <f>'TAMHSC FGD'!$B$2</f>
        <v>Texas A&amp;M University System Health Science Center</v>
      </c>
      <c r="C117" s="314"/>
      <c r="D117" s="723">
        <f>'TAMHSC FGD'!$D$19</f>
        <v>-2560450</v>
      </c>
      <c r="E117" s="723">
        <f>'TAMHSC FGD'!$E$19</f>
        <v>0</v>
      </c>
      <c r="F117" s="723">
        <f>'TAMHSC FGD'!$F$19</f>
        <v>0</v>
      </c>
      <c r="G117" s="723">
        <f>'TAMHSC FGD'!$G$19</f>
        <v>0</v>
      </c>
      <c r="H117" s="723">
        <f>'TAMHSC FGD'!$H$19</f>
        <v>0</v>
      </c>
      <c r="I117" s="723">
        <f>'TAMHSC FGD'!$I$19</f>
        <v>0</v>
      </c>
      <c r="J117" s="723">
        <f>'TAMHSC FGD'!$J$19</f>
        <v>0</v>
      </c>
      <c r="K117" s="723">
        <f>'TAMHSC FGD'!$K$19</f>
        <v>0</v>
      </c>
      <c r="L117" s="723">
        <f>'TAMHSC FGD'!$L$19</f>
        <v>0</v>
      </c>
      <c r="M117" s="723">
        <f>'TAMHSC FGD'!$M$19</f>
        <v>-2560450</v>
      </c>
    </row>
    <row r="118" spans="1:13" s="320" customFormat="1" ht="13.5" hidden="1" customHeight="1" outlineLevel="1">
      <c r="A118" s="322"/>
      <c r="B118" s="823" t="str">
        <f>'THC FGD'!$B$2</f>
        <v>The University of Texas Health Science Center at Tyler</v>
      </c>
      <c r="C118" s="314"/>
      <c r="D118" s="723">
        <f>'THC FGD'!$D$19</f>
        <v>0</v>
      </c>
      <c r="E118" s="723">
        <f>'THC FGD'!$E$19</f>
        <v>0</v>
      </c>
      <c r="F118" s="723">
        <f>'THC FGD'!$F$19</f>
        <v>0</v>
      </c>
      <c r="G118" s="723">
        <f>'THC FGD'!$G$19</f>
        <v>0</v>
      </c>
      <c r="H118" s="723">
        <f>'THC FGD'!$H$19</f>
        <v>0</v>
      </c>
      <c r="I118" s="723">
        <f>'THC FGD'!$I$19</f>
        <v>0</v>
      </c>
      <c r="J118" s="723">
        <f>'THC FGD'!$J$19</f>
        <v>0</v>
      </c>
      <c r="K118" s="723">
        <f>'THC FGD'!$K$19</f>
        <v>0</v>
      </c>
      <c r="L118" s="723">
        <f>'THC FGD'!$L$19</f>
        <v>0</v>
      </c>
      <c r="M118" s="723">
        <f>'THC FGD'!$M$19</f>
        <v>0</v>
      </c>
    </row>
    <row r="119" spans="1:13" s="320" customFormat="1" ht="13.5" hidden="1" customHeight="1" outlineLevel="1">
      <c r="A119" s="322"/>
      <c r="B119" s="823" t="str">
        <f>'TTUHSC FGD'!$B$2</f>
        <v>Texas Tech University Health Sciences Center</v>
      </c>
      <c r="C119" s="314"/>
      <c r="D119" s="723">
        <f>'TTUHSC FGD'!$D$19</f>
        <v>-3793657</v>
      </c>
      <c r="E119" s="723">
        <f>'TTUHSC FGD'!$E$19</f>
        <v>0</v>
      </c>
      <c r="F119" s="723">
        <f>'TTUHSC FGD'!$F$19</f>
        <v>0</v>
      </c>
      <c r="G119" s="723">
        <f>'TTUHSC FGD'!$G$19</f>
        <v>0</v>
      </c>
      <c r="H119" s="723">
        <f>'TTUHSC FGD'!$H$19</f>
        <v>0</v>
      </c>
      <c r="I119" s="723">
        <f>'TTUHSC FGD'!$I$19</f>
        <v>0</v>
      </c>
      <c r="J119" s="723">
        <f>'TTUHSC FGD'!$J$19</f>
        <v>0</v>
      </c>
      <c r="K119" s="723">
        <f>'TTUHSC FGD'!$K$19</f>
        <v>0</v>
      </c>
      <c r="L119" s="723">
        <f>'TTUHSC FGD'!$L$19</f>
        <v>0</v>
      </c>
      <c r="M119" s="723">
        <f>'TTUHSC FGD'!$M$19</f>
        <v>-3793657</v>
      </c>
    </row>
    <row r="120" spans="1:13" s="320" customFormat="1" ht="13.5" hidden="1" customHeight="1" outlineLevel="1">
      <c r="A120" s="322"/>
      <c r="B120" s="823" t="str">
        <f>'TTUHSCEP FGD'!$B$2</f>
        <v>Texas Tech University Health Sciences Center at El Paso</v>
      </c>
      <c r="C120" s="314"/>
      <c r="D120" s="723">
        <f>'TTUHSCEP FGD'!$D$19</f>
        <v>-238280</v>
      </c>
      <c r="E120" s="723">
        <f>'TTUHSCEP FGD'!$E$19</f>
        <v>0</v>
      </c>
      <c r="F120" s="723">
        <f>'TTUHSCEP FGD'!$F$19</f>
        <v>0</v>
      </c>
      <c r="G120" s="723">
        <f>'TTUHSCEP FGD'!$G$19</f>
        <v>0</v>
      </c>
      <c r="H120" s="723">
        <f>'TTUHSCEP FGD'!$H$19</f>
        <v>0</v>
      </c>
      <c r="I120" s="723">
        <f>'TTUHSCEP FGD'!$I$19</f>
        <v>0</v>
      </c>
      <c r="J120" s="723">
        <f>'TTUHSCEP FGD'!$J$19</f>
        <v>0</v>
      </c>
      <c r="K120" s="723">
        <f>'TTUHSCEP FGD'!$K$19</f>
        <v>0</v>
      </c>
      <c r="L120" s="723">
        <f>'TTUHSCEP FGD'!$L$19</f>
        <v>0</v>
      </c>
      <c r="M120" s="723">
        <f>'TTUHSCEP FGD'!$M$19</f>
        <v>-238280</v>
      </c>
    </row>
    <row r="121" spans="1:13" s="320" customFormat="1" ht="13.5" hidden="1" customHeight="1" outlineLevel="1">
      <c r="A121" s="322"/>
      <c r="B121" s="823" t="str">
        <f>'UHM FGD'!$B$2</f>
        <v>University of Houston Medical School (M)</v>
      </c>
      <c r="C121" s="314"/>
      <c r="D121" s="723">
        <f>'UHM FGD'!$D$19</f>
        <v>0</v>
      </c>
      <c r="E121" s="723">
        <f>'UHM FGD'!$E$19</f>
        <v>0</v>
      </c>
      <c r="F121" s="723">
        <f>'UHM FGD'!$F$19</f>
        <v>0</v>
      </c>
      <c r="G121" s="723">
        <f>'UHM FGD'!$G$19</f>
        <v>0</v>
      </c>
      <c r="H121" s="723">
        <f>'UHM FGD'!$H$19</f>
        <v>0</v>
      </c>
      <c r="I121" s="723">
        <f>'UHM FGD'!$I$19</f>
        <v>0</v>
      </c>
      <c r="J121" s="723">
        <f>'UHM FGD'!$J$19</f>
        <v>0</v>
      </c>
      <c r="K121" s="723">
        <f>'UHM FGD'!$K$19</f>
        <v>0</v>
      </c>
      <c r="L121" s="723">
        <f>'UHM FGD'!$L$19</f>
        <v>0</v>
      </c>
      <c r="M121" s="723">
        <f>'UHM FGD'!$M$19</f>
        <v>0</v>
      </c>
    </row>
    <row r="122" spans="1:13" s="320" customFormat="1" ht="13.5" hidden="1" customHeight="1" outlineLevel="1">
      <c r="A122" s="322"/>
      <c r="B122" s="823" t="str">
        <f>'UNTHSC1 FGD'!$B$2</f>
        <v>University of North Texas Health Science Center at Fort Worth (Public Medical)</v>
      </c>
      <c r="C122" s="314"/>
      <c r="D122" s="723">
        <f>'UNTHSC1 FGD'!$D$19</f>
        <v>0</v>
      </c>
      <c r="E122" s="723">
        <f>'UNTHSC1 FGD'!$E$19</f>
        <v>0</v>
      </c>
      <c r="F122" s="723">
        <f>'UNTHSC1 FGD'!$F$19</f>
        <v>0</v>
      </c>
      <c r="G122" s="723">
        <f>'UNTHSC1 FGD'!$G$19</f>
        <v>0</v>
      </c>
      <c r="H122" s="723">
        <f>'UNTHSC1 FGD'!$H$19</f>
        <v>0</v>
      </c>
      <c r="I122" s="723">
        <f>'UNTHSC1 FGD'!$I$19</f>
        <v>0</v>
      </c>
      <c r="J122" s="723">
        <f>'UNTHSC1 FGD'!$J$19</f>
        <v>0</v>
      </c>
      <c r="K122" s="723">
        <f>'UNTHSC1 FGD'!$K$19</f>
        <v>0</v>
      </c>
      <c r="L122" s="723">
        <f>'UNTHSC1 FGD'!$L$19</f>
        <v>0</v>
      </c>
      <c r="M122" s="723">
        <f>'UNTHSC1 FGD'!$M$19</f>
        <v>0</v>
      </c>
    </row>
    <row r="123" spans="1:13" s="320" customFormat="1" ht="12.75" customHeight="1" collapsed="1">
      <c r="A123" s="322"/>
      <c r="B123" s="320" t="s">
        <v>592</v>
      </c>
      <c r="D123" s="762">
        <f t="shared" ref="D123:M123" si="7">SUM(D110:D122)</f>
        <v>-25152485</v>
      </c>
      <c r="E123" s="762">
        <f t="shared" si="7"/>
        <v>-54194</v>
      </c>
      <c r="F123" s="762">
        <f t="shared" si="7"/>
        <v>0</v>
      </c>
      <c r="G123" s="762">
        <f t="shared" si="7"/>
        <v>0</v>
      </c>
      <c r="H123" s="762">
        <f t="shared" si="7"/>
        <v>0</v>
      </c>
      <c r="I123" s="762">
        <f t="shared" si="7"/>
        <v>0</v>
      </c>
      <c r="J123" s="762">
        <f t="shared" si="7"/>
        <v>0</v>
      </c>
      <c r="K123" s="762">
        <f t="shared" si="7"/>
        <v>0</v>
      </c>
      <c r="L123" s="762">
        <f t="shared" si="7"/>
        <v>0</v>
      </c>
      <c r="M123" s="723">
        <f t="shared" si="7"/>
        <v>-25206679</v>
      </c>
    </row>
    <row r="124" spans="1:13" s="320" customFormat="1" ht="12.75" hidden="1" customHeight="1" outlineLevel="1">
      <c r="A124" s="322"/>
      <c r="B124" s="823" t="str">
        <f>'AUSM FGD'!$B$2</f>
        <v>The University of Texas at Austin Medical School (M)</v>
      </c>
      <c r="D124" s="762">
        <f>'AUSM FGD'!$D$20</f>
        <v>0</v>
      </c>
      <c r="E124" s="762">
        <f>'AUSM FGD'!$E$20</f>
        <v>0</v>
      </c>
      <c r="F124" s="762">
        <f>'AUSM FGD'!$F$20</f>
        <v>0</v>
      </c>
      <c r="G124" s="762">
        <f>'AUSM FGD'!$G$20</f>
        <v>0</v>
      </c>
      <c r="H124" s="762">
        <f>'AUSM FGD'!$H$20</f>
        <v>0</v>
      </c>
      <c r="I124" s="762">
        <f>'AUSM FGD'!$I$20</f>
        <v>0</v>
      </c>
      <c r="J124" s="762">
        <f>'AUSM FGD'!$J$20</f>
        <v>0</v>
      </c>
      <c r="K124" s="762">
        <f>'AUSM FGD'!$K$20</f>
        <v>0</v>
      </c>
      <c r="L124" s="762">
        <f>'AUSM FGD'!$L$20</f>
        <v>0</v>
      </c>
      <c r="M124" s="723">
        <f>'AUSM FGD'!$M$20</f>
        <v>0</v>
      </c>
    </row>
    <row r="125" spans="1:13" s="320" customFormat="1" ht="12.75" hidden="1" customHeight="1" outlineLevel="1">
      <c r="A125" s="322"/>
      <c r="B125" s="823" t="str">
        <f>'HSH FGD'!$B$2</f>
        <v>The University of Texas Health Science Center at Houston</v>
      </c>
      <c r="D125" s="762">
        <f>'HSH FGD'!$D$20</f>
        <v>0</v>
      </c>
      <c r="E125" s="762">
        <f>'HSH FGD'!$E$20</f>
        <v>0</v>
      </c>
      <c r="F125" s="762">
        <f>'HSH FGD'!$F$20</f>
        <v>0</v>
      </c>
      <c r="G125" s="762">
        <f>'HSH FGD'!$G$20</f>
        <v>0</v>
      </c>
      <c r="H125" s="762">
        <f>'HSH FGD'!$H$20</f>
        <v>0</v>
      </c>
      <c r="I125" s="762">
        <f>'HSH FGD'!$I$20</f>
        <v>0</v>
      </c>
      <c r="J125" s="762">
        <f>'HSH FGD'!$J$20</f>
        <v>0</v>
      </c>
      <c r="K125" s="762">
        <f>'HSH FGD'!$K$20</f>
        <v>0</v>
      </c>
      <c r="L125" s="762">
        <f>'HSH FGD'!$L$20</f>
        <v>0</v>
      </c>
      <c r="M125" s="723">
        <f>'HSH FGD'!$M$20</f>
        <v>0</v>
      </c>
    </row>
    <row r="126" spans="1:13" s="320" customFormat="1" ht="12.75" hidden="1" customHeight="1" outlineLevel="1">
      <c r="A126" s="322"/>
      <c r="B126" s="823" t="str">
        <f>'HSSA FGD'!$B$2</f>
        <v>The University of Texas Health Science Center at San Antonio</v>
      </c>
      <c r="D126" s="762">
        <f>'HSSA FGD'!$D$20</f>
        <v>0</v>
      </c>
      <c r="E126" s="762">
        <f>'HSSA FGD'!$E$20</f>
        <v>0</v>
      </c>
      <c r="F126" s="762">
        <f>'HSSA FGD'!$F$20</f>
        <v>0</v>
      </c>
      <c r="G126" s="762">
        <f>'HSSA FGD'!$G$20</f>
        <v>0</v>
      </c>
      <c r="H126" s="762">
        <f>'HSSA FGD'!$H$20</f>
        <v>0</v>
      </c>
      <c r="I126" s="762">
        <f>'HSSA FGD'!$I$20</f>
        <v>0</v>
      </c>
      <c r="J126" s="762">
        <f>'HSSA FGD'!$J$20</f>
        <v>0</v>
      </c>
      <c r="K126" s="762">
        <f>'HSSA FGD'!$K$20</f>
        <v>0</v>
      </c>
      <c r="L126" s="762">
        <f>'HSSA FGD'!$L$20</f>
        <v>0</v>
      </c>
      <c r="M126" s="723">
        <f>'HSSA FGD'!$M$20</f>
        <v>0</v>
      </c>
    </row>
    <row r="127" spans="1:13" s="320" customFormat="1" ht="12.75" hidden="1" customHeight="1" outlineLevel="1">
      <c r="A127" s="322"/>
      <c r="B127" s="823" t="str">
        <f>'MBG FGD'!$B$2</f>
        <v>The University of Texas Medical Branch at Galveston</v>
      </c>
      <c r="D127" s="762">
        <f>'MBG FGD'!$D$20</f>
        <v>0</v>
      </c>
      <c r="E127" s="762">
        <f>'MBG FGD'!$E$20</f>
        <v>0</v>
      </c>
      <c r="F127" s="762">
        <f>'MBG FGD'!$F$20</f>
        <v>0</v>
      </c>
      <c r="G127" s="762">
        <f>'MBG FGD'!$G$20</f>
        <v>0</v>
      </c>
      <c r="H127" s="762">
        <f>'MBG FGD'!$H$20</f>
        <v>0</v>
      </c>
      <c r="I127" s="762">
        <f>'MBG FGD'!$I$20</f>
        <v>0</v>
      </c>
      <c r="J127" s="762">
        <f>'MBG FGD'!$J$20</f>
        <v>0</v>
      </c>
      <c r="K127" s="762">
        <f>'MBG FGD'!$K$20</f>
        <v>0</v>
      </c>
      <c r="L127" s="762">
        <f>'MBG FGD'!$L$20</f>
        <v>0</v>
      </c>
      <c r="M127" s="723">
        <f>'MBG FGD'!$M$20</f>
        <v>0</v>
      </c>
    </row>
    <row r="128" spans="1:13" s="320" customFormat="1" ht="12.75" hidden="1" customHeight="1" outlineLevel="1">
      <c r="A128" s="322"/>
      <c r="B128" s="823" t="str">
        <f>'MDA FGD'!$B$2</f>
        <v>The University of Texas M.D. Anderson Cancer Center</v>
      </c>
      <c r="D128" s="762">
        <f>'MDA FGD'!$D$20</f>
        <v>0</v>
      </c>
      <c r="E128" s="762">
        <f>'MDA FGD'!$E$20</f>
        <v>0</v>
      </c>
      <c r="F128" s="762">
        <f>'MDA FGD'!$F$20</f>
        <v>0</v>
      </c>
      <c r="G128" s="762">
        <f>'MDA FGD'!$G$20</f>
        <v>0</v>
      </c>
      <c r="H128" s="762">
        <f>'MDA FGD'!$H$20</f>
        <v>0</v>
      </c>
      <c r="I128" s="762">
        <f>'MDA FGD'!$I$20</f>
        <v>0</v>
      </c>
      <c r="J128" s="762">
        <f>'MDA FGD'!$J$20</f>
        <v>0</v>
      </c>
      <c r="K128" s="762">
        <f>'MDA FGD'!$K$20</f>
        <v>0</v>
      </c>
      <c r="L128" s="762">
        <f>'MDA FGD'!$L$20</f>
        <v>0</v>
      </c>
      <c r="M128" s="723">
        <f>'MDA FGD'!$M$20</f>
        <v>0</v>
      </c>
    </row>
    <row r="129" spans="1:13" s="320" customFormat="1" ht="12.75" hidden="1" customHeight="1" outlineLevel="1">
      <c r="A129" s="322"/>
      <c r="B129" s="823" t="str">
        <f>'RGVM FGD'!$B$2</f>
        <v>The University of Texas Rio Grande Valley Medical School (M)</v>
      </c>
      <c r="D129" s="762">
        <f>'RGVM FGD'!$D$20</f>
        <v>0</v>
      </c>
      <c r="E129" s="762">
        <f>'RGVM FGD'!$E$20</f>
        <v>0</v>
      </c>
      <c r="F129" s="762">
        <f>'RGVM FGD'!$F$20</f>
        <v>0</v>
      </c>
      <c r="G129" s="762">
        <f>'RGVM FGD'!$G$20</f>
        <v>0</v>
      </c>
      <c r="H129" s="762">
        <f>'RGVM FGD'!$H$20</f>
        <v>0</v>
      </c>
      <c r="I129" s="762">
        <f>'RGVM FGD'!$I$20</f>
        <v>0</v>
      </c>
      <c r="J129" s="762">
        <f>'RGVM FGD'!$J$20</f>
        <v>0</v>
      </c>
      <c r="K129" s="762">
        <f>'RGVM FGD'!$K$20</f>
        <v>0</v>
      </c>
      <c r="L129" s="762">
        <f>'RGVM FGD'!$L$20</f>
        <v>0</v>
      </c>
      <c r="M129" s="723">
        <f>'RGVM FGD'!$M$20</f>
        <v>0</v>
      </c>
    </row>
    <row r="130" spans="1:13" s="320" customFormat="1" ht="12.75" hidden="1" customHeight="1" outlineLevel="1">
      <c r="A130" s="322"/>
      <c r="B130" s="823" t="str">
        <f>'SWM FGD'!$B$2</f>
        <v>The University of Texas Southwestern Medical Center</v>
      </c>
      <c r="D130" s="762">
        <f>'SWM FGD'!$D$20</f>
        <v>0</v>
      </c>
      <c r="E130" s="762">
        <f>'SWM FGD'!$E$20</f>
        <v>0</v>
      </c>
      <c r="F130" s="762">
        <f>'SWM FGD'!$F$20</f>
        <v>0</v>
      </c>
      <c r="G130" s="762">
        <f>'SWM FGD'!$G$20</f>
        <v>0</v>
      </c>
      <c r="H130" s="762">
        <f>'SWM FGD'!$H$20</f>
        <v>0</v>
      </c>
      <c r="I130" s="762">
        <f>'SWM FGD'!$I$20</f>
        <v>0</v>
      </c>
      <c r="J130" s="762">
        <f>'SWM FGD'!$J$20</f>
        <v>0</v>
      </c>
      <c r="K130" s="762">
        <f>'SWM FGD'!$K$20</f>
        <v>0</v>
      </c>
      <c r="L130" s="762">
        <f>'SWM FGD'!$L$20</f>
        <v>0</v>
      </c>
      <c r="M130" s="723">
        <f>'SWM FGD'!$M$20</f>
        <v>0</v>
      </c>
    </row>
    <row r="131" spans="1:13" s="320" customFormat="1" ht="12.75" hidden="1" customHeight="1" outlineLevel="1">
      <c r="A131" s="322"/>
      <c r="B131" s="823" t="str">
        <f>'TAMHSC FGD'!$B$2</f>
        <v>Texas A&amp;M University System Health Science Center</v>
      </c>
      <c r="D131" s="762">
        <f>'TAMHSC FGD'!$D$20</f>
        <v>0</v>
      </c>
      <c r="E131" s="762">
        <f>'TAMHSC FGD'!$E$20</f>
        <v>0</v>
      </c>
      <c r="F131" s="762">
        <f>'TAMHSC FGD'!$F$20</f>
        <v>0</v>
      </c>
      <c r="G131" s="762">
        <f>'TAMHSC FGD'!$G$20</f>
        <v>0</v>
      </c>
      <c r="H131" s="762">
        <f>'TAMHSC FGD'!$H$20</f>
        <v>0</v>
      </c>
      <c r="I131" s="762">
        <f>'TAMHSC FGD'!$I$20</f>
        <v>0</v>
      </c>
      <c r="J131" s="762">
        <f>'TAMHSC FGD'!$J$20</f>
        <v>0</v>
      </c>
      <c r="K131" s="762">
        <f>'TAMHSC FGD'!$K$20</f>
        <v>0</v>
      </c>
      <c r="L131" s="762">
        <f>'TAMHSC FGD'!$L$20</f>
        <v>0</v>
      </c>
      <c r="M131" s="723">
        <f>'TAMHSC FGD'!$M$20</f>
        <v>0</v>
      </c>
    </row>
    <row r="132" spans="1:13" s="320" customFormat="1" ht="12.75" hidden="1" customHeight="1" outlineLevel="1">
      <c r="A132" s="322"/>
      <c r="B132" s="823" t="str">
        <f>'THC FGD'!$B$2</f>
        <v>The University of Texas Health Science Center at Tyler</v>
      </c>
      <c r="D132" s="762">
        <f>'THC FGD'!$D$20</f>
        <v>0</v>
      </c>
      <c r="E132" s="762">
        <f>'THC FGD'!$E$20</f>
        <v>0</v>
      </c>
      <c r="F132" s="762">
        <f>'THC FGD'!$F$20</f>
        <v>0</v>
      </c>
      <c r="G132" s="762">
        <f>'THC FGD'!$G$20</f>
        <v>0</v>
      </c>
      <c r="H132" s="762">
        <f>'THC FGD'!$H$20</f>
        <v>0</v>
      </c>
      <c r="I132" s="762">
        <f>'THC FGD'!$I$20</f>
        <v>0</v>
      </c>
      <c r="J132" s="762">
        <f>'THC FGD'!$J$20</f>
        <v>0</v>
      </c>
      <c r="K132" s="762">
        <f>'THC FGD'!$K$20</f>
        <v>0</v>
      </c>
      <c r="L132" s="762">
        <f>'THC FGD'!$L$20</f>
        <v>0</v>
      </c>
      <c r="M132" s="723">
        <f>'THC FGD'!$M$20</f>
        <v>0</v>
      </c>
    </row>
    <row r="133" spans="1:13" s="320" customFormat="1" ht="12.75" hidden="1" customHeight="1" outlineLevel="1">
      <c r="A133" s="322"/>
      <c r="B133" s="823" t="str">
        <f>'TTUHSC FGD'!$B$2</f>
        <v>Texas Tech University Health Sciences Center</v>
      </c>
      <c r="D133" s="762">
        <f>'TTUHSC FGD'!$D$20</f>
        <v>0</v>
      </c>
      <c r="E133" s="762">
        <f>'TTUHSC FGD'!$E$20</f>
        <v>0</v>
      </c>
      <c r="F133" s="762">
        <f>'TTUHSC FGD'!$F$20</f>
        <v>0</v>
      </c>
      <c r="G133" s="762">
        <f>'TTUHSC FGD'!$G$20</f>
        <v>0</v>
      </c>
      <c r="H133" s="762">
        <f>'TTUHSC FGD'!$H$20</f>
        <v>0</v>
      </c>
      <c r="I133" s="762">
        <f>'TTUHSC FGD'!$I$20</f>
        <v>0</v>
      </c>
      <c r="J133" s="762">
        <f>'TTUHSC FGD'!$J$20</f>
        <v>0</v>
      </c>
      <c r="K133" s="762">
        <f>'TTUHSC FGD'!$K$20</f>
        <v>0</v>
      </c>
      <c r="L133" s="762">
        <f>'TTUHSC FGD'!$L$20</f>
        <v>0</v>
      </c>
      <c r="M133" s="723">
        <f>'TTUHSC FGD'!$M$20</f>
        <v>0</v>
      </c>
    </row>
    <row r="134" spans="1:13" s="320" customFormat="1" ht="12.75" hidden="1" customHeight="1" outlineLevel="1">
      <c r="A134" s="322"/>
      <c r="B134" s="823" t="str">
        <f>'TTUHSCEP FGD'!$B$2</f>
        <v>Texas Tech University Health Sciences Center at El Paso</v>
      </c>
      <c r="D134" s="762">
        <f>'TTUHSCEP FGD'!$D$20</f>
        <v>0</v>
      </c>
      <c r="E134" s="762">
        <f>'TTUHSCEP FGD'!$E$20</f>
        <v>0</v>
      </c>
      <c r="F134" s="762">
        <f>'TTUHSCEP FGD'!$F$20</f>
        <v>0</v>
      </c>
      <c r="G134" s="762">
        <f>'TTUHSCEP FGD'!$G$20</f>
        <v>0</v>
      </c>
      <c r="H134" s="762">
        <f>'TTUHSCEP FGD'!$H$20</f>
        <v>0</v>
      </c>
      <c r="I134" s="762">
        <f>'TTUHSCEP FGD'!$I$20</f>
        <v>0</v>
      </c>
      <c r="J134" s="762">
        <f>'TTUHSCEP FGD'!$J$20</f>
        <v>0</v>
      </c>
      <c r="K134" s="762">
        <f>'TTUHSCEP FGD'!$K$20</f>
        <v>0</v>
      </c>
      <c r="L134" s="762">
        <f>'TTUHSCEP FGD'!$L$20</f>
        <v>0</v>
      </c>
      <c r="M134" s="723">
        <f>'TTUHSCEP FGD'!$M$20</f>
        <v>0</v>
      </c>
    </row>
    <row r="135" spans="1:13" s="320" customFormat="1" ht="12.75" hidden="1" customHeight="1" outlineLevel="1">
      <c r="A135" s="322"/>
      <c r="B135" s="823" t="str">
        <f>'UHM FGD'!$B$2</f>
        <v>University of Houston Medical School (M)</v>
      </c>
      <c r="D135" s="762">
        <f>'UHM FGD'!$D$20</f>
        <v>0</v>
      </c>
      <c r="E135" s="762">
        <f>'UHM FGD'!$E$20</f>
        <v>0</v>
      </c>
      <c r="F135" s="762">
        <f>'UHM FGD'!$F$20</f>
        <v>0</v>
      </c>
      <c r="G135" s="762">
        <f>'UHM FGD'!$G$20</f>
        <v>0</v>
      </c>
      <c r="H135" s="762">
        <f>'UHM FGD'!$H$20</f>
        <v>0</v>
      </c>
      <c r="I135" s="762">
        <f>'UHM FGD'!$I$20</f>
        <v>0</v>
      </c>
      <c r="J135" s="762">
        <f>'UHM FGD'!$J$20</f>
        <v>0</v>
      </c>
      <c r="K135" s="762">
        <f>'UHM FGD'!$K$20</f>
        <v>0</v>
      </c>
      <c r="L135" s="762">
        <f>'UHM FGD'!$L$20</f>
        <v>0</v>
      </c>
      <c r="M135" s="723">
        <f>'UHM FGD'!$M$20</f>
        <v>0</v>
      </c>
    </row>
    <row r="136" spans="1:13" s="320" customFormat="1" ht="12.75" hidden="1" customHeight="1" outlineLevel="1">
      <c r="A136" s="322"/>
      <c r="B136" s="823" t="str">
        <f>'UNTHSC1 FGD'!$B$2</f>
        <v>University of North Texas Health Science Center at Fort Worth (Public Medical)</v>
      </c>
      <c r="D136" s="762">
        <f>'UNTHSC1 FGD'!$D$20</f>
        <v>-1658001</v>
      </c>
      <c r="E136" s="762">
        <f>'UNTHSC1 FGD'!$E$20</f>
        <v>-546181</v>
      </c>
      <c r="F136" s="762">
        <f>'UNTHSC1 FGD'!$F$20</f>
        <v>0</v>
      </c>
      <c r="G136" s="762">
        <f>'UNTHSC1 FGD'!$G$20</f>
        <v>0</v>
      </c>
      <c r="H136" s="762">
        <f>'UNTHSC1 FGD'!$H$20</f>
        <v>0</v>
      </c>
      <c r="I136" s="762">
        <f>'UNTHSC1 FGD'!$I$20</f>
        <v>0</v>
      </c>
      <c r="J136" s="762">
        <f>'UNTHSC1 FGD'!$J$20</f>
        <v>0</v>
      </c>
      <c r="K136" s="762">
        <f>'UNTHSC1 FGD'!$K$20</f>
        <v>0</v>
      </c>
      <c r="L136" s="762">
        <f>'UNTHSC1 FGD'!$L$20</f>
        <v>0</v>
      </c>
      <c r="M136" s="723">
        <f>'UNTHSC1 FGD'!$M$20</f>
        <v>-2204182</v>
      </c>
    </row>
    <row r="137" spans="1:13" s="320" customFormat="1" ht="12.75" customHeight="1" collapsed="1">
      <c r="A137" s="322"/>
      <c r="B137" s="320" t="s">
        <v>593</v>
      </c>
      <c r="D137" s="762">
        <f t="shared" ref="D137:M137" si="8">SUM(D124:D136)</f>
        <v>-1658001</v>
      </c>
      <c r="E137" s="762">
        <f t="shared" si="8"/>
        <v>-546181</v>
      </c>
      <c r="F137" s="762">
        <f t="shared" si="8"/>
        <v>0</v>
      </c>
      <c r="G137" s="762">
        <f t="shared" si="8"/>
        <v>0</v>
      </c>
      <c r="H137" s="762">
        <f t="shared" si="8"/>
        <v>0</v>
      </c>
      <c r="I137" s="762">
        <f t="shared" si="8"/>
        <v>0</v>
      </c>
      <c r="J137" s="762">
        <f t="shared" si="8"/>
        <v>0</v>
      </c>
      <c r="K137" s="762">
        <f t="shared" si="8"/>
        <v>0</v>
      </c>
      <c r="L137" s="762">
        <f t="shared" si="8"/>
        <v>0</v>
      </c>
      <c r="M137" s="723">
        <f t="shared" si="8"/>
        <v>-2204182</v>
      </c>
    </row>
    <row r="138" spans="1:13" s="320" customFormat="1" ht="12.75" hidden="1" customHeight="1" outlineLevel="1">
      <c r="A138" s="322"/>
      <c r="B138" s="823" t="str">
        <f>'AUSM FGD'!$B$2</f>
        <v>The University of Texas at Austin Medical School (M)</v>
      </c>
      <c r="D138" s="762">
        <f>'AUSM FGD'!$D$21</f>
        <v>0</v>
      </c>
      <c r="E138" s="762">
        <f>'AUSM FGD'!$E$21</f>
        <v>0</v>
      </c>
      <c r="F138" s="762">
        <f>'AUSM FGD'!$F$21</f>
        <v>0</v>
      </c>
      <c r="G138" s="762">
        <f>'AUSM FGD'!$G$21</f>
        <v>0</v>
      </c>
      <c r="H138" s="762">
        <f>'AUSM FGD'!$H$21</f>
        <v>0</v>
      </c>
      <c r="I138" s="762">
        <f>'AUSM FGD'!$I$21</f>
        <v>0</v>
      </c>
      <c r="J138" s="762">
        <f>'AUSM FGD'!$J$21</f>
        <v>0</v>
      </c>
      <c r="K138" s="762">
        <f>'AUSM FGD'!$K$21</f>
        <v>0</v>
      </c>
      <c r="L138" s="762">
        <f>'AUSM FGD'!$L$21</f>
        <v>0</v>
      </c>
      <c r="M138" s="723">
        <f>'AUSM FGD'!$M$21</f>
        <v>0</v>
      </c>
    </row>
    <row r="139" spans="1:13" s="320" customFormat="1" ht="12.75" hidden="1" customHeight="1" outlineLevel="1">
      <c r="A139" s="322"/>
      <c r="B139" s="823" t="str">
        <f>'HSH FGD'!$B$2</f>
        <v>The University of Texas Health Science Center at Houston</v>
      </c>
      <c r="D139" s="762">
        <f>'HSH FGD'!$D$21</f>
        <v>0</v>
      </c>
      <c r="E139" s="762">
        <f>'HSH FGD'!$E$21</f>
        <v>0</v>
      </c>
      <c r="F139" s="762">
        <f>'HSH FGD'!$F$21</f>
        <v>0</v>
      </c>
      <c r="G139" s="762">
        <f>'HSH FGD'!$G$21</f>
        <v>0</v>
      </c>
      <c r="H139" s="762">
        <f>'HSH FGD'!$H$21</f>
        <v>0</v>
      </c>
      <c r="I139" s="762">
        <f>'HSH FGD'!$I$21</f>
        <v>0</v>
      </c>
      <c r="J139" s="762">
        <f>'HSH FGD'!$J$21</f>
        <v>0</v>
      </c>
      <c r="K139" s="762">
        <f>'HSH FGD'!$K$21</f>
        <v>0</v>
      </c>
      <c r="L139" s="762">
        <f>'HSH FGD'!$L$21</f>
        <v>0</v>
      </c>
      <c r="M139" s="723">
        <f>'HSH FGD'!$M$21</f>
        <v>0</v>
      </c>
    </row>
    <row r="140" spans="1:13" s="320" customFormat="1" ht="12.75" hidden="1" customHeight="1" outlineLevel="1">
      <c r="A140" s="322"/>
      <c r="B140" s="823" t="str">
        <f>'HSSA FGD'!$B$2</f>
        <v>The University of Texas Health Science Center at San Antonio</v>
      </c>
      <c r="D140" s="762">
        <f>'HSSA FGD'!$D$21</f>
        <v>0</v>
      </c>
      <c r="E140" s="762">
        <f>'HSSA FGD'!$E$21</f>
        <v>0</v>
      </c>
      <c r="F140" s="762">
        <f>'HSSA FGD'!$F$21</f>
        <v>0</v>
      </c>
      <c r="G140" s="762">
        <f>'HSSA FGD'!$G$21</f>
        <v>0</v>
      </c>
      <c r="H140" s="762">
        <f>'HSSA FGD'!$H$21</f>
        <v>0</v>
      </c>
      <c r="I140" s="762">
        <f>'HSSA FGD'!$I$21</f>
        <v>0</v>
      </c>
      <c r="J140" s="762">
        <f>'HSSA FGD'!$J$21</f>
        <v>0</v>
      </c>
      <c r="K140" s="762">
        <f>'HSSA FGD'!$K$21</f>
        <v>0</v>
      </c>
      <c r="L140" s="762">
        <f>'HSSA FGD'!$L$21</f>
        <v>0</v>
      </c>
      <c r="M140" s="723">
        <f>'HSSA FGD'!$M$21</f>
        <v>0</v>
      </c>
    </row>
    <row r="141" spans="1:13" s="320" customFormat="1" ht="12.75" hidden="1" customHeight="1" outlineLevel="1">
      <c r="A141" s="322"/>
      <c r="B141" s="823" t="str">
        <f>'MBG FGD'!$B$2</f>
        <v>The University of Texas Medical Branch at Galveston</v>
      </c>
      <c r="D141" s="762">
        <f>'MBG FGD'!$D$21</f>
        <v>0</v>
      </c>
      <c r="E141" s="762">
        <f>'MBG FGD'!$E$21</f>
        <v>0</v>
      </c>
      <c r="F141" s="762">
        <f>'MBG FGD'!$F$21</f>
        <v>0</v>
      </c>
      <c r="G141" s="762">
        <f>'MBG FGD'!$G$21</f>
        <v>0</v>
      </c>
      <c r="H141" s="762">
        <f>'MBG FGD'!$H$21</f>
        <v>0</v>
      </c>
      <c r="I141" s="762">
        <f>'MBG FGD'!$I$21</f>
        <v>0</v>
      </c>
      <c r="J141" s="762">
        <f>'MBG FGD'!$J$21</f>
        <v>0</v>
      </c>
      <c r="K141" s="762">
        <f>'MBG FGD'!$K$21</f>
        <v>0</v>
      </c>
      <c r="L141" s="762">
        <f>'MBG FGD'!$L$21</f>
        <v>0</v>
      </c>
      <c r="M141" s="723">
        <f>'MBG FGD'!$M$21</f>
        <v>0</v>
      </c>
    </row>
    <row r="142" spans="1:13" s="320" customFormat="1" ht="12.75" hidden="1" customHeight="1" outlineLevel="1">
      <c r="A142" s="322"/>
      <c r="B142" s="823" t="str">
        <f>'MDA FGD'!$B$2</f>
        <v>The University of Texas M.D. Anderson Cancer Center</v>
      </c>
      <c r="D142" s="762">
        <f>'MDA FGD'!$D$21</f>
        <v>0</v>
      </c>
      <c r="E142" s="762">
        <f>'MDA FGD'!$E$21</f>
        <v>0</v>
      </c>
      <c r="F142" s="762">
        <f>'MDA FGD'!$F$21</f>
        <v>0</v>
      </c>
      <c r="G142" s="762">
        <f>'MDA FGD'!$G$21</f>
        <v>0</v>
      </c>
      <c r="H142" s="762">
        <f>'MDA FGD'!$H$21</f>
        <v>0</v>
      </c>
      <c r="I142" s="762">
        <f>'MDA FGD'!$I$21</f>
        <v>0</v>
      </c>
      <c r="J142" s="762">
        <f>'MDA FGD'!$J$21</f>
        <v>0</v>
      </c>
      <c r="K142" s="762">
        <f>'MDA FGD'!$K$21</f>
        <v>0</v>
      </c>
      <c r="L142" s="762">
        <f>'MDA FGD'!$L$21</f>
        <v>0</v>
      </c>
      <c r="M142" s="723">
        <f>'MDA FGD'!$M$21</f>
        <v>0</v>
      </c>
    </row>
    <row r="143" spans="1:13" s="320" customFormat="1" ht="12.75" hidden="1" customHeight="1" outlineLevel="1">
      <c r="A143" s="322"/>
      <c r="B143" s="823" t="str">
        <f>'RGVM FGD'!$B$2</f>
        <v>The University of Texas Rio Grande Valley Medical School (M)</v>
      </c>
      <c r="D143" s="762">
        <f>'RGVM FGD'!$D$21</f>
        <v>0</v>
      </c>
      <c r="E143" s="762">
        <f>'RGVM FGD'!$E$21</f>
        <v>0</v>
      </c>
      <c r="F143" s="762">
        <f>'RGVM FGD'!$F$21</f>
        <v>0</v>
      </c>
      <c r="G143" s="762">
        <f>'RGVM FGD'!$G$21</f>
        <v>0</v>
      </c>
      <c r="H143" s="762">
        <f>'RGVM FGD'!$H$21</f>
        <v>0</v>
      </c>
      <c r="I143" s="762">
        <f>'RGVM FGD'!$I$21</f>
        <v>0</v>
      </c>
      <c r="J143" s="762">
        <f>'RGVM FGD'!$J$21</f>
        <v>0</v>
      </c>
      <c r="K143" s="762">
        <f>'RGVM FGD'!$K$21</f>
        <v>0</v>
      </c>
      <c r="L143" s="762">
        <f>'RGVM FGD'!$L$21</f>
        <v>0</v>
      </c>
      <c r="M143" s="723">
        <f>'RGVM FGD'!$M$21</f>
        <v>0</v>
      </c>
    </row>
    <row r="144" spans="1:13" s="320" customFormat="1" ht="12.75" hidden="1" customHeight="1" outlineLevel="1">
      <c r="A144" s="322"/>
      <c r="B144" s="823" t="str">
        <f>'SWM FGD'!$B$2</f>
        <v>The University of Texas Southwestern Medical Center</v>
      </c>
      <c r="D144" s="762">
        <f>'SWM FGD'!$D$21</f>
        <v>0</v>
      </c>
      <c r="E144" s="762">
        <f>'SWM FGD'!$E$21</f>
        <v>0</v>
      </c>
      <c r="F144" s="762">
        <f>'SWM FGD'!$F$21</f>
        <v>0</v>
      </c>
      <c r="G144" s="762">
        <f>'SWM FGD'!$G$21</f>
        <v>0</v>
      </c>
      <c r="H144" s="762">
        <f>'SWM FGD'!$H$21</f>
        <v>0</v>
      </c>
      <c r="I144" s="762">
        <f>'SWM FGD'!$I$21</f>
        <v>0</v>
      </c>
      <c r="J144" s="762">
        <f>'SWM FGD'!$J$21</f>
        <v>0</v>
      </c>
      <c r="K144" s="762">
        <f>'SWM FGD'!$K$21</f>
        <v>0</v>
      </c>
      <c r="L144" s="762">
        <f>'SWM FGD'!$L$21</f>
        <v>0</v>
      </c>
      <c r="M144" s="723">
        <f>'SWM FGD'!$M$21</f>
        <v>0</v>
      </c>
    </row>
    <row r="145" spans="1:13" s="320" customFormat="1" ht="12.75" hidden="1" customHeight="1" outlineLevel="1">
      <c r="A145" s="322"/>
      <c r="B145" s="823" t="str">
        <f>'TAMHSC FGD'!$B$2</f>
        <v>Texas A&amp;M University System Health Science Center</v>
      </c>
      <c r="D145" s="762">
        <f>'TAMHSC FGD'!$D$21</f>
        <v>0</v>
      </c>
      <c r="E145" s="762">
        <f>'TAMHSC FGD'!$E$21</f>
        <v>0</v>
      </c>
      <c r="F145" s="762">
        <f>'TAMHSC FGD'!$F$21</f>
        <v>0</v>
      </c>
      <c r="G145" s="762">
        <f>'TAMHSC FGD'!$G$21</f>
        <v>0</v>
      </c>
      <c r="H145" s="762">
        <f>'TAMHSC FGD'!$H$21</f>
        <v>0</v>
      </c>
      <c r="I145" s="762">
        <f>'TAMHSC FGD'!$I$21</f>
        <v>0</v>
      </c>
      <c r="J145" s="762">
        <f>'TAMHSC FGD'!$J$21</f>
        <v>0</v>
      </c>
      <c r="K145" s="762">
        <f>'TAMHSC FGD'!$K$21</f>
        <v>0</v>
      </c>
      <c r="L145" s="762">
        <f>'TAMHSC FGD'!$L$21</f>
        <v>0</v>
      </c>
      <c r="M145" s="723">
        <f>'TAMHSC FGD'!$M$21</f>
        <v>0</v>
      </c>
    </row>
    <row r="146" spans="1:13" s="320" customFormat="1" ht="12.75" hidden="1" customHeight="1" outlineLevel="1">
      <c r="A146" s="322"/>
      <c r="B146" s="823" t="str">
        <f>'THC FGD'!$B$2</f>
        <v>The University of Texas Health Science Center at Tyler</v>
      </c>
      <c r="D146" s="762">
        <f>'THC FGD'!$D$21</f>
        <v>0</v>
      </c>
      <c r="E146" s="762">
        <f>'THC FGD'!$E$21</f>
        <v>0</v>
      </c>
      <c r="F146" s="762">
        <f>'THC FGD'!$F$21</f>
        <v>0</v>
      </c>
      <c r="G146" s="762">
        <f>'THC FGD'!$G$21</f>
        <v>0</v>
      </c>
      <c r="H146" s="762">
        <f>'THC FGD'!$H$21</f>
        <v>0</v>
      </c>
      <c r="I146" s="762">
        <f>'THC FGD'!$I$21</f>
        <v>0</v>
      </c>
      <c r="J146" s="762">
        <f>'THC FGD'!$J$21</f>
        <v>0</v>
      </c>
      <c r="K146" s="762">
        <f>'THC FGD'!$K$21</f>
        <v>0</v>
      </c>
      <c r="L146" s="762">
        <f>'THC FGD'!$L$21</f>
        <v>0</v>
      </c>
      <c r="M146" s="723">
        <f>'THC FGD'!$M$21</f>
        <v>0</v>
      </c>
    </row>
    <row r="147" spans="1:13" s="320" customFormat="1" ht="12.75" hidden="1" customHeight="1" outlineLevel="1">
      <c r="A147" s="322"/>
      <c r="B147" s="823" t="str">
        <f>'TTUHSC FGD'!$B$2</f>
        <v>Texas Tech University Health Sciences Center</v>
      </c>
      <c r="D147" s="762">
        <f>'TTUHSC FGD'!$D$21</f>
        <v>0</v>
      </c>
      <c r="E147" s="762">
        <f>'TTUHSC FGD'!$E$21</f>
        <v>0</v>
      </c>
      <c r="F147" s="762">
        <f>'TTUHSC FGD'!$F$21</f>
        <v>0</v>
      </c>
      <c r="G147" s="762">
        <f>'TTUHSC FGD'!$G$21</f>
        <v>0</v>
      </c>
      <c r="H147" s="762">
        <f>'TTUHSC FGD'!$H$21</f>
        <v>0</v>
      </c>
      <c r="I147" s="762">
        <f>'TTUHSC FGD'!$I$21</f>
        <v>0</v>
      </c>
      <c r="J147" s="762">
        <f>'TTUHSC FGD'!$J$21</f>
        <v>0</v>
      </c>
      <c r="K147" s="762">
        <f>'TTUHSC FGD'!$K$21</f>
        <v>0</v>
      </c>
      <c r="L147" s="762">
        <f>'TTUHSC FGD'!$L$21</f>
        <v>0</v>
      </c>
      <c r="M147" s="723">
        <f>'TTUHSC FGD'!$M$21</f>
        <v>0</v>
      </c>
    </row>
    <row r="148" spans="1:13" s="320" customFormat="1" ht="12.75" hidden="1" customHeight="1" outlineLevel="1">
      <c r="A148" s="322"/>
      <c r="B148" s="823" t="str">
        <f>'TTUHSCEP FGD'!$B$2</f>
        <v>Texas Tech University Health Sciences Center at El Paso</v>
      </c>
      <c r="D148" s="762">
        <f>'TTUHSCEP FGD'!$D$21</f>
        <v>0</v>
      </c>
      <c r="E148" s="762">
        <f>'TTUHSCEP FGD'!$E$21</f>
        <v>0</v>
      </c>
      <c r="F148" s="762">
        <f>'TTUHSCEP FGD'!$F$21</f>
        <v>0</v>
      </c>
      <c r="G148" s="762">
        <f>'TTUHSCEP FGD'!$G$21</f>
        <v>0</v>
      </c>
      <c r="H148" s="762">
        <f>'TTUHSCEP FGD'!$H$21</f>
        <v>0</v>
      </c>
      <c r="I148" s="762">
        <f>'TTUHSCEP FGD'!$I$21</f>
        <v>0</v>
      </c>
      <c r="J148" s="762">
        <f>'TTUHSCEP FGD'!$J$21</f>
        <v>0</v>
      </c>
      <c r="K148" s="762">
        <f>'TTUHSCEP FGD'!$K$21</f>
        <v>0</v>
      </c>
      <c r="L148" s="762">
        <f>'TTUHSCEP FGD'!$L$21</f>
        <v>0</v>
      </c>
      <c r="M148" s="723">
        <f>'TTUHSCEP FGD'!$M$21</f>
        <v>0</v>
      </c>
    </row>
    <row r="149" spans="1:13" s="320" customFormat="1" ht="12.75" hidden="1" customHeight="1" outlineLevel="1">
      <c r="A149" s="322"/>
      <c r="B149" s="823" t="str">
        <f>'UHM FGD'!$B$2</f>
        <v>University of Houston Medical School (M)</v>
      </c>
      <c r="D149" s="762">
        <f>'UHM FGD'!$D$21</f>
        <v>0</v>
      </c>
      <c r="E149" s="762">
        <f>'UHM FGD'!$E$21</f>
        <v>0</v>
      </c>
      <c r="F149" s="762">
        <f>'UHM FGD'!$F$21</f>
        <v>0</v>
      </c>
      <c r="G149" s="762">
        <f>'UHM FGD'!$G$21</f>
        <v>0</v>
      </c>
      <c r="H149" s="762">
        <f>'UHM FGD'!$H$21</f>
        <v>0</v>
      </c>
      <c r="I149" s="762">
        <f>'UHM FGD'!$I$21</f>
        <v>0</v>
      </c>
      <c r="J149" s="762">
        <f>'UHM FGD'!$J$21</f>
        <v>0</v>
      </c>
      <c r="K149" s="762">
        <f>'UHM FGD'!$K$21</f>
        <v>0</v>
      </c>
      <c r="L149" s="762">
        <f>'UHM FGD'!$L$21</f>
        <v>0</v>
      </c>
      <c r="M149" s="723">
        <f>'UHM FGD'!$M$21</f>
        <v>0</v>
      </c>
    </row>
    <row r="150" spans="1:13" s="320" customFormat="1" ht="12.75" hidden="1" customHeight="1" outlineLevel="1">
      <c r="A150" s="322"/>
      <c r="B150" s="823" t="str">
        <f>'UNTHSC1 FGD'!$B$2</f>
        <v>University of North Texas Health Science Center at Fort Worth (Public Medical)</v>
      </c>
      <c r="D150" s="762">
        <f>'UNTHSC1 FGD'!$D$21</f>
        <v>0</v>
      </c>
      <c r="E150" s="762">
        <f>'UNTHSC1 FGD'!$E$21</f>
        <v>0</v>
      </c>
      <c r="F150" s="762">
        <f>'UNTHSC1 FGD'!$F$21</f>
        <v>0</v>
      </c>
      <c r="G150" s="762">
        <f>'UNTHSC1 FGD'!$G$21</f>
        <v>0</v>
      </c>
      <c r="H150" s="762">
        <f>'UNTHSC1 FGD'!$H$21</f>
        <v>0</v>
      </c>
      <c r="I150" s="762">
        <f>'UNTHSC1 FGD'!$I$21</f>
        <v>0</v>
      </c>
      <c r="J150" s="762">
        <f>'UNTHSC1 FGD'!$J$21</f>
        <v>0</v>
      </c>
      <c r="K150" s="762">
        <f>'UNTHSC1 FGD'!$K$21</f>
        <v>0</v>
      </c>
      <c r="L150" s="762">
        <f>'UNTHSC1 FGD'!$L$21</f>
        <v>0</v>
      </c>
      <c r="M150" s="723">
        <f>'UNTHSC1 FGD'!$M$21</f>
        <v>0</v>
      </c>
    </row>
    <row r="151" spans="1:13" s="320" customFormat="1" collapsed="1">
      <c r="A151" s="322"/>
      <c r="B151" s="320" t="s">
        <v>594</v>
      </c>
      <c r="D151" s="762">
        <f t="shared" ref="D151:M151" si="9">SUM(D138:D150)</f>
        <v>0</v>
      </c>
      <c r="E151" s="762">
        <f t="shared" si="9"/>
        <v>0</v>
      </c>
      <c r="F151" s="762">
        <f t="shared" si="9"/>
        <v>0</v>
      </c>
      <c r="G151" s="762">
        <f t="shared" si="9"/>
        <v>0</v>
      </c>
      <c r="H151" s="762">
        <f t="shared" si="9"/>
        <v>0</v>
      </c>
      <c r="I151" s="762">
        <f t="shared" si="9"/>
        <v>0</v>
      </c>
      <c r="J151" s="762">
        <f t="shared" si="9"/>
        <v>0</v>
      </c>
      <c r="K151" s="762">
        <f t="shared" si="9"/>
        <v>0</v>
      </c>
      <c r="L151" s="762">
        <f t="shared" si="9"/>
        <v>0</v>
      </c>
      <c r="M151" s="723">
        <f t="shared" si="9"/>
        <v>0</v>
      </c>
    </row>
    <row r="152" spans="1:13" s="320" customFormat="1" hidden="1" outlineLevel="1">
      <c r="A152" s="322"/>
      <c r="B152" s="823" t="str">
        <f>'AUSM FGD'!$B$2</f>
        <v>The University of Texas at Austin Medical School (M)</v>
      </c>
      <c r="D152" s="762">
        <f>'AUSM FGD'!$D$22</f>
        <v>0</v>
      </c>
      <c r="E152" s="762">
        <f>'AUSM FGD'!$E$22</f>
        <v>0</v>
      </c>
      <c r="F152" s="762">
        <f>'AUSM FGD'!$F$22</f>
        <v>0</v>
      </c>
      <c r="G152" s="762">
        <f>'AUSM FGD'!$G$22</f>
        <v>0</v>
      </c>
      <c r="H152" s="762">
        <f>'AUSM FGD'!$H$22</f>
        <v>0</v>
      </c>
      <c r="I152" s="762">
        <f>'AUSM FGD'!$I$22</f>
        <v>0</v>
      </c>
      <c r="J152" s="762">
        <f>'AUSM FGD'!$J$22</f>
        <v>0</v>
      </c>
      <c r="K152" s="762">
        <f>'AUSM FGD'!$K$22</f>
        <v>0</v>
      </c>
      <c r="L152" s="762">
        <f>'AUSM FGD'!$L$22</f>
        <v>0</v>
      </c>
      <c r="M152" s="723">
        <f>'AUSM FGD'!$M$22</f>
        <v>0</v>
      </c>
    </row>
    <row r="153" spans="1:13" s="320" customFormat="1" hidden="1" outlineLevel="1">
      <c r="A153" s="322"/>
      <c r="B153" s="823" t="str">
        <f>'HSH FGD'!$B$2</f>
        <v>The University of Texas Health Science Center at Houston</v>
      </c>
      <c r="D153" s="762">
        <f>'HSH FGD'!$D$22</f>
        <v>0</v>
      </c>
      <c r="E153" s="762">
        <f>'HSH FGD'!$E$22</f>
        <v>0</v>
      </c>
      <c r="F153" s="762">
        <f>'HSH FGD'!$F$22</f>
        <v>0</v>
      </c>
      <c r="G153" s="762">
        <f>'HSH FGD'!$G$22</f>
        <v>0</v>
      </c>
      <c r="H153" s="762">
        <f>'HSH FGD'!$H$22</f>
        <v>0</v>
      </c>
      <c r="I153" s="762">
        <f>'HSH FGD'!$I$22</f>
        <v>0</v>
      </c>
      <c r="J153" s="762">
        <f>'HSH FGD'!$J$22</f>
        <v>0</v>
      </c>
      <c r="K153" s="762">
        <f>'HSH FGD'!$K$22</f>
        <v>0</v>
      </c>
      <c r="L153" s="762">
        <f>'HSH FGD'!$L$22</f>
        <v>0</v>
      </c>
      <c r="M153" s="723">
        <f>'HSH FGD'!$M$22</f>
        <v>0</v>
      </c>
    </row>
    <row r="154" spans="1:13" s="320" customFormat="1" hidden="1" outlineLevel="1">
      <c r="A154" s="322"/>
      <c r="B154" s="823" t="str">
        <f>'HSSA FGD'!$B$2</f>
        <v>The University of Texas Health Science Center at San Antonio</v>
      </c>
      <c r="D154" s="762">
        <f>'HSSA FGD'!$D$22</f>
        <v>0</v>
      </c>
      <c r="E154" s="762">
        <f>'HSSA FGD'!$E$22</f>
        <v>0</v>
      </c>
      <c r="F154" s="762">
        <f>'HSSA FGD'!$F$22</f>
        <v>0</v>
      </c>
      <c r="G154" s="762">
        <f>'HSSA FGD'!$G$22</f>
        <v>0</v>
      </c>
      <c r="H154" s="762">
        <f>'HSSA FGD'!$H$22</f>
        <v>0</v>
      </c>
      <c r="I154" s="762">
        <f>'HSSA FGD'!$I$22</f>
        <v>0</v>
      </c>
      <c r="J154" s="762">
        <f>'HSSA FGD'!$J$22</f>
        <v>0</v>
      </c>
      <c r="K154" s="762">
        <f>'HSSA FGD'!$K$22</f>
        <v>0</v>
      </c>
      <c r="L154" s="762">
        <f>'HSSA FGD'!$L$22</f>
        <v>0</v>
      </c>
      <c r="M154" s="723">
        <f>'HSSA FGD'!$M$22</f>
        <v>0</v>
      </c>
    </row>
    <row r="155" spans="1:13" s="320" customFormat="1" hidden="1" outlineLevel="1">
      <c r="A155" s="322"/>
      <c r="B155" s="823" t="str">
        <f>'MBG FGD'!$B$2</f>
        <v>The University of Texas Medical Branch at Galveston</v>
      </c>
      <c r="D155" s="762">
        <f>'MBG FGD'!$D$22</f>
        <v>0</v>
      </c>
      <c r="E155" s="762">
        <f>'MBG FGD'!$E$22</f>
        <v>0</v>
      </c>
      <c r="F155" s="762">
        <f>'MBG FGD'!$F$22</f>
        <v>0</v>
      </c>
      <c r="G155" s="762">
        <f>'MBG FGD'!$G$22</f>
        <v>0</v>
      </c>
      <c r="H155" s="762">
        <f>'MBG FGD'!$H$22</f>
        <v>0</v>
      </c>
      <c r="I155" s="762">
        <f>'MBG FGD'!$I$22</f>
        <v>0</v>
      </c>
      <c r="J155" s="762">
        <f>'MBG FGD'!$J$22</f>
        <v>0</v>
      </c>
      <c r="K155" s="762">
        <f>'MBG FGD'!$K$22</f>
        <v>0</v>
      </c>
      <c r="L155" s="762">
        <f>'MBG FGD'!$L$22</f>
        <v>0</v>
      </c>
      <c r="M155" s="723">
        <f>'MBG FGD'!$M$22</f>
        <v>0</v>
      </c>
    </row>
    <row r="156" spans="1:13" s="320" customFormat="1" hidden="1" outlineLevel="1">
      <c r="A156" s="322"/>
      <c r="B156" s="823" t="str">
        <f>'MDA FGD'!$B$2</f>
        <v>The University of Texas M.D. Anderson Cancer Center</v>
      </c>
      <c r="D156" s="762">
        <f>'MDA FGD'!$D$22</f>
        <v>0</v>
      </c>
      <c r="E156" s="762">
        <f>'MDA FGD'!$E$22</f>
        <v>0</v>
      </c>
      <c r="F156" s="762">
        <f>'MDA FGD'!$F$22</f>
        <v>0</v>
      </c>
      <c r="G156" s="762">
        <f>'MDA FGD'!$G$22</f>
        <v>0</v>
      </c>
      <c r="H156" s="762">
        <f>'MDA FGD'!$H$22</f>
        <v>0</v>
      </c>
      <c r="I156" s="762">
        <f>'MDA FGD'!$I$22</f>
        <v>0</v>
      </c>
      <c r="J156" s="762">
        <f>'MDA FGD'!$J$22</f>
        <v>0</v>
      </c>
      <c r="K156" s="762">
        <f>'MDA FGD'!$K$22</f>
        <v>0</v>
      </c>
      <c r="L156" s="762">
        <f>'MDA FGD'!$L$22</f>
        <v>0</v>
      </c>
      <c r="M156" s="723">
        <f>'MDA FGD'!$M$22</f>
        <v>0</v>
      </c>
    </row>
    <row r="157" spans="1:13" s="320" customFormat="1" hidden="1" outlineLevel="1">
      <c r="A157" s="322"/>
      <c r="B157" s="823" t="str">
        <f>'RGVM FGD'!$B$2</f>
        <v>The University of Texas Rio Grande Valley Medical School (M)</v>
      </c>
      <c r="D157" s="762">
        <f>'RGVM FGD'!$D$22</f>
        <v>0</v>
      </c>
      <c r="E157" s="762">
        <f>'RGVM FGD'!$E$22</f>
        <v>0</v>
      </c>
      <c r="F157" s="762">
        <f>'RGVM FGD'!$F$22</f>
        <v>0</v>
      </c>
      <c r="G157" s="762">
        <f>'RGVM FGD'!$G$22</f>
        <v>0</v>
      </c>
      <c r="H157" s="762">
        <f>'RGVM FGD'!$H$22</f>
        <v>0</v>
      </c>
      <c r="I157" s="762">
        <f>'RGVM FGD'!$I$22</f>
        <v>0</v>
      </c>
      <c r="J157" s="762">
        <f>'RGVM FGD'!$J$22</f>
        <v>0</v>
      </c>
      <c r="K157" s="762">
        <f>'RGVM FGD'!$K$22</f>
        <v>0</v>
      </c>
      <c r="L157" s="762">
        <f>'RGVM FGD'!$L$22</f>
        <v>0</v>
      </c>
      <c r="M157" s="723">
        <f>'RGVM FGD'!$M$22</f>
        <v>0</v>
      </c>
    </row>
    <row r="158" spans="1:13" s="320" customFormat="1" hidden="1" outlineLevel="1">
      <c r="A158" s="322"/>
      <c r="B158" s="823" t="str">
        <f>'SWM FGD'!$B$2</f>
        <v>The University of Texas Southwestern Medical Center</v>
      </c>
      <c r="D158" s="762">
        <f>'SWM FGD'!$D$22</f>
        <v>0</v>
      </c>
      <c r="E158" s="762">
        <f>'SWM FGD'!$E$22</f>
        <v>0</v>
      </c>
      <c r="F158" s="762">
        <f>'SWM FGD'!$F$22</f>
        <v>0</v>
      </c>
      <c r="G158" s="762">
        <f>'SWM FGD'!$G$22</f>
        <v>0</v>
      </c>
      <c r="H158" s="762">
        <f>'SWM FGD'!$H$22</f>
        <v>0</v>
      </c>
      <c r="I158" s="762">
        <f>'SWM FGD'!$I$22</f>
        <v>0</v>
      </c>
      <c r="J158" s="762">
        <f>'SWM FGD'!$J$22</f>
        <v>0</v>
      </c>
      <c r="K158" s="762">
        <f>'SWM FGD'!$K$22</f>
        <v>0</v>
      </c>
      <c r="L158" s="762">
        <f>'SWM FGD'!$L$22</f>
        <v>0</v>
      </c>
      <c r="M158" s="723">
        <f>'SWM FGD'!$M$22</f>
        <v>0</v>
      </c>
    </row>
    <row r="159" spans="1:13" s="320" customFormat="1" hidden="1" outlineLevel="1">
      <c r="A159" s="322"/>
      <c r="B159" s="823" t="str">
        <f>'TAMHSC FGD'!$B$2</f>
        <v>Texas A&amp;M University System Health Science Center</v>
      </c>
      <c r="D159" s="762">
        <f>'TAMHSC FGD'!$D$22</f>
        <v>0</v>
      </c>
      <c r="E159" s="762">
        <f>'TAMHSC FGD'!$E$22</f>
        <v>0</v>
      </c>
      <c r="F159" s="762">
        <f>'TAMHSC FGD'!$F$22</f>
        <v>0</v>
      </c>
      <c r="G159" s="762">
        <f>'TAMHSC FGD'!$G$22</f>
        <v>0</v>
      </c>
      <c r="H159" s="762">
        <f>'TAMHSC FGD'!$H$22</f>
        <v>0</v>
      </c>
      <c r="I159" s="762">
        <f>'TAMHSC FGD'!$I$22</f>
        <v>0</v>
      </c>
      <c r="J159" s="762">
        <f>'TAMHSC FGD'!$J$22</f>
        <v>0</v>
      </c>
      <c r="K159" s="762">
        <f>'TAMHSC FGD'!$K$22</f>
        <v>0</v>
      </c>
      <c r="L159" s="762">
        <f>'TAMHSC FGD'!$L$22</f>
        <v>0</v>
      </c>
      <c r="M159" s="723">
        <f>'TAMHSC FGD'!$M$22</f>
        <v>0</v>
      </c>
    </row>
    <row r="160" spans="1:13" s="320" customFormat="1" hidden="1" outlineLevel="1">
      <c r="A160" s="322"/>
      <c r="B160" s="823" t="str">
        <f>'THC FGD'!$B$2</f>
        <v>The University of Texas Health Science Center at Tyler</v>
      </c>
      <c r="D160" s="762">
        <f>'THC FGD'!$D$22</f>
        <v>0</v>
      </c>
      <c r="E160" s="762">
        <f>'THC FGD'!$E$22</f>
        <v>0</v>
      </c>
      <c r="F160" s="762">
        <f>'THC FGD'!$F$22</f>
        <v>0</v>
      </c>
      <c r="G160" s="762">
        <f>'THC FGD'!$G$22</f>
        <v>0</v>
      </c>
      <c r="H160" s="762">
        <f>'THC FGD'!$H$22</f>
        <v>0</v>
      </c>
      <c r="I160" s="762">
        <f>'THC FGD'!$I$22</f>
        <v>0</v>
      </c>
      <c r="J160" s="762">
        <f>'THC FGD'!$J$22</f>
        <v>0</v>
      </c>
      <c r="K160" s="762">
        <f>'THC FGD'!$K$22</f>
        <v>0</v>
      </c>
      <c r="L160" s="762">
        <f>'THC FGD'!$L$22</f>
        <v>0</v>
      </c>
      <c r="M160" s="723">
        <f>'THC FGD'!$M$22</f>
        <v>0</v>
      </c>
    </row>
    <row r="161" spans="1:14" s="320" customFormat="1" hidden="1" outlineLevel="1">
      <c r="A161" s="322"/>
      <c r="B161" s="823" t="str">
        <f>'TTUHSC FGD'!$B$2</f>
        <v>Texas Tech University Health Sciences Center</v>
      </c>
      <c r="D161" s="762">
        <f>'TTUHSC FGD'!$D$22</f>
        <v>0</v>
      </c>
      <c r="E161" s="762">
        <f>'TTUHSC FGD'!$E$22</f>
        <v>0</v>
      </c>
      <c r="F161" s="762">
        <f>'TTUHSC FGD'!$F$22</f>
        <v>0</v>
      </c>
      <c r="G161" s="762">
        <f>'TTUHSC FGD'!$G$22</f>
        <v>0</v>
      </c>
      <c r="H161" s="762">
        <f>'TTUHSC FGD'!$H$22</f>
        <v>0</v>
      </c>
      <c r="I161" s="762">
        <f>'TTUHSC FGD'!$I$22</f>
        <v>0</v>
      </c>
      <c r="J161" s="762">
        <f>'TTUHSC FGD'!$J$22</f>
        <v>0</v>
      </c>
      <c r="K161" s="762">
        <f>'TTUHSC FGD'!$K$22</f>
        <v>0</v>
      </c>
      <c r="L161" s="762">
        <f>'TTUHSC FGD'!$L$22</f>
        <v>0</v>
      </c>
      <c r="M161" s="723">
        <f>'TTUHSC FGD'!$M$22</f>
        <v>0</v>
      </c>
    </row>
    <row r="162" spans="1:14" s="320" customFormat="1" hidden="1" outlineLevel="1">
      <c r="A162" s="322"/>
      <c r="B162" s="823" t="str">
        <f>'TTUHSCEP FGD'!$B$2</f>
        <v>Texas Tech University Health Sciences Center at El Paso</v>
      </c>
      <c r="D162" s="762">
        <f>'TTUHSCEP FGD'!$D$22</f>
        <v>0</v>
      </c>
      <c r="E162" s="762">
        <f>'TTUHSCEP FGD'!$E$22</f>
        <v>0</v>
      </c>
      <c r="F162" s="762">
        <f>'TTUHSCEP FGD'!$F$22</f>
        <v>0</v>
      </c>
      <c r="G162" s="762">
        <f>'TTUHSCEP FGD'!$G$22</f>
        <v>0</v>
      </c>
      <c r="H162" s="762">
        <f>'TTUHSCEP FGD'!$H$22</f>
        <v>0</v>
      </c>
      <c r="I162" s="762">
        <f>'TTUHSCEP FGD'!$I$22</f>
        <v>0</v>
      </c>
      <c r="J162" s="762">
        <f>'TTUHSCEP FGD'!$J$22</f>
        <v>0</v>
      </c>
      <c r="K162" s="762">
        <f>'TTUHSCEP FGD'!$K$22</f>
        <v>0</v>
      </c>
      <c r="L162" s="762">
        <f>'TTUHSCEP FGD'!$L$22</f>
        <v>0</v>
      </c>
      <c r="M162" s="723">
        <f>'TTUHSCEP FGD'!$M$22</f>
        <v>0</v>
      </c>
    </row>
    <row r="163" spans="1:14" s="320" customFormat="1" hidden="1" outlineLevel="1">
      <c r="A163" s="322"/>
      <c r="B163" s="823" t="str">
        <f>'UHM FGD'!$B$2</f>
        <v>University of Houston Medical School (M)</v>
      </c>
      <c r="D163" s="762">
        <f>'UHM FGD'!$D$22</f>
        <v>0</v>
      </c>
      <c r="E163" s="762">
        <f>'UHM FGD'!$E$22</f>
        <v>0</v>
      </c>
      <c r="F163" s="762">
        <f>'UHM FGD'!$F$22</f>
        <v>0</v>
      </c>
      <c r="G163" s="762">
        <f>'UHM FGD'!$G$22</f>
        <v>0</v>
      </c>
      <c r="H163" s="762">
        <f>'UHM FGD'!$H$22</f>
        <v>0</v>
      </c>
      <c r="I163" s="762">
        <f>'UHM FGD'!$I$22</f>
        <v>0</v>
      </c>
      <c r="J163" s="762">
        <f>'UHM FGD'!$J$22</f>
        <v>0</v>
      </c>
      <c r="K163" s="762">
        <f>'UHM FGD'!$K$22</f>
        <v>0</v>
      </c>
      <c r="L163" s="762">
        <f>'UHM FGD'!$L$22</f>
        <v>0</v>
      </c>
      <c r="M163" s="723">
        <f>'UHM FGD'!$M$22</f>
        <v>0</v>
      </c>
    </row>
    <row r="164" spans="1:14" s="320" customFormat="1" hidden="1" outlineLevel="1">
      <c r="A164" s="322"/>
      <c r="B164" s="823" t="str">
        <f>'UNTHSC1 FGD'!$B$2</f>
        <v>University of North Texas Health Science Center at Fort Worth (Public Medical)</v>
      </c>
      <c r="D164" s="762">
        <f>'UNTHSC1 FGD'!$D$22</f>
        <v>0</v>
      </c>
      <c r="E164" s="762">
        <f>'UNTHSC1 FGD'!$E$22</f>
        <v>0</v>
      </c>
      <c r="F164" s="762">
        <f>'UNTHSC1 FGD'!$F$22</f>
        <v>0</v>
      </c>
      <c r="G164" s="762">
        <f>'UNTHSC1 FGD'!$G$22</f>
        <v>0</v>
      </c>
      <c r="H164" s="762">
        <f>'UNTHSC1 FGD'!$H$22</f>
        <v>0</v>
      </c>
      <c r="I164" s="762">
        <f>'UNTHSC1 FGD'!$I$22</f>
        <v>0</v>
      </c>
      <c r="J164" s="762">
        <f>'UNTHSC1 FGD'!$J$22</f>
        <v>0</v>
      </c>
      <c r="K164" s="762">
        <f>'UNTHSC1 FGD'!$K$22</f>
        <v>0</v>
      </c>
      <c r="L164" s="762">
        <f>'UNTHSC1 FGD'!$L$22</f>
        <v>0</v>
      </c>
      <c r="M164" s="723">
        <f>'UNTHSC1 FGD'!$M$22</f>
        <v>0</v>
      </c>
    </row>
    <row r="165" spans="1:14" s="320" customFormat="1" collapsed="1">
      <c r="A165" s="322"/>
      <c r="B165" s="320" t="s">
        <v>595</v>
      </c>
      <c r="D165" s="762">
        <f t="shared" ref="D165:M165" si="10">SUM(D152:D164)</f>
        <v>0</v>
      </c>
      <c r="E165" s="762">
        <f t="shared" si="10"/>
        <v>0</v>
      </c>
      <c r="F165" s="762">
        <f t="shared" si="10"/>
        <v>0</v>
      </c>
      <c r="G165" s="762">
        <f t="shared" si="10"/>
        <v>0</v>
      </c>
      <c r="H165" s="762">
        <f t="shared" si="10"/>
        <v>0</v>
      </c>
      <c r="I165" s="762">
        <f t="shared" si="10"/>
        <v>0</v>
      </c>
      <c r="J165" s="762">
        <f t="shared" si="10"/>
        <v>0</v>
      </c>
      <c r="K165" s="762">
        <f t="shared" si="10"/>
        <v>0</v>
      </c>
      <c r="L165" s="762">
        <f t="shared" si="10"/>
        <v>0</v>
      </c>
      <c r="M165" s="723">
        <f t="shared" si="10"/>
        <v>0</v>
      </c>
      <c r="N165" s="406"/>
    </row>
    <row r="166" spans="1:14" s="320" customFormat="1" hidden="1" outlineLevel="1">
      <c r="A166" s="322"/>
      <c r="B166" s="823" t="str">
        <f>'AUSM FGD'!$B$2</f>
        <v>The University of Texas at Austin Medical School (M)</v>
      </c>
      <c r="D166" s="762">
        <f>'AUSM FGD'!$D$23</f>
        <v>1365995</v>
      </c>
      <c r="E166" s="762">
        <f>'AUSM FGD'!$E$23</f>
        <v>2437306</v>
      </c>
      <c r="F166" s="762">
        <f>'AUSM FGD'!$F$23</f>
        <v>0</v>
      </c>
      <c r="G166" s="762">
        <f>'AUSM FGD'!$G$23</f>
        <v>0</v>
      </c>
      <c r="H166" s="762">
        <f>'AUSM FGD'!$H$23</f>
        <v>0</v>
      </c>
      <c r="I166" s="762">
        <f>'AUSM FGD'!$I$23</f>
        <v>0</v>
      </c>
      <c r="J166" s="762">
        <f>'AUSM FGD'!$J$23</f>
        <v>0</v>
      </c>
      <c r="K166" s="762">
        <f>'AUSM FGD'!$K$23</f>
        <v>0</v>
      </c>
      <c r="L166" s="762">
        <f>'AUSM FGD'!$L$23</f>
        <v>0</v>
      </c>
      <c r="M166" s="723">
        <f>'AUSM FGD'!$M$23</f>
        <v>3803301</v>
      </c>
      <c r="N166" s="406"/>
    </row>
    <row r="167" spans="1:14" s="320" customFormat="1" hidden="1" outlineLevel="1">
      <c r="A167" s="322"/>
      <c r="B167" s="823" t="str">
        <f>'HSH FGD'!$B$2</f>
        <v>The University of Texas Health Science Center at Houston</v>
      </c>
      <c r="D167" s="762">
        <f>'HSH FGD'!$D$23</f>
        <v>27151440</v>
      </c>
      <c r="E167" s="762">
        <f>'HSH FGD'!$E$23</f>
        <v>31623513</v>
      </c>
      <c r="F167" s="762">
        <f>'HSH FGD'!$F$23</f>
        <v>0</v>
      </c>
      <c r="G167" s="762">
        <f>'HSH FGD'!$G$23</f>
        <v>0</v>
      </c>
      <c r="H167" s="762">
        <f>'HSH FGD'!$H$23</f>
        <v>0</v>
      </c>
      <c r="I167" s="762">
        <f>'HSH FGD'!$I$23</f>
        <v>0</v>
      </c>
      <c r="J167" s="762">
        <f>'HSH FGD'!$J$23</f>
        <v>0</v>
      </c>
      <c r="K167" s="762">
        <f>'HSH FGD'!$K$23</f>
        <v>0</v>
      </c>
      <c r="L167" s="762">
        <f>'HSH FGD'!$L$23</f>
        <v>0</v>
      </c>
      <c r="M167" s="723">
        <f>'HSH FGD'!$M$23</f>
        <v>58774953</v>
      </c>
      <c r="N167" s="406"/>
    </row>
    <row r="168" spans="1:14" s="320" customFormat="1" hidden="1" outlineLevel="1">
      <c r="A168" s="322"/>
      <c r="B168" s="823" t="str">
        <f>'HSSA FGD'!$B$2</f>
        <v>The University of Texas Health Science Center at San Antonio</v>
      </c>
      <c r="D168" s="762">
        <f>'HSSA FGD'!$D$23</f>
        <v>17546077</v>
      </c>
      <c r="E168" s="762">
        <f>'HSSA FGD'!$E$23</f>
        <v>38469051</v>
      </c>
      <c r="F168" s="762">
        <f>'HSSA FGD'!$F$23</f>
        <v>0</v>
      </c>
      <c r="G168" s="762">
        <f>'HSSA FGD'!$G$23</f>
        <v>0</v>
      </c>
      <c r="H168" s="762">
        <f>'HSSA FGD'!$H$23</f>
        <v>0</v>
      </c>
      <c r="I168" s="762">
        <f>'HSSA FGD'!$I$23</f>
        <v>0</v>
      </c>
      <c r="J168" s="762">
        <f>'HSSA FGD'!$J$23</f>
        <v>0</v>
      </c>
      <c r="K168" s="762">
        <f>'HSSA FGD'!$K$23</f>
        <v>0</v>
      </c>
      <c r="L168" s="762">
        <f>'HSSA FGD'!$L$23</f>
        <v>0</v>
      </c>
      <c r="M168" s="723">
        <f>'HSSA FGD'!$M$23</f>
        <v>56015128</v>
      </c>
      <c r="N168" s="406"/>
    </row>
    <row r="169" spans="1:14" s="320" customFormat="1" hidden="1" outlineLevel="1">
      <c r="A169" s="322"/>
      <c r="B169" s="823" t="str">
        <f>'MBG FGD'!$B$2</f>
        <v>The University of Texas Medical Branch at Galveston</v>
      </c>
      <c r="D169" s="762">
        <f>'MBG FGD'!$D$23</f>
        <v>13557301</v>
      </c>
      <c r="E169" s="762">
        <f>'MBG FGD'!$E$23</f>
        <v>27855326</v>
      </c>
      <c r="F169" s="762">
        <f>'MBG FGD'!$F$23</f>
        <v>0</v>
      </c>
      <c r="G169" s="762">
        <f>'MBG FGD'!$G$23</f>
        <v>0</v>
      </c>
      <c r="H169" s="762">
        <f>'MBG FGD'!$H$23</f>
        <v>0</v>
      </c>
      <c r="I169" s="762">
        <f>'MBG FGD'!$I$23</f>
        <v>0</v>
      </c>
      <c r="J169" s="762">
        <f>'MBG FGD'!$J$23</f>
        <v>0</v>
      </c>
      <c r="K169" s="762">
        <f>'MBG FGD'!$K$23</f>
        <v>0</v>
      </c>
      <c r="L169" s="762">
        <f>'MBG FGD'!$L$23</f>
        <v>0</v>
      </c>
      <c r="M169" s="723">
        <f>'MBG FGD'!$M$23</f>
        <v>41412627</v>
      </c>
      <c r="N169" s="406"/>
    </row>
    <row r="170" spans="1:14" s="320" customFormat="1" hidden="1" outlineLevel="1">
      <c r="A170" s="322"/>
      <c r="B170" s="823" t="str">
        <f>'MDA FGD'!$B$2</f>
        <v>The University of Texas M.D. Anderson Cancer Center</v>
      </c>
      <c r="D170" s="762">
        <f>'MDA FGD'!$D$23</f>
        <v>770232</v>
      </c>
      <c r="E170" s="762">
        <f>'MDA FGD'!$E$23</f>
        <v>720714</v>
      </c>
      <c r="F170" s="762">
        <f>'MDA FGD'!$F$23</f>
        <v>0</v>
      </c>
      <c r="G170" s="762">
        <f>'MDA FGD'!$G$23</f>
        <v>0</v>
      </c>
      <c r="H170" s="762">
        <f>'MDA FGD'!$H$23</f>
        <v>0</v>
      </c>
      <c r="I170" s="762">
        <f>'MDA FGD'!$I$23</f>
        <v>0</v>
      </c>
      <c r="J170" s="762">
        <f>'MDA FGD'!$J$23</f>
        <v>0</v>
      </c>
      <c r="K170" s="762">
        <f>'MDA FGD'!$K$23</f>
        <v>0</v>
      </c>
      <c r="L170" s="762">
        <f>'MDA FGD'!$L$23</f>
        <v>0</v>
      </c>
      <c r="M170" s="723">
        <f>'MDA FGD'!$M$23</f>
        <v>1490946</v>
      </c>
      <c r="N170" s="406"/>
    </row>
    <row r="171" spans="1:14" s="320" customFormat="1" hidden="1" outlineLevel="1">
      <c r="A171" s="322"/>
      <c r="B171" s="823" t="str">
        <f>'RGVM FGD'!$B$2</f>
        <v>The University of Texas Rio Grande Valley Medical School (M)</v>
      </c>
      <c r="D171" s="762">
        <f>'RGVM FGD'!$D$23</f>
        <v>1486457</v>
      </c>
      <c r="E171" s="762">
        <f>'RGVM FGD'!$E$23</f>
        <v>2414450</v>
      </c>
      <c r="F171" s="762">
        <f>'RGVM FGD'!$F$23</f>
        <v>0</v>
      </c>
      <c r="G171" s="762">
        <f>'RGVM FGD'!$G$23</f>
        <v>0</v>
      </c>
      <c r="H171" s="762">
        <f>'RGVM FGD'!$H$23</f>
        <v>0</v>
      </c>
      <c r="I171" s="762">
        <f>'RGVM FGD'!$I$23</f>
        <v>0</v>
      </c>
      <c r="J171" s="762">
        <f>'RGVM FGD'!$J$23</f>
        <v>0</v>
      </c>
      <c r="K171" s="762">
        <f>'RGVM FGD'!$K$23</f>
        <v>0</v>
      </c>
      <c r="L171" s="762">
        <f>'RGVM FGD'!$L$23</f>
        <v>0</v>
      </c>
      <c r="M171" s="723">
        <f>'RGVM FGD'!$M$23</f>
        <v>3900907</v>
      </c>
      <c r="N171" s="406"/>
    </row>
    <row r="172" spans="1:14" s="320" customFormat="1" hidden="1" outlineLevel="1">
      <c r="A172" s="322"/>
      <c r="B172" s="823" t="str">
        <f>'SWM FGD'!$B$2</f>
        <v>The University of Texas Southwestern Medical Center</v>
      </c>
      <c r="D172" s="762">
        <f>'SWM FGD'!$D$23</f>
        <v>8673701</v>
      </c>
      <c r="E172" s="762">
        <f>'SWM FGD'!$E$23</f>
        <v>19366250</v>
      </c>
      <c r="F172" s="762">
        <f>'SWM FGD'!$F$23</f>
        <v>0</v>
      </c>
      <c r="G172" s="762">
        <f>'SWM FGD'!$G$23</f>
        <v>0</v>
      </c>
      <c r="H172" s="762">
        <f>'SWM FGD'!$H$23</f>
        <v>0</v>
      </c>
      <c r="I172" s="762">
        <f>'SWM FGD'!$I$23</f>
        <v>0</v>
      </c>
      <c r="J172" s="762">
        <f>'SWM FGD'!$J$23</f>
        <v>0</v>
      </c>
      <c r="K172" s="762">
        <f>'SWM FGD'!$K$23</f>
        <v>0</v>
      </c>
      <c r="L172" s="762">
        <f>'SWM FGD'!$L$23</f>
        <v>0</v>
      </c>
      <c r="M172" s="723">
        <f>'SWM FGD'!$M$23</f>
        <v>28039951</v>
      </c>
      <c r="N172" s="406"/>
    </row>
    <row r="173" spans="1:14" s="320" customFormat="1" hidden="1" outlineLevel="1">
      <c r="A173" s="322"/>
      <c r="B173" s="823" t="str">
        <f>'TAMHSC FGD'!$B$2</f>
        <v>Texas A&amp;M University System Health Science Center</v>
      </c>
      <c r="D173" s="762">
        <f>'TAMHSC FGD'!$D$23</f>
        <v>20190326</v>
      </c>
      <c r="E173" s="762">
        <f>'TAMHSC FGD'!$E$23</f>
        <v>18958760</v>
      </c>
      <c r="F173" s="762">
        <f>'TAMHSC FGD'!$F$23</f>
        <v>0</v>
      </c>
      <c r="G173" s="762">
        <f>'TAMHSC FGD'!$G$23</f>
        <v>0</v>
      </c>
      <c r="H173" s="762">
        <f>'TAMHSC FGD'!$H$23</f>
        <v>0</v>
      </c>
      <c r="I173" s="762">
        <f>'TAMHSC FGD'!$I$23</f>
        <v>0</v>
      </c>
      <c r="J173" s="762">
        <f>'TAMHSC FGD'!$J$23</f>
        <v>0</v>
      </c>
      <c r="K173" s="762">
        <f>'TAMHSC FGD'!$K$23</f>
        <v>0</v>
      </c>
      <c r="L173" s="762">
        <f>'TAMHSC FGD'!$L$23</f>
        <v>0</v>
      </c>
      <c r="M173" s="723">
        <f>'TAMHSC FGD'!$M$23</f>
        <v>39149086</v>
      </c>
      <c r="N173" s="406"/>
    </row>
    <row r="174" spans="1:14" s="320" customFormat="1" hidden="1" outlineLevel="1">
      <c r="A174" s="322"/>
      <c r="B174" s="823" t="str">
        <f>'THC FGD'!$B$2</f>
        <v>The University of Texas Health Science Center at Tyler</v>
      </c>
      <c r="D174" s="762">
        <f>'THC FGD'!$D$23</f>
        <v>236720</v>
      </c>
      <c r="E174" s="762">
        <f>'THC FGD'!$E$23</f>
        <v>311490</v>
      </c>
      <c r="F174" s="762">
        <f>'THC FGD'!$F$23</f>
        <v>0</v>
      </c>
      <c r="G174" s="762">
        <f>'THC FGD'!$G$23</f>
        <v>0</v>
      </c>
      <c r="H174" s="762">
        <f>'THC FGD'!$H$23</f>
        <v>0</v>
      </c>
      <c r="I174" s="762">
        <f>'THC FGD'!$I$23</f>
        <v>0</v>
      </c>
      <c r="J174" s="762">
        <f>'THC FGD'!$J$23</f>
        <v>0</v>
      </c>
      <c r="K174" s="762">
        <f>'THC FGD'!$K$23</f>
        <v>0</v>
      </c>
      <c r="L174" s="762">
        <f>'THC FGD'!$L$23</f>
        <v>0</v>
      </c>
      <c r="M174" s="723">
        <f>'THC FGD'!$M$23</f>
        <v>548210</v>
      </c>
      <c r="N174" s="406"/>
    </row>
    <row r="175" spans="1:14" s="320" customFormat="1" hidden="1" outlineLevel="1">
      <c r="A175" s="322"/>
      <c r="B175" s="823" t="str">
        <f>'TTUHSC FGD'!$B$2</f>
        <v>Texas Tech University Health Sciences Center</v>
      </c>
      <c r="D175" s="762">
        <f>'TTUHSC FGD'!$D$23</f>
        <v>18680112</v>
      </c>
      <c r="E175" s="762">
        <f>'TTUHSC FGD'!$E$23</f>
        <v>34060283</v>
      </c>
      <c r="F175" s="762">
        <f>'TTUHSC FGD'!$F$23</f>
        <v>0</v>
      </c>
      <c r="G175" s="762">
        <f>'TTUHSC FGD'!$G$23</f>
        <v>0</v>
      </c>
      <c r="H175" s="762">
        <f>'TTUHSC FGD'!$H$23</f>
        <v>0</v>
      </c>
      <c r="I175" s="762">
        <f>'TTUHSC FGD'!$I$23</f>
        <v>0</v>
      </c>
      <c r="J175" s="762">
        <f>'TTUHSC FGD'!$J$23</f>
        <v>0</v>
      </c>
      <c r="K175" s="762">
        <f>'TTUHSC FGD'!$K$23</f>
        <v>0</v>
      </c>
      <c r="L175" s="762">
        <f>'TTUHSC FGD'!$L$23</f>
        <v>0</v>
      </c>
      <c r="M175" s="723">
        <f>'TTUHSC FGD'!$M$23</f>
        <v>52740395</v>
      </c>
      <c r="N175" s="406"/>
    </row>
    <row r="176" spans="1:14" s="320" customFormat="1" hidden="1" outlineLevel="1">
      <c r="A176" s="322"/>
      <c r="B176" s="823" t="str">
        <f>'TTUHSCEP FGD'!$B$2</f>
        <v>Texas Tech University Health Sciences Center at El Paso</v>
      </c>
      <c r="D176" s="762">
        <f>'TTUHSCEP FGD'!$D$23</f>
        <v>4052846</v>
      </c>
      <c r="E176" s="762">
        <f>'TTUHSCEP FGD'!$E$23</f>
        <v>7204424</v>
      </c>
      <c r="F176" s="762">
        <f>'TTUHSCEP FGD'!$F$23</f>
        <v>0</v>
      </c>
      <c r="G176" s="762">
        <f>'TTUHSCEP FGD'!$G$23</f>
        <v>0</v>
      </c>
      <c r="H176" s="762">
        <f>'TTUHSCEP FGD'!$H$23</f>
        <v>0</v>
      </c>
      <c r="I176" s="762">
        <f>'TTUHSCEP FGD'!$I$23</f>
        <v>0</v>
      </c>
      <c r="J176" s="762">
        <f>'TTUHSCEP FGD'!$J$23</f>
        <v>0</v>
      </c>
      <c r="K176" s="762">
        <f>'TTUHSCEP FGD'!$K$23</f>
        <v>0</v>
      </c>
      <c r="L176" s="762">
        <f>'TTUHSCEP FGD'!$L$23</f>
        <v>0</v>
      </c>
      <c r="M176" s="723">
        <f>'TTUHSCEP FGD'!$M$23</f>
        <v>11257270</v>
      </c>
      <c r="N176" s="406"/>
    </row>
    <row r="177" spans="1:14" s="320" customFormat="1" hidden="1" outlineLevel="1">
      <c r="A177" s="322"/>
      <c r="B177" s="823" t="str">
        <f>'UHM FGD'!$B$2</f>
        <v>University of Houston Medical School (M)</v>
      </c>
      <c r="D177" s="762">
        <f>'UHM FGD'!$D$23</f>
        <v>778926</v>
      </c>
      <c r="E177" s="762">
        <f>'UHM FGD'!$E$23</f>
        <v>380551</v>
      </c>
      <c r="F177" s="762">
        <f>'UHM FGD'!$F$23</f>
        <v>0</v>
      </c>
      <c r="G177" s="762">
        <f>'UHM FGD'!$G$23</f>
        <v>0</v>
      </c>
      <c r="H177" s="762">
        <f>'UHM FGD'!$H$23</f>
        <v>0</v>
      </c>
      <c r="I177" s="762">
        <f>'UHM FGD'!$I$23</f>
        <v>0</v>
      </c>
      <c r="J177" s="762">
        <f>'UHM FGD'!$J$23</f>
        <v>0</v>
      </c>
      <c r="K177" s="762">
        <f>'UHM FGD'!$K$23</f>
        <v>0</v>
      </c>
      <c r="L177" s="762">
        <f>'UHM FGD'!$L$23</f>
        <v>0</v>
      </c>
      <c r="M177" s="723">
        <f>'UHM FGD'!$M$23</f>
        <v>1159477</v>
      </c>
      <c r="N177" s="406"/>
    </row>
    <row r="178" spans="1:14" s="320" customFormat="1" hidden="1" outlineLevel="1">
      <c r="A178" s="322"/>
      <c r="B178" s="823" t="str">
        <f>'UNTHSC1 FGD'!$B$2</f>
        <v>University of North Texas Health Science Center at Fort Worth (Public Medical)</v>
      </c>
      <c r="D178" s="762">
        <f>'UNTHSC1 FGD'!$D$23</f>
        <v>12607301</v>
      </c>
      <c r="E178" s="762">
        <f>'UNTHSC1 FGD'!$E$23</f>
        <v>12831590</v>
      </c>
      <c r="F178" s="762">
        <f>'UNTHSC1 FGD'!$F$23</f>
        <v>0</v>
      </c>
      <c r="G178" s="762">
        <f>'UNTHSC1 FGD'!$G$23</f>
        <v>0</v>
      </c>
      <c r="H178" s="762">
        <f>'UNTHSC1 FGD'!$H$23</f>
        <v>0</v>
      </c>
      <c r="I178" s="762">
        <f>'UNTHSC1 FGD'!$I$23</f>
        <v>0</v>
      </c>
      <c r="J178" s="762">
        <f>'UNTHSC1 FGD'!$J$23</f>
        <v>0</v>
      </c>
      <c r="K178" s="762">
        <f>'UNTHSC1 FGD'!$K$23</f>
        <v>0</v>
      </c>
      <c r="L178" s="762">
        <f>'UNTHSC1 FGD'!$L$23</f>
        <v>0</v>
      </c>
      <c r="M178" s="723">
        <f>'UNTHSC1 FGD'!$M$23</f>
        <v>25438891</v>
      </c>
      <c r="N178" s="406"/>
    </row>
    <row r="179" spans="1:14" s="320" customFormat="1" ht="12.75" customHeight="1" collapsed="1">
      <c r="A179" s="322"/>
      <c r="B179" s="772" t="s">
        <v>233</v>
      </c>
      <c r="C179" s="784"/>
      <c r="D179" s="785">
        <f t="shared" ref="D179:M179" si="11">SUM(D166:D178)</f>
        <v>127097434</v>
      </c>
      <c r="E179" s="785">
        <f t="shared" si="11"/>
        <v>196633708</v>
      </c>
      <c r="F179" s="785">
        <f t="shared" si="11"/>
        <v>0</v>
      </c>
      <c r="G179" s="785">
        <f t="shared" si="11"/>
        <v>0</v>
      </c>
      <c r="H179" s="785">
        <f t="shared" si="11"/>
        <v>0</v>
      </c>
      <c r="I179" s="785">
        <f t="shared" si="11"/>
        <v>0</v>
      </c>
      <c r="J179" s="785">
        <f t="shared" si="11"/>
        <v>0</v>
      </c>
      <c r="K179" s="785">
        <f t="shared" si="11"/>
        <v>0</v>
      </c>
      <c r="L179" s="785">
        <f t="shared" si="11"/>
        <v>0</v>
      </c>
      <c r="M179" s="786">
        <f t="shared" si="11"/>
        <v>323731142</v>
      </c>
    </row>
    <row r="180" spans="1:14" s="320" customFormat="1" ht="12.75" hidden="1" customHeight="1" outlineLevel="1">
      <c r="A180" s="322"/>
      <c r="B180" s="823" t="str">
        <f>'AUSM FGD'!$B$2</f>
        <v>The University of Texas at Austin Medical School (M)</v>
      </c>
      <c r="C180" s="751"/>
      <c r="D180" s="1048">
        <f>'AUSM FGD'!$D$24</f>
        <v>0</v>
      </c>
      <c r="E180" s="1048">
        <f>'AUSM FGD'!$E$24</f>
        <v>0</v>
      </c>
      <c r="F180" s="1048">
        <f>'AUSM FGD'!$F$24</f>
        <v>0</v>
      </c>
      <c r="G180" s="1048">
        <f>'AUSM FGD'!$G$24</f>
        <v>0</v>
      </c>
      <c r="H180" s="1048">
        <f>'AUSM FGD'!$H$24</f>
        <v>0</v>
      </c>
      <c r="I180" s="1048">
        <f>'AUSM FGD'!$I$24</f>
        <v>0</v>
      </c>
      <c r="J180" s="1048">
        <f>'AUSM FGD'!$J$24</f>
        <v>0</v>
      </c>
      <c r="K180" s="1048">
        <f>'AUSM FGD'!$K$24</f>
        <v>0</v>
      </c>
      <c r="L180" s="1048">
        <f>'AUSM FGD'!$L$24</f>
        <v>0</v>
      </c>
      <c r="M180" s="650">
        <f>'AUSM FGD'!$M$24</f>
        <v>0</v>
      </c>
    </row>
    <row r="181" spans="1:14" s="320" customFormat="1" ht="12.75" hidden="1" customHeight="1" outlineLevel="1">
      <c r="A181" s="322"/>
      <c r="B181" s="823" t="str">
        <f>'HSH FGD'!$B$2</f>
        <v>The University of Texas Health Science Center at Houston</v>
      </c>
      <c r="C181" s="751"/>
      <c r="D181" s="1048">
        <f>'HSH FGD'!$D$24</f>
        <v>0</v>
      </c>
      <c r="E181" s="1048">
        <f>'HSH FGD'!$E$24</f>
        <v>0</v>
      </c>
      <c r="F181" s="1048">
        <f>'HSH FGD'!$F$24</f>
        <v>0</v>
      </c>
      <c r="G181" s="1048">
        <f>'HSH FGD'!$G$24</f>
        <v>0</v>
      </c>
      <c r="H181" s="1048">
        <f>'HSH FGD'!$H$24</f>
        <v>0</v>
      </c>
      <c r="I181" s="1048">
        <f>'HSH FGD'!$I$24</f>
        <v>0</v>
      </c>
      <c r="J181" s="1048">
        <f>'HSH FGD'!$J$24</f>
        <v>0</v>
      </c>
      <c r="K181" s="1048">
        <f>'HSH FGD'!$K$24</f>
        <v>0</v>
      </c>
      <c r="L181" s="1048">
        <f>'HSH FGD'!$L$24</f>
        <v>0</v>
      </c>
      <c r="M181" s="650">
        <f>'HSH FGD'!$M$24</f>
        <v>0</v>
      </c>
    </row>
    <row r="182" spans="1:14" s="320" customFormat="1" ht="12.75" hidden="1" customHeight="1" outlineLevel="1">
      <c r="A182" s="322"/>
      <c r="B182" s="823" t="str">
        <f>'HSSA FGD'!$B$2</f>
        <v>The University of Texas Health Science Center at San Antonio</v>
      </c>
      <c r="C182" s="751"/>
      <c r="D182" s="1048">
        <f>'HSSA FGD'!$D$24</f>
        <v>0</v>
      </c>
      <c r="E182" s="1048">
        <f>'HSSA FGD'!$E$24</f>
        <v>0</v>
      </c>
      <c r="F182" s="1048">
        <f>'HSSA FGD'!$F$24</f>
        <v>0</v>
      </c>
      <c r="G182" s="1048">
        <f>'HSSA FGD'!$G$24</f>
        <v>0</v>
      </c>
      <c r="H182" s="1048">
        <f>'HSSA FGD'!$H$24</f>
        <v>0</v>
      </c>
      <c r="I182" s="1048">
        <f>'HSSA FGD'!$I$24</f>
        <v>0</v>
      </c>
      <c r="J182" s="1048">
        <f>'HSSA FGD'!$J$24</f>
        <v>0</v>
      </c>
      <c r="K182" s="1048">
        <f>'HSSA FGD'!$K$24</f>
        <v>0</v>
      </c>
      <c r="L182" s="1048">
        <f>'HSSA FGD'!$L$24</f>
        <v>0</v>
      </c>
      <c r="M182" s="650">
        <f>'HSSA FGD'!$M$24</f>
        <v>0</v>
      </c>
    </row>
    <row r="183" spans="1:14" s="320" customFormat="1" ht="12.75" hidden="1" customHeight="1" outlineLevel="1">
      <c r="A183" s="322"/>
      <c r="B183" s="823" t="str">
        <f>'MBG FGD'!$B$2</f>
        <v>The University of Texas Medical Branch at Galveston</v>
      </c>
      <c r="C183" s="751"/>
      <c r="D183" s="1048">
        <f>'MBG FGD'!$D$24</f>
        <v>0</v>
      </c>
      <c r="E183" s="1048">
        <f>'MBG FGD'!$E$24</f>
        <v>0</v>
      </c>
      <c r="F183" s="1048">
        <f>'MBG FGD'!$F$24</f>
        <v>0</v>
      </c>
      <c r="G183" s="1048">
        <f>'MBG FGD'!$G$24</f>
        <v>0</v>
      </c>
      <c r="H183" s="1048">
        <f>'MBG FGD'!$H$24</f>
        <v>0</v>
      </c>
      <c r="I183" s="1048">
        <f>'MBG FGD'!$I$24</f>
        <v>0</v>
      </c>
      <c r="J183" s="1048">
        <f>'MBG FGD'!$J$24</f>
        <v>0</v>
      </c>
      <c r="K183" s="1048">
        <f>'MBG FGD'!$K$24</f>
        <v>0</v>
      </c>
      <c r="L183" s="1048">
        <f>'MBG FGD'!$L$24</f>
        <v>0</v>
      </c>
      <c r="M183" s="650">
        <f>'MBG FGD'!$M$24</f>
        <v>0</v>
      </c>
    </row>
    <row r="184" spans="1:14" s="320" customFormat="1" ht="12.75" hidden="1" customHeight="1" outlineLevel="1">
      <c r="A184" s="322"/>
      <c r="B184" s="823" t="str">
        <f>'MDA FGD'!$B$2</f>
        <v>The University of Texas M.D. Anderson Cancer Center</v>
      </c>
      <c r="C184" s="751"/>
      <c r="D184" s="1048">
        <f>'MDA FGD'!$D$24</f>
        <v>0</v>
      </c>
      <c r="E184" s="1048">
        <f>'MDA FGD'!$E$24</f>
        <v>0</v>
      </c>
      <c r="F184" s="1048">
        <f>'MDA FGD'!$F$24</f>
        <v>0</v>
      </c>
      <c r="G184" s="1048">
        <f>'MDA FGD'!$G$24</f>
        <v>0</v>
      </c>
      <c r="H184" s="1048">
        <f>'MDA FGD'!$H$24</f>
        <v>0</v>
      </c>
      <c r="I184" s="1048">
        <f>'MDA FGD'!$I$24</f>
        <v>0</v>
      </c>
      <c r="J184" s="1048">
        <f>'MDA FGD'!$J$24</f>
        <v>0</v>
      </c>
      <c r="K184" s="1048">
        <f>'MDA FGD'!$K$24</f>
        <v>0</v>
      </c>
      <c r="L184" s="1048">
        <f>'MDA FGD'!$L$24</f>
        <v>0</v>
      </c>
      <c r="M184" s="650">
        <f>'MDA FGD'!$M$24</f>
        <v>0</v>
      </c>
    </row>
    <row r="185" spans="1:14" s="320" customFormat="1" ht="12.75" hidden="1" customHeight="1" outlineLevel="1">
      <c r="A185" s="322"/>
      <c r="B185" s="823" t="str">
        <f>'RGVM FGD'!$B$2</f>
        <v>The University of Texas Rio Grande Valley Medical School (M)</v>
      </c>
      <c r="C185" s="751"/>
      <c r="D185" s="1048">
        <f>'RGVM FGD'!$D$24</f>
        <v>0</v>
      </c>
      <c r="E185" s="1048">
        <f>'RGVM FGD'!$E$24</f>
        <v>0</v>
      </c>
      <c r="F185" s="1048">
        <f>'RGVM FGD'!$F$24</f>
        <v>0</v>
      </c>
      <c r="G185" s="1048">
        <f>'RGVM FGD'!$G$24</f>
        <v>0</v>
      </c>
      <c r="H185" s="1048">
        <f>'RGVM FGD'!$H$24</f>
        <v>0</v>
      </c>
      <c r="I185" s="1048">
        <f>'RGVM FGD'!$I$24</f>
        <v>0</v>
      </c>
      <c r="J185" s="1048">
        <f>'RGVM FGD'!$J$24</f>
        <v>0</v>
      </c>
      <c r="K185" s="1048">
        <f>'RGVM FGD'!$K$24</f>
        <v>0</v>
      </c>
      <c r="L185" s="1048">
        <f>'RGVM FGD'!$L$24</f>
        <v>0</v>
      </c>
      <c r="M185" s="650">
        <f>'RGVM FGD'!$M$24</f>
        <v>0</v>
      </c>
    </row>
    <row r="186" spans="1:14" s="320" customFormat="1" ht="12.75" hidden="1" customHeight="1" outlineLevel="1">
      <c r="A186" s="322"/>
      <c r="B186" s="823" t="str">
        <f>'SWM FGD'!$B$2</f>
        <v>The University of Texas Southwestern Medical Center</v>
      </c>
      <c r="C186" s="751"/>
      <c r="D186" s="1048">
        <f>'SWM FGD'!$D$24</f>
        <v>0</v>
      </c>
      <c r="E186" s="1048">
        <f>'SWM FGD'!$E$24</f>
        <v>0</v>
      </c>
      <c r="F186" s="1048">
        <f>'SWM FGD'!$F$24</f>
        <v>0</v>
      </c>
      <c r="G186" s="1048">
        <f>'SWM FGD'!$G$24</f>
        <v>0</v>
      </c>
      <c r="H186" s="1048">
        <f>'SWM FGD'!$H$24</f>
        <v>0</v>
      </c>
      <c r="I186" s="1048">
        <f>'SWM FGD'!$I$24</f>
        <v>0</v>
      </c>
      <c r="J186" s="1048">
        <f>'SWM FGD'!$J$24</f>
        <v>0</v>
      </c>
      <c r="K186" s="1048">
        <f>'SWM FGD'!$K$24</f>
        <v>0</v>
      </c>
      <c r="L186" s="1048">
        <f>'SWM FGD'!$L$24</f>
        <v>0</v>
      </c>
      <c r="M186" s="650">
        <f>'SWM FGD'!$M$24</f>
        <v>0</v>
      </c>
    </row>
    <row r="187" spans="1:14" s="320" customFormat="1" ht="12.75" hidden="1" customHeight="1" outlineLevel="1">
      <c r="A187" s="322"/>
      <c r="B187" s="823" t="str">
        <f>'TAMHSC FGD'!$B$2</f>
        <v>Texas A&amp;M University System Health Science Center</v>
      </c>
      <c r="C187" s="751"/>
      <c r="D187" s="1048">
        <f>'TAMHSC FGD'!$D$24</f>
        <v>0</v>
      </c>
      <c r="E187" s="1048">
        <f>'TAMHSC FGD'!$E$24</f>
        <v>0</v>
      </c>
      <c r="F187" s="1048">
        <f>'TAMHSC FGD'!$F$24</f>
        <v>0</v>
      </c>
      <c r="G187" s="1048">
        <f>'TAMHSC FGD'!$G$24</f>
        <v>0</v>
      </c>
      <c r="H187" s="1048">
        <f>'TAMHSC FGD'!$H$24</f>
        <v>0</v>
      </c>
      <c r="I187" s="1048">
        <f>'TAMHSC FGD'!$I$24</f>
        <v>0</v>
      </c>
      <c r="J187" s="1048">
        <f>'TAMHSC FGD'!$J$24</f>
        <v>0</v>
      </c>
      <c r="K187" s="1048">
        <f>'TAMHSC FGD'!$K$24</f>
        <v>0</v>
      </c>
      <c r="L187" s="1048">
        <f>'TAMHSC FGD'!$L$24</f>
        <v>0</v>
      </c>
      <c r="M187" s="650">
        <f>'TAMHSC FGD'!$M$24</f>
        <v>0</v>
      </c>
    </row>
    <row r="188" spans="1:14" s="320" customFormat="1" ht="12.75" hidden="1" customHeight="1" outlineLevel="1">
      <c r="A188" s="322"/>
      <c r="B188" s="823" t="str">
        <f>'THC FGD'!$B$2</f>
        <v>The University of Texas Health Science Center at Tyler</v>
      </c>
      <c r="C188" s="751"/>
      <c r="D188" s="1048">
        <f>'THC FGD'!$D$24</f>
        <v>0</v>
      </c>
      <c r="E188" s="1048">
        <f>'THC FGD'!$E$24</f>
        <v>0</v>
      </c>
      <c r="F188" s="1048">
        <f>'THC FGD'!$F$24</f>
        <v>0</v>
      </c>
      <c r="G188" s="1048">
        <f>'THC FGD'!$G$24</f>
        <v>0</v>
      </c>
      <c r="H188" s="1048">
        <f>'THC FGD'!$H$24</f>
        <v>0</v>
      </c>
      <c r="I188" s="1048">
        <f>'THC FGD'!$I$24</f>
        <v>0</v>
      </c>
      <c r="J188" s="1048">
        <f>'THC FGD'!$J$24</f>
        <v>0</v>
      </c>
      <c r="K188" s="1048">
        <f>'THC FGD'!$K$24</f>
        <v>0</v>
      </c>
      <c r="L188" s="1048">
        <f>'THC FGD'!$L$24</f>
        <v>0</v>
      </c>
      <c r="M188" s="650">
        <f>'THC FGD'!$M$24</f>
        <v>0</v>
      </c>
    </row>
    <row r="189" spans="1:14" s="320" customFormat="1" ht="12.75" hidden="1" customHeight="1" outlineLevel="1">
      <c r="A189" s="322"/>
      <c r="B189" s="823" t="str">
        <f>'TTUHSC FGD'!$B$2</f>
        <v>Texas Tech University Health Sciences Center</v>
      </c>
      <c r="C189" s="751"/>
      <c r="D189" s="1048">
        <f>'TTUHSC FGD'!$D$24</f>
        <v>0</v>
      </c>
      <c r="E189" s="1048">
        <f>'TTUHSC FGD'!$E$24</f>
        <v>0</v>
      </c>
      <c r="F189" s="1048">
        <f>'TTUHSC FGD'!$F$24</f>
        <v>0</v>
      </c>
      <c r="G189" s="1048">
        <f>'TTUHSC FGD'!$G$24</f>
        <v>0</v>
      </c>
      <c r="H189" s="1048">
        <f>'TTUHSC FGD'!$H$24</f>
        <v>0</v>
      </c>
      <c r="I189" s="1048">
        <f>'TTUHSC FGD'!$I$24</f>
        <v>0</v>
      </c>
      <c r="J189" s="1048">
        <f>'TTUHSC FGD'!$J$24</f>
        <v>0</v>
      </c>
      <c r="K189" s="1048">
        <f>'TTUHSC FGD'!$K$24</f>
        <v>0</v>
      </c>
      <c r="L189" s="1048">
        <f>'TTUHSC FGD'!$L$24</f>
        <v>0</v>
      </c>
      <c r="M189" s="650">
        <f>'TTUHSC FGD'!$M$24</f>
        <v>0</v>
      </c>
    </row>
    <row r="190" spans="1:14" s="320" customFormat="1" ht="12.75" hidden="1" customHeight="1" outlineLevel="1">
      <c r="A190" s="322"/>
      <c r="B190" s="823" t="str">
        <f>'TTUHSCEP FGD'!$B$2</f>
        <v>Texas Tech University Health Sciences Center at El Paso</v>
      </c>
      <c r="C190" s="751"/>
      <c r="D190" s="1048">
        <f>'TTUHSCEP FGD'!$D$24</f>
        <v>0</v>
      </c>
      <c r="E190" s="1048">
        <f>'TTUHSCEP FGD'!$E$24</f>
        <v>0</v>
      </c>
      <c r="F190" s="1048">
        <f>'TTUHSCEP FGD'!$F$24</f>
        <v>0</v>
      </c>
      <c r="G190" s="1048">
        <f>'TTUHSCEP FGD'!$G$24</f>
        <v>0</v>
      </c>
      <c r="H190" s="1048">
        <f>'TTUHSCEP FGD'!$H$24</f>
        <v>0</v>
      </c>
      <c r="I190" s="1048">
        <f>'TTUHSCEP FGD'!$I$24</f>
        <v>0</v>
      </c>
      <c r="J190" s="1048">
        <f>'TTUHSCEP FGD'!$J$24</f>
        <v>0</v>
      </c>
      <c r="K190" s="1048">
        <f>'TTUHSCEP FGD'!$K$24</f>
        <v>0</v>
      </c>
      <c r="L190" s="1048">
        <f>'TTUHSCEP FGD'!$L$24</f>
        <v>0</v>
      </c>
      <c r="M190" s="650">
        <f>'TTUHSCEP FGD'!$M$24</f>
        <v>0</v>
      </c>
    </row>
    <row r="191" spans="1:14" s="320" customFormat="1" ht="12.75" hidden="1" customHeight="1" outlineLevel="1">
      <c r="A191" s="322"/>
      <c r="B191" s="823" t="str">
        <f>'UHM FGD'!$B$2</f>
        <v>University of Houston Medical School (M)</v>
      </c>
      <c r="C191" s="751"/>
      <c r="D191" s="1048">
        <f>'UHM FGD'!$D$24</f>
        <v>0</v>
      </c>
      <c r="E191" s="1048">
        <f>'UHM FGD'!$E$24</f>
        <v>0</v>
      </c>
      <c r="F191" s="1048">
        <f>'UHM FGD'!$F$24</f>
        <v>0</v>
      </c>
      <c r="G191" s="1048">
        <f>'UHM FGD'!$G$24</f>
        <v>0</v>
      </c>
      <c r="H191" s="1048">
        <f>'UHM FGD'!$H$24</f>
        <v>0</v>
      </c>
      <c r="I191" s="1048">
        <f>'UHM FGD'!$I$24</f>
        <v>0</v>
      </c>
      <c r="J191" s="1048">
        <f>'UHM FGD'!$J$24</f>
        <v>0</v>
      </c>
      <c r="K191" s="1048">
        <f>'UHM FGD'!$K$24</f>
        <v>0</v>
      </c>
      <c r="L191" s="1048">
        <f>'UHM FGD'!$L$24</f>
        <v>0</v>
      </c>
      <c r="M191" s="650">
        <f>'UHM FGD'!$M$24</f>
        <v>0</v>
      </c>
    </row>
    <row r="192" spans="1:14" s="320" customFormat="1" ht="12.75" hidden="1" customHeight="1" outlineLevel="1">
      <c r="A192" s="322"/>
      <c r="B192" s="823" t="str">
        <f>'UNTHSC1 FGD'!$B$2</f>
        <v>University of North Texas Health Science Center at Fort Worth (Public Medical)</v>
      </c>
      <c r="C192" s="751"/>
      <c r="D192" s="1048">
        <f>'UNTHSC1 FGD'!$D$24</f>
        <v>0</v>
      </c>
      <c r="E192" s="1048">
        <f>'UNTHSC1 FGD'!$E$24</f>
        <v>0</v>
      </c>
      <c r="F192" s="1048">
        <f>'UNTHSC1 FGD'!$F$24</f>
        <v>0</v>
      </c>
      <c r="G192" s="1048">
        <f>'UNTHSC1 FGD'!$G$24</f>
        <v>0</v>
      </c>
      <c r="H192" s="1048">
        <f>'UNTHSC1 FGD'!$H$24</f>
        <v>0</v>
      </c>
      <c r="I192" s="1048">
        <f>'UNTHSC1 FGD'!$I$24</f>
        <v>0</v>
      </c>
      <c r="J192" s="1048">
        <f>'UNTHSC1 FGD'!$J$24</f>
        <v>0</v>
      </c>
      <c r="K192" s="1048">
        <f>'UNTHSC1 FGD'!$K$24</f>
        <v>0</v>
      </c>
      <c r="L192" s="1048">
        <f>'UNTHSC1 FGD'!$L$24</f>
        <v>0</v>
      </c>
      <c r="M192" s="650">
        <f>'UNTHSC1 FGD'!$M$24</f>
        <v>0</v>
      </c>
    </row>
    <row r="193" spans="1:13" s="320" customFormat="1" ht="12.75" customHeight="1" collapsed="1">
      <c r="A193" s="322"/>
      <c r="B193" s="320" t="s">
        <v>596</v>
      </c>
      <c r="C193" s="751"/>
      <c r="D193" s="762">
        <f t="shared" ref="D193:M193" si="12">SUM(D180:D192)</f>
        <v>0</v>
      </c>
      <c r="E193" s="762">
        <f t="shared" si="12"/>
        <v>0</v>
      </c>
      <c r="F193" s="762">
        <f t="shared" si="12"/>
        <v>0</v>
      </c>
      <c r="G193" s="762">
        <f t="shared" si="12"/>
        <v>0</v>
      </c>
      <c r="H193" s="762">
        <f t="shared" si="12"/>
        <v>0</v>
      </c>
      <c r="I193" s="762">
        <f t="shared" si="12"/>
        <v>0</v>
      </c>
      <c r="J193" s="762">
        <f t="shared" si="12"/>
        <v>0</v>
      </c>
      <c r="K193" s="762">
        <f t="shared" si="12"/>
        <v>0</v>
      </c>
      <c r="L193" s="762">
        <f t="shared" si="12"/>
        <v>0</v>
      </c>
      <c r="M193" s="650">
        <f t="shared" si="12"/>
        <v>0</v>
      </c>
    </row>
    <row r="194" spans="1:13" s="320" customFormat="1" ht="12.75" hidden="1" customHeight="1" outlineLevel="1">
      <c r="A194" s="322"/>
      <c r="B194" s="823" t="str">
        <f>'AUSM FGD'!$B$2</f>
        <v>The University of Texas at Austin Medical School (M)</v>
      </c>
      <c r="C194" s="751"/>
      <c r="D194" s="762">
        <f>'AUSM FGD'!$D$25</f>
        <v>0</v>
      </c>
      <c r="E194" s="762">
        <f>'AUSM FGD'!$E$25</f>
        <v>0</v>
      </c>
      <c r="F194" s="762">
        <f>'AUSM FGD'!$F$25</f>
        <v>0</v>
      </c>
      <c r="G194" s="762">
        <f>'AUSM FGD'!$G$25</f>
        <v>0</v>
      </c>
      <c r="H194" s="762">
        <f>'AUSM FGD'!$H$25</f>
        <v>0</v>
      </c>
      <c r="I194" s="762">
        <f>'AUSM FGD'!$I$25</f>
        <v>0</v>
      </c>
      <c r="J194" s="762">
        <f>'AUSM FGD'!$J$25</f>
        <v>0</v>
      </c>
      <c r="K194" s="762">
        <f>'AUSM FGD'!$K$25</f>
        <v>0</v>
      </c>
      <c r="L194" s="762">
        <f>'AUSM FGD'!$L$25</f>
        <v>0</v>
      </c>
      <c r="M194" s="650">
        <f>'AUSM FGD'!$M$25</f>
        <v>0</v>
      </c>
    </row>
    <row r="195" spans="1:13" s="320" customFormat="1" ht="12.75" hidden="1" customHeight="1" outlineLevel="1">
      <c r="A195" s="322"/>
      <c r="B195" s="823" t="str">
        <f>'HSH FGD'!$B$2</f>
        <v>The University of Texas Health Science Center at Houston</v>
      </c>
      <c r="C195" s="751"/>
      <c r="D195" s="762">
        <f>'HSH FGD'!$D$25</f>
        <v>0</v>
      </c>
      <c r="E195" s="762">
        <f>'HSH FGD'!$E$25</f>
        <v>0</v>
      </c>
      <c r="F195" s="762">
        <f>'HSH FGD'!$F$25</f>
        <v>0</v>
      </c>
      <c r="G195" s="762">
        <f>'HSH FGD'!$G$25</f>
        <v>0</v>
      </c>
      <c r="H195" s="762">
        <f>'HSH FGD'!$H$25</f>
        <v>0</v>
      </c>
      <c r="I195" s="762">
        <f>'HSH FGD'!$I$25</f>
        <v>0</v>
      </c>
      <c r="J195" s="762">
        <f>'HSH FGD'!$J$25</f>
        <v>0</v>
      </c>
      <c r="K195" s="762">
        <f>'HSH FGD'!$K$25</f>
        <v>0</v>
      </c>
      <c r="L195" s="762">
        <f>'HSH FGD'!$L$25</f>
        <v>0</v>
      </c>
      <c r="M195" s="650">
        <f>'HSH FGD'!$M$25</f>
        <v>0</v>
      </c>
    </row>
    <row r="196" spans="1:13" s="320" customFormat="1" ht="12.75" hidden="1" customHeight="1" outlineLevel="1">
      <c r="A196" s="322"/>
      <c r="B196" s="823" t="str">
        <f>'HSSA FGD'!$B$2</f>
        <v>The University of Texas Health Science Center at San Antonio</v>
      </c>
      <c r="C196" s="751"/>
      <c r="D196" s="762">
        <f>'HSSA FGD'!$D$25</f>
        <v>0</v>
      </c>
      <c r="E196" s="762">
        <f>'HSSA FGD'!$E$25</f>
        <v>0</v>
      </c>
      <c r="F196" s="762">
        <f>'HSSA FGD'!$F$25</f>
        <v>0</v>
      </c>
      <c r="G196" s="762">
        <f>'HSSA FGD'!$G$25</f>
        <v>0</v>
      </c>
      <c r="H196" s="762">
        <f>'HSSA FGD'!$H$25</f>
        <v>0</v>
      </c>
      <c r="I196" s="762">
        <f>'HSSA FGD'!$I$25</f>
        <v>0</v>
      </c>
      <c r="J196" s="762">
        <f>'HSSA FGD'!$J$25</f>
        <v>0</v>
      </c>
      <c r="K196" s="762">
        <f>'HSSA FGD'!$K$25</f>
        <v>0</v>
      </c>
      <c r="L196" s="762">
        <f>'HSSA FGD'!$L$25</f>
        <v>0</v>
      </c>
      <c r="M196" s="650">
        <f>'HSSA FGD'!$M$25</f>
        <v>0</v>
      </c>
    </row>
    <row r="197" spans="1:13" s="320" customFormat="1" ht="12.75" hidden="1" customHeight="1" outlineLevel="1">
      <c r="A197" s="322"/>
      <c r="B197" s="823" t="str">
        <f>'MBG FGD'!$B$2</f>
        <v>The University of Texas Medical Branch at Galveston</v>
      </c>
      <c r="C197" s="751"/>
      <c r="D197" s="762">
        <f>'MBG FGD'!$D$25</f>
        <v>0</v>
      </c>
      <c r="E197" s="762">
        <f>'MBG FGD'!$E$25</f>
        <v>0</v>
      </c>
      <c r="F197" s="762">
        <f>'MBG FGD'!$F$25</f>
        <v>0</v>
      </c>
      <c r="G197" s="762">
        <f>'MBG FGD'!$G$25</f>
        <v>0</v>
      </c>
      <c r="H197" s="762">
        <f>'MBG FGD'!$H$25</f>
        <v>0</v>
      </c>
      <c r="I197" s="762">
        <f>'MBG FGD'!$I$25</f>
        <v>0</v>
      </c>
      <c r="J197" s="762">
        <f>'MBG FGD'!$J$25</f>
        <v>0</v>
      </c>
      <c r="K197" s="762">
        <f>'MBG FGD'!$K$25</f>
        <v>0</v>
      </c>
      <c r="L197" s="762">
        <f>'MBG FGD'!$L$25</f>
        <v>0</v>
      </c>
      <c r="M197" s="650">
        <f>'MBG FGD'!$M$25</f>
        <v>0</v>
      </c>
    </row>
    <row r="198" spans="1:13" s="320" customFormat="1" ht="12.75" hidden="1" customHeight="1" outlineLevel="1">
      <c r="A198" s="322"/>
      <c r="B198" s="823" t="str">
        <f>'MDA FGD'!$B$2</f>
        <v>The University of Texas M.D. Anderson Cancer Center</v>
      </c>
      <c r="C198" s="751"/>
      <c r="D198" s="762">
        <f>'MDA FGD'!$D$25</f>
        <v>0</v>
      </c>
      <c r="E198" s="762">
        <f>'MDA FGD'!$E$25</f>
        <v>0</v>
      </c>
      <c r="F198" s="762">
        <f>'MDA FGD'!$F$25</f>
        <v>0</v>
      </c>
      <c r="G198" s="762">
        <f>'MDA FGD'!$G$25</f>
        <v>0</v>
      </c>
      <c r="H198" s="762">
        <f>'MDA FGD'!$H$25</f>
        <v>0</v>
      </c>
      <c r="I198" s="762">
        <f>'MDA FGD'!$I$25</f>
        <v>0</v>
      </c>
      <c r="J198" s="762">
        <f>'MDA FGD'!$J$25</f>
        <v>0</v>
      </c>
      <c r="K198" s="762">
        <f>'MDA FGD'!$K$25</f>
        <v>0</v>
      </c>
      <c r="L198" s="762">
        <f>'MDA FGD'!$L$25</f>
        <v>0</v>
      </c>
      <c r="M198" s="650">
        <f>'MDA FGD'!$M$25</f>
        <v>0</v>
      </c>
    </row>
    <row r="199" spans="1:13" s="320" customFormat="1" ht="12.75" hidden="1" customHeight="1" outlineLevel="1">
      <c r="A199" s="322"/>
      <c r="B199" s="823" t="str">
        <f>'RGVM FGD'!$B$2</f>
        <v>The University of Texas Rio Grande Valley Medical School (M)</v>
      </c>
      <c r="C199" s="751"/>
      <c r="D199" s="762">
        <f>'RGVM FGD'!$D$25</f>
        <v>0</v>
      </c>
      <c r="E199" s="762">
        <f>'RGVM FGD'!$E$25</f>
        <v>0</v>
      </c>
      <c r="F199" s="762">
        <f>'RGVM FGD'!$F$25</f>
        <v>0</v>
      </c>
      <c r="G199" s="762">
        <f>'RGVM FGD'!$G$25</f>
        <v>0</v>
      </c>
      <c r="H199" s="762">
        <f>'RGVM FGD'!$H$25</f>
        <v>0</v>
      </c>
      <c r="I199" s="762">
        <f>'RGVM FGD'!$I$25</f>
        <v>0</v>
      </c>
      <c r="J199" s="762">
        <f>'RGVM FGD'!$J$25</f>
        <v>0</v>
      </c>
      <c r="K199" s="762">
        <f>'RGVM FGD'!$K$25</f>
        <v>0</v>
      </c>
      <c r="L199" s="762">
        <f>'RGVM FGD'!$L$25</f>
        <v>0</v>
      </c>
      <c r="M199" s="650">
        <f>'RGVM FGD'!$M$25</f>
        <v>0</v>
      </c>
    </row>
    <row r="200" spans="1:13" s="320" customFormat="1" ht="12.75" hidden="1" customHeight="1" outlineLevel="1">
      <c r="A200" s="322"/>
      <c r="B200" s="823" t="str">
        <f>'SWM FGD'!$B$2</f>
        <v>The University of Texas Southwestern Medical Center</v>
      </c>
      <c r="C200" s="751"/>
      <c r="D200" s="762">
        <f>'SWM FGD'!$D$25</f>
        <v>0</v>
      </c>
      <c r="E200" s="762">
        <f>'SWM FGD'!$E$25</f>
        <v>0</v>
      </c>
      <c r="F200" s="762">
        <f>'SWM FGD'!$F$25</f>
        <v>0</v>
      </c>
      <c r="G200" s="762">
        <f>'SWM FGD'!$G$25</f>
        <v>0</v>
      </c>
      <c r="H200" s="762">
        <f>'SWM FGD'!$H$25</f>
        <v>0</v>
      </c>
      <c r="I200" s="762">
        <f>'SWM FGD'!$I$25</f>
        <v>0</v>
      </c>
      <c r="J200" s="762">
        <f>'SWM FGD'!$J$25</f>
        <v>0</v>
      </c>
      <c r="K200" s="762">
        <f>'SWM FGD'!$K$25</f>
        <v>0</v>
      </c>
      <c r="L200" s="762">
        <f>'SWM FGD'!$L$25</f>
        <v>0</v>
      </c>
      <c r="M200" s="650">
        <f>'SWM FGD'!$M$25</f>
        <v>0</v>
      </c>
    </row>
    <row r="201" spans="1:13" s="320" customFormat="1" ht="12.75" hidden="1" customHeight="1" outlineLevel="1">
      <c r="A201" s="322"/>
      <c r="B201" s="823" t="str">
        <f>'TAMHSC FGD'!$B$2</f>
        <v>Texas A&amp;M University System Health Science Center</v>
      </c>
      <c r="C201" s="751"/>
      <c r="D201" s="762">
        <f>'TAMHSC FGD'!$D$25</f>
        <v>0</v>
      </c>
      <c r="E201" s="762">
        <f>'TAMHSC FGD'!$E$25</f>
        <v>0</v>
      </c>
      <c r="F201" s="762">
        <f>'TAMHSC FGD'!$F$25</f>
        <v>0</v>
      </c>
      <c r="G201" s="762">
        <f>'TAMHSC FGD'!$G$25</f>
        <v>0</v>
      </c>
      <c r="H201" s="762">
        <f>'TAMHSC FGD'!$H$25</f>
        <v>0</v>
      </c>
      <c r="I201" s="762">
        <f>'TAMHSC FGD'!$I$25</f>
        <v>0</v>
      </c>
      <c r="J201" s="762">
        <f>'TAMHSC FGD'!$J$25</f>
        <v>0</v>
      </c>
      <c r="K201" s="762">
        <f>'TAMHSC FGD'!$K$25</f>
        <v>0</v>
      </c>
      <c r="L201" s="762">
        <f>'TAMHSC FGD'!$L$25</f>
        <v>0</v>
      </c>
      <c r="M201" s="650">
        <f>'TAMHSC FGD'!$M$25</f>
        <v>0</v>
      </c>
    </row>
    <row r="202" spans="1:13" s="320" customFormat="1" ht="12.75" hidden="1" customHeight="1" outlineLevel="1">
      <c r="A202" s="322"/>
      <c r="B202" s="823" t="str">
        <f>'THC FGD'!$B$2</f>
        <v>The University of Texas Health Science Center at Tyler</v>
      </c>
      <c r="C202" s="751"/>
      <c r="D202" s="762">
        <f>'THC FGD'!$D$25</f>
        <v>0</v>
      </c>
      <c r="E202" s="762">
        <f>'THC FGD'!$E$25</f>
        <v>0</v>
      </c>
      <c r="F202" s="762">
        <f>'THC FGD'!$F$25</f>
        <v>0</v>
      </c>
      <c r="G202" s="762">
        <f>'THC FGD'!$G$25</f>
        <v>0</v>
      </c>
      <c r="H202" s="762">
        <f>'THC FGD'!$H$25</f>
        <v>0</v>
      </c>
      <c r="I202" s="762">
        <f>'THC FGD'!$I$25</f>
        <v>0</v>
      </c>
      <c r="J202" s="762">
        <f>'THC FGD'!$J$25</f>
        <v>0</v>
      </c>
      <c r="K202" s="762">
        <f>'THC FGD'!$K$25</f>
        <v>0</v>
      </c>
      <c r="L202" s="762">
        <f>'THC FGD'!$L$25</f>
        <v>0</v>
      </c>
      <c r="M202" s="650">
        <f>'THC FGD'!$M$25</f>
        <v>0</v>
      </c>
    </row>
    <row r="203" spans="1:13" s="320" customFormat="1" ht="12.75" hidden="1" customHeight="1" outlineLevel="1">
      <c r="A203" s="322"/>
      <c r="B203" s="823" t="str">
        <f>'TTUHSC FGD'!$B$2</f>
        <v>Texas Tech University Health Sciences Center</v>
      </c>
      <c r="C203" s="751"/>
      <c r="D203" s="762">
        <f>'TTUHSC FGD'!$D$25</f>
        <v>0</v>
      </c>
      <c r="E203" s="762">
        <f>'TTUHSC FGD'!$E$25</f>
        <v>0</v>
      </c>
      <c r="F203" s="762">
        <f>'TTUHSC FGD'!$F$25</f>
        <v>0</v>
      </c>
      <c r="G203" s="762">
        <f>'TTUHSC FGD'!$G$25</f>
        <v>0</v>
      </c>
      <c r="H203" s="762">
        <f>'TTUHSC FGD'!$H$25</f>
        <v>0</v>
      </c>
      <c r="I203" s="762">
        <f>'TTUHSC FGD'!$I$25</f>
        <v>0</v>
      </c>
      <c r="J203" s="762">
        <f>'TTUHSC FGD'!$J$25</f>
        <v>0</v>
      </c>
      <c r="K203" s="762">
        <f>'TTUHSC FGD'!$K$25</f>
        <v>0</v>
      </c>
      <c r="L203" s="762">
        <f>'TTUHSC FGD'!$L$25</f>
        <v>0</v>
      </c>
      <c r="M203" s="650">
        <f>'TTUHSC FGD'!$M$25</f>
        <v>0</v>
      </c>
    </row>
    <row r="204" spans="1:13" s="320" customFormat="1" ht="12.75" hidden="1" customHeight="1" outlineLevel="1">
      <c r="A204" s="322"/>
      <c r="B204" s="823" t="str">
        <f>'TTUHSCEP FGD'!$B$2</f>
        <v>Texas Tech University Health Sciences Center at El Paso</v>
      </c>
      <c r="C204" s="751"/>
      <c r="D204" s="762">
        <f>'TTUHSCEP FGD'!$D$25</f>
        <v>0</v>
      </c>
      <c r="E204" s="762">
        <f>'TTUHSCEP FGD'!$E$25</f>
        <v>0</v>
      </c>
      <c r="F204" s="762">
        <f>'TTUHSCEP FGD'!$F$25</f>
        <v>0</v>
      </c>
      <c r="G204" s="762">
        <f>'TTUHSCEP FGD'!$G$25</f>
        <v>0</v>
      </c>
      <c r="H204" s="762">
        <f>'TTUHSCEP FGD'!$H$25</f>
        <v>0</v>
      </c>
      <c r="I204" s="762">
        <f>'TTUHSCEP FGD'!$I$25</f>
        <v>0</v>
      </c>
      <c r="J204" s="762">
        <f>'TTUHSCEP FGD'!$J$25</f>
        <v>0</v>
      </c>
      <c r="K204" s="762">
        <f>'TTUHSCEP FGD'!$K$25</f>
        <v>0</v>
      </c>
      <c r="L204" s="762">
        <f>'TTUHSCEP FGD'!$L$25</f>
        <v>0</v>
      </c>
      <c r="M204" s="650">
        <f>'TTUHSCEP FGD'!$M$25</f>
        <v>0</v>
      </c>
    </row>
    <row r="205" spans="1:13" s="320" customFormat="1" ht="12.75" hidden="1" customHeight="1" outlineLevel="1">
      <c r="A205" s="322"/>
      <c r="B205" s="823" t="str">
        <f>'UHM FGD'!$B$2</f>
        <v>University of Houston Medical School (M)</v>
      </c>
      <c r="C205" s="751"/>
      <c r="D205" s="762">
        <f>'UHM FGD'!$D$25</f>
        <v>0</v>
      </c>
      <c r="E205" s="762">
        <f>'UHM FGD'!$E$25</f>
        <v>0</v>
      </c>
      <c r="F205" s="762">
        <f>'UHM FGD'!$F$25</f>
        <v>0</v>
      </c>
      <c r="G205" s="762">
        <f>'UHM FGD'!$G$25</f>
        <v>0</v>
      </c>
      <c r="H205" s="762">
        <f>'UHM FGD'!$H$25</f>
        <v>0</v>
      </c>
      <c r="I205" s="762">
        <f>'UHM FGD'!$I$25</f>
        <v>0</v>
      </c>
      <c r="J205" s="762">
        <f>'UHM FGD'!$J$25</f>
        <v>0</v>
      </c>
      <c r="K205" s="762">
        <f>'UHM FGD'!$K$25</f>
        <v>0</v>
      </c>
      <c r="L205" s="762">
        <f>'UHM FGD'!$L$25</f>
        <v>0</v>
      </c>
      <c r="M205" s="650">
        <f>'UHM FGD'!$M$25</f>
        <v>0</v>
      </c>
    </row>
    <row r="206" spans="1:13" s="320" customFormat="1" ht="12.75" hidden="1" customHeight="1" outlineLevel="1">
      <c r="A206" s="322"/>
      <c r="B206" s="823" t="str">
        <f>'UNTHSC1 FGD'!$B$2</f>
        <v>University of North Texas Health Science Center at Fort Worth (Public Medical)</v>
      </c>
      <c r="C206" s="751"/>
      <c r="D206" s="762">
        <f>'UNTHSC1 FGD'!$D$25</f>
        <v>0</v>
      </c>
      <c r="E206" s="762">
        <f>'UNTHSC1 FGD'!$E$25</f>
        <v>0</v>
      </c>
      <c r="F206" s="762">
        <f>'UNTHSC1 FGD'!$F$25</f>
        <v>0</v>
      </c>
      <c r="G206" s="762">
        <f>'UNTHSC1 FGD'!$G$25</f>
        <v>0</v>
      </c>
      <c r="H206" s="762">
        <f>'UNTHSC1 FGD'!$H$25</f>
        <v>0</v>
      </c>
      <c r="I206" s="762">
        <f>'UNTHSC1 FGD'!$I$25</f>
        <v>0</v>
      </c>
      <c r="J206" s="762">
        <f>'UNTHSC1 FGD'!$J$25</f>
        <v>0</v>
      </c>
      <c r="K206" s="762">
        <f>'UNTHSC1 FGD'!$K$25</f>
        <v>0</v>
      </c>
      <c r="L206" s="762">
        <f>'UNTHSC1 FGD'!$L$25</f>
        <v>0</v>
      </c>
      <c r="M206" s="650">
        <f>'UNTHSC1 FGD'!$M$25</f>
        <v>0</v>
      </c>
    </row>
    <row r="207" spans="1:13" s="320" customFormat="1" ht="12.75" customHeight="1" collapsed="1">
      <c r="A207" s="322"/>
      <c r="B207" s="320" t="s">
        <v>597</v>
      </c>
      <c r="C207" s="751"/>
      <c r="D207" s="762">
        <f t="shared" ref="D207:M207" si="13">SUM(D194:D206)</f>
        <v>0</v>
      </c>
      <c r="E207" s="762">
        <f t="shared" si="13"/>
        <v>0</v>
      </c>
      <c r="F207" s="762">
        <f t="shared" si="13"/>
        <v>0</v>
      </c>
      <c r="G207" s="762">
        <f t="shared" si="13"/>
        <v>0</v>
      </c>
      <c r="H207" s="762">
        <f t="shared" si="13"/>
        <v>0</v>
      </c>
      <c r="I207" s="762">
        <f t="shared" si="13"/>
        <v>0</v>
      </c>
      <c r="J207" s="762">
        <f t="shared" si="13"/>
        <v>0</v>
      </c>
      <c r="K207" s="762">
        <f t="shared" si="13"/>
        <v>0</v>
      </c>
      <c r="L207" s="762">
        <f t="shared" si="13"/>
        <v>0</v>
      </c>
      <c r="M207" s="650">
        <f t="shared" si="13"/>
        <v>0</v>
      </c>
    </row>
    <row r="208" spans="1:13" s="320" customFormat="1" ht="12.75" hidden="1" customHeight="1" outlineLevel="1">
      <c r="A208" s="322"/>
      <c r="B208" s="823" t="str">
        <f>'AUSM FGD'!$B$2</f>
        <v>The University of Texas at Austin Medical School (M)</v>
      </c>
      <c r="C208" s="751"/>
      <c r="D208" s="762">
        <f>'AUSM FGD'!$D$26</f>
        <v>0</v>
      </c>
      <c r="E208" s="762">
        <f>'AUSM FGD'!$E$26</f>
        <v>0</v>
      </c>
      <c r="F208" s="762">
        <f>'AUSM FGD'!$F$26</f>
        <v>0</v>
      </c>
      <c r="G208" s="762">
        <f>'AUSM FGD'!$G$26</f>
        <v>0</v>
      </c>
      <c r="H208" s="762">
        <f>'AUSM FGD'!$H$26</f>
        <v>0</v>
      </c>
      <c r="I208" s="762">
        <f>'AUSM FGD'!$I$26</f>
        <v>0</v>
      </c>
      <c r="J208" s="762">
        <f>'AUSM FGD'!$J$26</f>
        <v>0</v>
      </c>
      <c r="K208" s="762">
        <f>'AUSM FGD'!$K$26</f>
        <v>0</v>
      </c>
      <c r="L208" s="762">
        <f>'AUSM FGD'!$L$26</f>
        <v>0</v>
      </c>
      <c r="M208" s="650">
        <f>'AUSM FGD'!$M$26</f>
        <v>0</v>
      </c>
    </row>
    <row r="209" spans="1:13" s="320" customFormat="1" ht="12.75" hidden="1" customHeight="1" outlineLevel="1">
      <c r="A209" s="322"/>
      <c r="B209" s="823" t="str">
        <f>'HSH FGD'!$B$2</f>
        <v>The University of Texas Health Science Center at Houston</v>
      </c>
      <c r="C209" s="751"/>
      <c r="D209" s="762">
        <f>'HSH FGD'!$D$26</f>
        <v>-301504</v>
      </c>
      <c r="E209" s="762">
        <f>'HSH FGD'!$E$26</f>
        <v>-489140</v>
      </c>
      <c r="F209" s="762">
        <f>'HSH FGD'!$F$26</f>
        <v>0</v>
      </c>
      <c r="G209" s="762">
        <f>'HSH FGD'!$G$26</f>
        <v>0</v>
      </c>
      <c r="H209" s="762">
        <f>'HSH FGD'!$H$26</f>
        <v>0</v>
      </c>
      <c r="I209" s="762">
        <f>'HSH FGD'!$I$26</f>
        <v>0</v>
      </c>
      <c r="J209" s="762">
        <f>'HSH FGD'!$J$26</f>
        <v>0</v>
      </c>
      <c r="K209" s="762">
        <f>'HSH FGD'!$K$26</f>
        <v>0</v>
      </c>
      <c r="L209" s="762">
        <f>'HSH FGD'!$L$26</f>
        <v>0</v>
      </c>
      <c r="M209" s="650">
        <f>'HSH FGD'!$M$26</f>
        <v>-790644</v>
      </c>
    </row>
    <row r="210" spans="1:13" s="320" customFormat="1" ht="12.75" hidden="1" customHeight="1" outlineLevel="1">
      <c r="A210" s="322"/>
      <c r="B210" s="823" t="str">
        <f>'HSSA FGD'!$B$2</f>
        <v>The University of Texas Health Science Center at San Antonio</v>
      </c>
      <c r="C210" s="751"/>
      <c r="D210" s="762">
        <f>'HSSA FGD'!$D$26</f>
        <v>-1437643</v>
      </c>
      <c r="E210" s="762">
        <f>'HSSA FGD'!$E$26</f>
        <v>0</v>
      </c>
      <c r="F210" s="762">
        <f>'HSSA FGD'!$F$26</f>
        <v>0</v>
      </c>
      <c r="G210" s="762">
        <f>'HSSA FGD'!$G$26</f>
        <v>0</v>
      </c>
      <c r="H210" s="762">
        <f>'HSSA FGD'!$H$26</f>
        <v>0</v>
      </c>
      <c r="I210" s="762">
        <f>'HSSA FGD'!$I$26</f>
        <v>0</v>
      </c>
      <c r="J210" s="762">
        <f>'HSSA FGD'!$J$26</f>
        <v>0</v>
      </c>
      <c r="K210" s="762">
        <f>'HSSA FGD'!$K$26</f>
        <v>0</v>
      </c>
      <c r="L210" s="762">
        <f>'HSSA FGD'!$L$26</f>
        <v>0</v>
      </c>
      <c r="M210" s="650">
        <f>'HSSA FGD'!$M$26</f>
        <v>-1437643</v>
      </c>
    </row>
    <row r="211" spans="1:13" s="320" customFormat="1" ht="12.75" hidden="1" customHeight="1" outlineLevel="1">
      <c r="A211" s="322"/>
      <c r="B211" s="823" t="str">
        <f>'MBG FGD'!$B$2</f>
        <v>The University of Texas Medical Branch at Galveston</v>
      </c>
      <c r="C211" s="751"/>
      <c r="D211" s="762">
        <f>'MBG FGD'!$D$26</f>
        <v>-229337</v>
      </c>
      <c r="E211" s="762">
        <f>'MBG FGD'!$E$26</f>
        <v>-641896</v>
      </c>
      <c r="F211" s="762">
        <f>'MBG FGD'!$F$26</f>
        <v>0</v>
      </c>
      <c r="G211" s="762">
        <f>'MBG FGD'!$G$26</f>
        <v>0</v>
      </c>
      <c r="H211" s="762">
        <f>'MBG FGD'!$H$26</f>
        <v>0</v>
      </c>
      <c r="I211" s="762">
        <f>'MBG FGD'!$I$26</f>
        <v>0</v>
      </c>
      <c r="J211" s="762">
        <f>'MBG FGD'!$J$26</f>
        <v>0</v>
      </c>
      <c r="K211" s="762">
        <f>'MBG FGD'!$K$26</f>
        <v>0</v>
      </c>
      <c r="L211" s="762">
        <f>'MBG FGD'!$L$26</f>
        <v>0</v>
      </c>
      <c r="M211" s="650">
        <f>'MBG FGD'!$M$26</f>
        <v>-871233</v>
      </c>
    </row>
    <row r="212" spans="1:13" s="320" customFormat="1" ht="12.75" hidden="1" customHeight="1" outlineLevel="1">
      <c r="A212" s="322"/>
      <c r="B212" s="823" t="str">
        <f>'MDA FGD'!$B$2</f>
        <v>The University of Texas M.D. Anderson Cancer Center</v>
      </c>
      <c r="C212" s="751"/>
      <c r="D212" s="762">
        <f>'MDA FGD'!$D$26</f>
        <v>-1200</v>
      </c>
      <c r="E212" s="762">
        <f>'MDA FGD'!$E$26</f>
        <v>0</v>
      </c>
      <c r="F212" s="762">
        <f>'MDA FGD'!$F$26</f>
        <v>0</v>
      </c>
      <c r="G212" s="762">
        <f>'MDA FGD'!$G$26</f>
        <v>0</v>
      </c>
      <c r="H212" s="762">
        <f>'MDA FGD'!$H$26</f>
        <v>0</v>
      </c>
      <c r="I212" s="762">
        <f>'MDA FGD'!$I$26</f>
        <v>0</v>
      </c>
      <c r="J212" s="762">
        <f>'MDA FGD'!$J$26</f>
        <v>0</v>
      </c>
      <c r="K212" s="762">
        <f>'MDA FGD'!$K$26</f>
        <v>0</v>
      </c>
      <c r="L212" s="762">
        <f>'MDA FGD'!$L$26</f>
        <v>0</v>
      </c>
      <c r="M212" s="650">
        <f>'MDA FGD'!$M$26</f>
        <v>-1200</v>
      </c>
    </row>
    <row r="213" spans="1:13" s="320" customFormat="1" ht="12.75" hidden="1" customHeight="1" outlineLevel="1">
      <c r="A213" s="322"/>
      <c r="B213" s="823" t="str">
        <f>'RGVM FGD'!$B$2</f>
        <v>The University of Texas Rio Grande Valley Medical School (M)</v>
      </c>
      <c r="C213" s="751"/>
      <c r="D213" s="762">
        <f>'RGVM FGD'!$D$26</f>
        <v>-77417</v>
      </c>
      <c r="E213" s="762">
        <f>'RGVM FGD'!$E$26</f>
        <v>0</v>
      </c>
      <c r="F213" s="762">
        <f>'RGVM FGD'!$F$26</f>
        <v>0</v>
      </c>
      <c r="G213" s="762">
        <f>'RGVM FGD'!$G$26</f>
        <v>0</v>
      </c>
      <c r="H213" s="762">
        <f>'RGVM FGD'!$H$26</f>
        <v>0</v>
      </c>
      <c r="I213" s="762">
        <f>'RGVM FGD'!$I$26</f>
        <v>0</v>
      </c>
      <c r="J213" s="762">
        <f>'RGVM FGD'!$J$26</f>
        <v>0</v>
      </c>
      <c r="K213" s="762">
        <f>'RGVM FGD'!$K$26</f>
        <v>0</v>
      </c>
      <c r="L213" s="762">
        <f>'RGVM FGD'!$L$26</f>
        <v>0</v>
      </c>
      <c r="M213" s="650">
        <f>'RGVM FGD'!$M$26</f>
        <v>-77417</v>
      </c>
    </row>
    <row r="214" spans="1:13" s="320" customFormat="1" ht="12.75" hidden="1" customHeight="1" outlineLevel="1">
      <c r="A214" s="322"/>
      <c r="B214" s="823" t="str">
        <f>'SWM FGD'!$B$2</f>
        <v>The University of Texas Southwestern Medical Center</v>
      </c>
      <c r="C214" s="751"/>
      <c r="D214" s="762">
        <f>'SWM FGD'!$D$26</f>
        <v>-236246</v>
      </c>
      <c r="E214" s="762">
        <f>'SWM FGD'!$E$26</f>
        <v>0</v>
      </c>
      <c r="F214" s="762">
        <f>'SWM FGD'!$F$26</f>
        <v>0</v>
      </c>
      <c r="G214" s="762">
        <f>'SWM FGD'!$G$26</f>
        <v>0</v>
      </c>
      <c r="H214" s="762">
        <f>'SWM FGD'!$H$26</f>
        <v>0</v>
      </c>
      <c r="I214" s="762">
        <f>'SWM FGD'!$I$26</f>
        <v>0</v>
      </c>
      <c r="J214" s="762">
        <f>'SWM FGD'!$J$26</f>
        <v>0</v>
      </c>
      <c r="K214" s="762">
        <f>'SWM FGD'!$K$26</f>
        <v>0</v>
      </c>
      <c r="L214" s="762">
        <f>'SWM FGD'!$L$26</f>
        <v>0</v>
      </c>
      <c r="M214" s="650">
        <f>'SWM FGD'!$M$26</f>
        <v>-236246</v>
      </c>
    </row>
    <row r="215" spans="1:13" s="320" customFormat="1" ht="12.75" hidden="1" customHeight="1" outlineLevel="1">
      <c r="A215" s="322"/>
      <c r="B215" s="823" t="str">
        <f>'TAMHSC FGD'!$B$2</f>
        <v>Texas A&amp;M University System Health Science Center</v>
      </c>
      <c r="C215" s="751"/>
      <c r="D215" s="762">
        <f>'TAMHSC FGD'!$D$26</f>
        <v>-375386</v>
      </c>
      <c r="E215" s="762">
        <f>'TAMHSC FGD'!$E$26</f>
        <v>-789749</v>
      </c>
      <c r="F215" s="762">
        <f>'TAMHSC FGD'!$F$26</f>
        <v>0</v>
      </c>
      <c r="G215" s="762">
        <f>'TAMHSC FGD'!$G$26</f>
        <v>0</v>
      </c>
      <c r="H215" s="762">
        <f>'TAMHSC FGD'!$H$26</f>
        <v>0</v>
      </c>
      <c r="I215" s="762">
        <f>'TAMHSC FGD'!$I$26</f>
        <v>0</v>
      </c>
      <c r="J215" s="762">
        <f>'TAMHSC FGD'!$J$26</f>
        <v>0</v>
      </c>
      <c r="K215" s="762">
        <f>'TAMHSC FGD'!$K$26</f>
        <v>0</v>
      </c>
      <c r="L215" s="762">
        <f>'TAMHSC FGD'!$L$26</f>
        <v>0</v>
      </c>
      <c r="M215" s="650">
        <f>'TAMHSC FGD'!$M$26</f>
        <v>-1165135</v>
      </c>
    </row>
    <row r="216" spans="1:13" s="320" customFormat="1" ht="12.75" hidden="1" customHeight="1" outlineLevel="1">
      <c r="A216" s="322"/>
      <c r="B216" s="823" t="str">
        <f>'THC FGD'!$B$2</f>
        <v>The University of Texas Health Science Center at Tyler</v>
      </c>
      <c r="C216" s="751"/>
      <c r="D216" s="762">
        <f>'THC FGD'!$D$26</f>
        <v>0</v>
      </c>
      <c r="E216" s="762">
        <f>'THC FGD'!$E$26</f>
        <v>0</v>
      </c>
      <c r="F216" s="762">
        <f>'THC FGD'!$F$26</f>
        <v>0</v>
      </c>
      <c r="G216" s="762">
        <f>'THC FGD'!$G$26</f>
        <v>0</v>
      </c>
      <c r="H216" s="762">
        <f>'THC FGD'!$H$26</f>
        <v>0</v>
      </c>
      <c r="I216" s="762">
        <f>'THC FGD'!$I$26</f>
        <v>0</v>
      </c>
      <c r="J216" s="762">
        <f>'THC FGD'!$J$26</f>
        <v>0</v>
      </c>
      <c r="K216" s="762">
        <f>'THC FGD'!$K$26</f>
        <v>0</v>
      </c>
      <c r="L216" s="762">
        <f>'THC FGD'!$L$26</f>
        <v>0</v>
      </c>
      <c r="M216" s="650">
        <f>'THC FGD'!$M$26</f>
        <v>0</v>
      </c>
    </row>
    <row r="217" spans="1:13" s="320" customFormat="1" ht="12.75" hidden="1" customHeight="1" outlineLevel="1">
      <c r="A217" s="322"/>
      <c r="B217" s="823" t="str">
        <f>'TTUHSC FGD'!$B$2</f>
        <v>Texas Tech University Health Sciences Center</v>
      </c>
      <c r="C217" s="751"/>
      <c r="D217" s="762">
        <f>'TTUHSC FGD'!$D$26</f>
        <v>-374736</v>
      </c>
      <c r="E217" s="762">
        <f>'TTUHSC FGD'!$E$26</f>
        <v>-1127171</v>
      </c>
      <c r="F217" s="762">
        <f>'TTUHSC FGD'!$F$26</f>
        <v>0</v>
      </c>
      <c r="G217" s="762">
        <f>'TTUHSC FGD'!$G$26</f>
        <v>0</v>
      </c>
      <c r="H217" s="762">
        <f>'TTUHSC FGD'!$H$26</f>
        <v>0</v>
      </c>
      <c r="I217" s="762">
        <f>'TTUHSC FGD'!$I$26</f>
        <v>0</v>
      </c>
      <c r="J217" s="762">
        <f>'TTUHSC FGD'!$J$26</f>
        <v>0</v>
      </c>
      <c r="K217" s="762">
        <f>'TTUHSC FGD'!$K$26</f>
        <v>0</v>
      </c>
      <c r="L217" s="762">
        <f>'TTUHSC FGD'!$L$26</f>
        <v>0</v>
      </c>
      <c r="M217" s="650">
        <f>'TTUHSC FGD'!$M$26</f>
        <v>-1501907</v>
      </c>
    </row>
    <row r="218" spans="1:13" s="320" customFormat="1" ht="12.75" hidden="1" customHeight="1" outlineLevel="1">
      <c r="A218" s="322"/>
      <c r="B218" s="823" t="str">
        <f>'TTUHSCEP FGD'!$B$2</f>
        <v>Texas Tech University Health Sciences Center at El Paso</v>
      </c>
      <c r="C218" s="751"/>
      <c r="D218" s="762">
        <f>'TTUHSCEP FGD'!$D$26</f>
        <v>-70773</v>
      </c>
      <c r="E218" s="762">
        <f>'TTUHSCEP FGD'!$E$26</f>
        <v>-137661</v>
      </c>
      <c r="F218" s="762">
        <f>'TTUHSCEP FGD'!$F$26</f>
        <v>0</v>
      </c>
      <c r="G218" s="762">
        <f>'TTUHSCEP FGD'!$G$26</f>
        <v>0</v>
      </c>
      <c r="H218" s="762">
        <f>'TTUHSCEP FGD'!$H$26</f>
        <v>0</v>
      </c>
      <c r="I218" s="762">
        <f>'TTUHSCEP FGD'!$I$26</f>
        <v>0</v>
      </c>
      <c r="J218" s="762">
        <f>'TTUHSCEP FGD'!$J$26</f>
        <v>0</v>
      </c>
      <c r="K218" s="762">
        <f>'TTUHSCEP FGD'!$K$26</f>
        <v>0</v>
      </c>
      <c r="L218" s="762">
        <f>'TTUHSCEP FGD'!$L$26</f>
        <v>0</v>
      </c>
      <c r="M218" s="650">
        <f>'TTUHSCEP FGD'!$M$26</f>
        <v>-208434</v>
      </c>
    </row>
    <row r="219" spans="1:13" s="320" customFormat="1" ht="12.75" hidden="1" customHeight="1" outlineLevel="1">
      <c r="A219" s="322"/>
      <c r="B219" s="823" t="str">
        <f>'UHM FGD'!$B$2</f>
        <v>University of Houston Medical School (M)</v>
      </c>
      <c r="C219" s="751"/>
      <c r="D219" s="762">
        <f>'UHM FGD'!$D$26</f>
        <v>0</v>
      </c>
      <c r="E219" s="762">
        <f>'UHM FGD'!$E$26</f>
        <v>0</v>
      </c>
      <c r="F219" s="762">
        <f>'UHM FGD'!$F$26</f>
        <v>0</v>
      </c>
      <c r="G219" s="762">
        <f>'UHM FGD'!$G$26</f>
        <v>0</v>
      </c>
      <c r="H219" s="762">
        <f>'UHM FGD'!$H$26</f>
        <v>0</v>
      </c>
      <c r="I219" s="762">
        <f>'UHM FGD'!$I$26</f>
        <v>0</v>
      </c>
      <c r="J219" s="762">
        <f>'UHM FGD'!$J$26</f>
        <v>0</v>
      </c>
      <c r="K219" s="762">
        <f>'UHM FGD'!$K$26</f>
        <v>0</v>
      </c>
      <c r="L219" s="762">
        <f>'UHM FGD'!$L$26</f>
        <v>0</v>
      </c>
      <c r="M219" s="650">
        <f>'UHM FGD'!$M$26</f>
        <v>0</v>
      </c>
    </row>
    <row r="220" spans="1:13" s="320" customFormat="1" ht="12.75" hidden="1" customHeight="1" outlineLevel="1">
      <c r="A220" s="322"/>
      <c r="B220" s="823" t="str">
        <f>'UNTHSC1 FGD'!$B$2</f>
        <v>University of North Texas Health Science Center at Fort Worth (Public Medical)</v>
      </c>
      <c r="C220" s="751"/>
      <c r="D220" s="762">
        <f>'UNTHSC1 FGD'!$D$26</f>
        <v>0</v>
      </c>
      <c r="E220" s="762">
        <f>'UNTHSC1 FGD'!$E$26</f>
        <v>0</v>
      </c>
      <c r="F220" s="762">
        <f>'UNTHSC1 FGD'!$F$26</f>
        <v>0</v>
      </c>
      <c r="G220" s="762">
        <f>'UNTHSC1 FGD'!$G$26</f>
        <v>0</v>
      </c>
      <c r="H220" s="762">
        <f>'UNTHSC1 FGD'!$H$26</f>
        <v>0</v>
      </c>
      <c r="I220" s="762">
        <f>'UNTHSC1 FGD'!$I$26</f>
        <v>0</v>
      </c>
      <c r="J220" s="762">
        <f>'UNTHSC1 FGD'!$J$26</f>
        <v>0</v>
      </c>
      <c r="K220" s="762">
        <f>'UNTHSC1 FGD'!$K$26</f>
        <v>0</v>
      </c>
      <c r="L220" s="762">
        <f>'UNTHSC1 FGD'!$L$26</f>
        <v>0</v>
      </c>
      <c r="M220" s="650">
        <f>'UNTHSC1 FGD'!$M$26</f>
        <v>0</v>
      </c>
    </row>
    <row r="221" spans="1:13" s="320" customFormat="1" ht="12.75" customHeight="1" collapsed="1">
      <c r="A221" s="322"/>
      <c r="B221" s="320" t="s">
        <v>598</v>
      </c>
      <c r="C221" s="751"/>
      <c r="D221" s="762">
        <f t="shared" ref="D221:M221" si="14">SUM(D208:D220)</f>
        <v>-3104242</v>
      </c>
      <c r="E221" s="762">
        <f t="shared" si="14"/>
        <v>-3185617</v>
      </c>
      <c r="F221" s="762">
        <f t="shared" si="14"/>
        <v>0</v>
      </c>
      <c r="G221" s="762">
        <f t="shared" si="14"/>
        <v>0</v>
      </c>
      <c r="H221" s="762">
        <f t="shared" si="14"/>
        <v>0</v>
      </c>
      <c r="I221" s="762">
        <f t="shared" si="14"/>
        <v>0</v>
      </c>
      <c r="J221" s="762">
        <f t="shared" si="14"/>
        <v>0</v>
      </c>
      <c r="K221" s="762">
        <f t="shared" si="14"/>
        <v>0</v>
      </c>
      <c r="L221" s="762">
        <f t="shared" si="14"/>
        <v>0</v>
      </c>
      <c r="M221" s="650">
        <f t="shared" si="14"/>
        <v>-6289859</v>
      </c>
    </row>
    <row r="222" spans="1:13" s="320" customFormat="1" ht="12.75" hidden="1" customHeight="1" outlineLevel="1">
      <c r="A222" s="322"/>
      <c r="B222" s="823" t="str">
        <f>'AUSM FGD'!$B$2</f>
        <v>The University of Texas at Austin Medical School (M)</v>
      </c>
      <c r="C222" s="751"/>
      <c r="D222" s="762">
        <f>'AUSM FGD'!$D$27</f>
        <v>0</v>
      </c>
      <c r="E222" s="762">
        <f>'AUSM FGD'!$E$27</f>
        <v>0</v>
      </c>
      <c r="F222" s="762">
        <f>'AUSM FGD'!$F$27</f>
        <v>0</v>
      </c>
      <c r="G222" s="762">
        <f>'AUSM FGD'!$G$27</f>
        <v>0</v>
      </c>
      <c r="H222" s="762">
        <f>'AUSM FGD'!$H$27</f>
        <v>0</v>
      </c>
      <c r="I222" s="762">
        <f>'AUSM FGD'!$I$27</f>
        <v>0</v>
      </c>
      <c r="J222" s="762">
        <f>'AUSM FGD'!$J$27</f>
        <v>0</v>
      </c>
      <c r="K222" s="762">
        <f>'AUSM FGD'!$K$27</f>
        <v>0</v>
      </c>
      <c r="L222" s="762">
        <f>'AUSM FGD'!$L$27</f>
        <v>0</v>
      </c>
      <c r="M222" s="650">
        <f>'AUSM FGD'!$M$27</f>
        <v>0</v>
      </c>
    </row>
    <row r="223" spans="1:13" s="320" customFormat="1" ht="12.75" hidden="1" customHeight="1" outlineLevel="1">
      <c r="A223" s="322"/>
      <c r="B223" s="823" t="str">
        <f>'HSH FGD'!$B$2</f>
        <v>The University of Texas Health Science Center at Houston</v>
      </c>
      <c r="C223" s="751"/>
      <c r="D223" s="762">
        <f>'HSH FGD'!$D$27</f>
        <v>0</v>
      </c>
      <c r="E223" s="762">
        <f>'HSH FGD'!$E$27</f>
        <v>0</v>
      </c>
      <c r="F223" s="762">
        <f>'HSH FGD'!$F$27</f>
        <v>0</v>
      </c>
      <c r="G223" s="762">
        <f>'HSH FGD'!$G$27</f>
        <v>0</v>
      </c>
      <c r="H223" s="762">
        <f>'HSH FGD'!$H$27</f>
        <v>0</v>
      </c>
      <c r="I223" s="762">
        <f>'HSH FGD'!$I$27</f>
        <v>0</v>
      </c>
      <c r="J223" s="762">
        <f>'HSH FGD'!$J$27</f>
        <v>0</v>
      </c>
      <c r="K223" s="762">
        <f>'HSH FGD'!$K$27</f>
        <v>0</v>
      </c>
      <c r="L223" s="762">
        <f>'HSH FGD'!$L$27</f>
        <v>0</v>
      </c>
      <c r="M223" s="650">
        <f>'HSH FGD'!$M$27</f>
        <v>0</v>
      </c>
    </row>
    <row r="224" spans="1:13" s="320" customFormat="1" ht="12.75" hidden="1" customHeight="1" outlineLevel="1">
      <c r="A224" s="322"/>
      <c r="B224" s="823" t="str">
        <f>'HSSA FGD'!$B$2</f>
        <v>The University of Texas Health Science Center at San Antonio</v>
      </c>
      <c r="C224" s="751"/>
      <c r="D224" s="762">
        <f>'HSSA FGD'!$D$27</f>
        <v>0</v>
      </c>
      <c r="E224" s="762">
        <f>'HSSA FGD'!$E$27</f>
        <v>0</v>
      </c>
      <c r="F224" s="762">
        <f>'HSSA FGD'!$F$27</f>
        <v>0</v>
      </c>
      <c r="G224" s="762">
        <f>'HSSA FGD'!$G$27</f>
        <v>0</v>
      </c>
      <c r="H224" s="762">
        <f>'HSSA FGD'!$H$27</f>
        <v>0</v>
      </c>
      <c r="I224" s="762">
        <f>'HSSA FGD'!$I$27</f>
        <v>0</v>
      </c>
      <c r="J224" s="762">
        <f>'HSSA FGD'!$J$27</f>
        <v>0</v>
      </c>
      <c r="K224" s="762">
        <f>'HSSA FGD'!$K$27</f>
        <v>0</v>
      </c>
      <c r="L224" s="762">
        <f>'HSSA FGD'!$L$27</f>
        <v>0</v>
      </c>
      <c r="M224" s="650">
        <f>'HSSA FGD'!$M$27</f>
        <v>0</v>
      </c>
    </row>
    <row r="225" spans="1:13" s="320" customFormat="1" ht="12.75" hidden="1" customHeight="1" outlineLevel="1">
      <c r="A225" s="322"/>
      <c r="B225" s="823" t="str">
        <f>'MBG FGD'!$B$2</f>
        <v>The University of Texas Medical Branch at Galveston</v>
      </c>
      <c r="C225" s="751"/>
      <c r="D225" s="762">
        <f>'MBG FGD'!$D$27</f>
        <v>0</v>
      </c>
      <c r="E225" s="762">
        <f>'MBG FGD'!$E$27</f>
        <v>0</v>
      </c>
      <c r="F225" s="762">
        <f>'MBG FGD'!$F$27</f>
        <v>0</v>
      </c>
      <c r="G225" s="762">
        <f>'MBG FGD'!$G$27</f>
        <v>0</v>
      </c>
      <c r="H225" s="762">
        <f>'MBG FGD'!$H$27</f>
        <v>0</v>
      </c>
      <c r="I225" s="762">
        <f>'MBG FGD'!$I$27</f>
        <v>0</v>
      </c>
      <c r="J225" s="762">
        <f>'MBG FGD'!$J$27</f>
        <v>0</v>
      </c>
      <c r="K225" s="762">
        <f>'MBG FGD'!$K$27</f>
        <v>0</v>
      </c>
      <c r="L225" s="762">
        <f>'MBG FGD'!$L$27</f>
        <v>0</v>
      </c>
      <c r="M225" s="650">
        <f>'MBG FGD'!$M$27</f>
        <v>0</v>
      </c>
    </row>
    <row r="226" spans="1:13" s="320" customFormat="1" ht="12.75" hidden="1" customHeight="1" outlineLevel="1">
      <c r="A226" s="322"/>
      <c r="B226" s="823" t="str">
        <f>'MDA FGD'!$B$2</f>
        <v>The University of Texas M.D. Anderson Cancer Center</v>
      </c>
      <c r="C226" s="751"/>
      <c r="D226" s="762">
        <f>'MDA FGD'!$D$27</f>
        <v>0</v>
      </c>
      <c r="E226" s="762">
        <f>'MDA FGD'!$E$27</f>
        <v>-1507</v>
      </c>
      <c r="F226" s="762">
        <f>'MDA FGD'!$F$27</f>
        <v>0</v>
      </c>
      <c r="G226" s="762">
        <f>'MDA FGD'!$G$27</f>
        <v>0</v>
      </c>
      <c r="H226" s="762">
        <f>'MDA FGD'!$H$27</f>
        <v>0</v>
      </c>
      <c r="I226" s="762">
        <f>'MDA FGD'!$I$27</f>
        <v>0</v>
      </c>
      <c r="J226" s="762">
        <f>'MDA FGD'!$J$27</f>
        <v>0</v>
      </c>
      <c r="K226" s="762">
        <f>'MDA FGD'!$K$27</f>
        <v>0</v>
      </c>
      <c r="L226" s="762">
        <f>'MDA FGD'!$L$27</f>
        <v>0</v>
      </c>
      <c r="M226" s="650">
        <f>'MDA FGD'!$M$27</f>
        <v>-1507</v>
      </c>
    </row>
    <row r="227" spans="1:13" s="320" customFormat="1" ht="12.75" hidden="1" customHeight="1" outlineLevel="1">
      <c r="A227" s="322"/>
      <c r="B227" s="823" t="str">
        <f>'RGVM FGD'!$B$2</f>
        <v>The University of Texas Rio Grande Valley Medical School (M)</v>
      </c>
      <c r="C227" s="751"/>
      <c r="D227" s="762">
        <f>'RGVM FGD'!$D$27</f>
        <v>0</v>
      </c>
      <c r="E227" s="762">
        <f>'RGVM FGD'!$E$27</f>
        <v>0</v>
      </c>
      <c r="F227" s="762">
        <f>'RGVM FGD'!$F$27</f>
        <v>0</v>
      </c>
      <c r="G227" s="762">
        <f>'RGVM FGD'!$G$27</f>
        <v>0</v>
      </c>
      <c r="H227" s="762">
        <f>'RGVM FGD'!$H$27</f>
        <v>0</v>
      </c>
      <c r="I227" s="762">
        <f>'RGVM FGD'!$I$27</f>
        <v>0</v>
      </c>
      <c r="J227" s="762">
        <f>'RGVM FGD'!$J$27</f>
        <v>0</v>
      </c>
      <c r="K227" s="762">
        <f>'RGVM FGD'!$K$27</f>
        <v>0</v>
      </c>
      <c r="L227" s="762">
        <f>'RGVM FGD'!$L$27</f>
        <v>0</v>
      </c>
      <c r="M227" s="650">
        <f>'RGVM FGD'!$M$27</f>
        <v>0</v>
      </c>
    </row>
    <row r="228" spans="1:13" s="320" customFormat="1" ht="12.75" hidden="1" customHeight="1" outlineLevel="1">
      <c r="A228" s="322"/>
      <c r="B228" s="823" t="str">
        <f>'SWM FGD'!$B$2</f>
        <v>The University of Texas Southwestern Medical Center</v>
      </c>
      <c r="C228" s="751"/>
      <c r="D228" s="762">
        <f>'SWM FGD'!$D$27</f>
        <v>0</v>
      </c>
      <c r="E228" s="762">
        <f>'SWM FGD'!$E$27</f>
        <v>0</v>
      </c>
      <c r="F228" s="762">
        <f>'SWM FGD'!$F$27</f>
        <v>0</v>
      </c>
      <c r="G228" s="762">
        <f>'SWM FGD'!$G$27</f>
        <v>0</v>
      </c>
      <c r="H228" s="762">
        <f>'SWM FGD'!$H$27</f>
        <v>0</v>
      </c>
      <c r="I228" s="762">
        <f>'SWM FGD'!$I$27</f>
        <v>0</v>
      </c>
      <c r="J228" s="762">
        <f>'SWM FGD'!$J$27</f>
        <v>0</v>
      </c>
      <c r="K228" s="762">
        <f>'SWM FGD'!$K$27</f>
        <v>0</v>
      </c>
      <c r="L228" s="762">
        <f>'SWM FGD'!$L$27</f>
        <v>0</v>
      </c>
      <c r="M228" s="650">
        <f>'SWM FGD'!$M$27</f>
        <v>0</v>
      </c>
    </row>
    <row r="229" spans="1:13" s="320" customFormat="1" ht="12.75" hidden="1" customHeight="1" outlineLevel="1">
      <c r="A229" s="322"/>
      <c r="B229" s="823" t="str">
        <f>'TAMHSC FGD'!$B$2</f>
        <v>Texas A&amp;M University System Health Science Center</v>
      </c>
      <c r="C229" s="751"/>
      <c r="D229" s="762">
        <f>'TAMHSC FGD'!$D$27</f>
        <v>0</v>
      </c>
      <c r="E229" s="762">
        <f>'TAMHSC FGD'!$E$27</f>
        <v>0</v>
      </c>
      <c r="F229" s="762">
        <f>'TAMHSC FGD'!$F$27</f>
        <v>0</v>
      </c>
      <c r="G229" s="762">
        <f>'TAMHSC FGD'!$G$27</f>
        <v>0</v>
      </c>
      <c r="H229" s="762">
        <f>'TAMHSC FGD'!$H$27</f>
        <v>0</v>
      </c>
      <c r="I229" s="762">
        <f>'TAMHSC FGD'!$I$27</f>
        <v>0</v>
      </c>
      <c r="J229" s="762">
        <f>'TAMHSC FGD'!$J$27</f>
        <v>0</v>
      </c>
      <c r="K229" s="762">
        <f>'TAMHSC FGD'!$K$27</f>
        <v>0</v>
      </c>
      <c r="L229" s="762">
        <f>'TAMHSC FGD'!$L$27</f>
        <v>0</v>
      </c>
      <c r="M229" s="650">
        <f>'TAMHSC FGD'!$M$27</f>
        <v>0</v>
      </c>
    </row>
    <row r="230" spans="1:13" s="320" customFormat="1" ht="12.75" hidden="1" customHeight="1" outlineLevel="1">
      <c r="A230" s="322"/>
      <c r="B230" s="823" t="str">
        <f>'THC FGD'!$B$2</f>
        <v>The University of Texas Health Science Center at Tyler</v>
      </c>
      <c r="C230" s="751"/>
      <c r="D230" s="762">
        <f>'THC FGD'!$D$27</f>
        <v>0</v>
      </c>
      <c r="E230" s="762">
        <f>'THC FGD'!$E$27</f>
        <v>0</v>
      </c>
      <c r="F230" s="762">
        <f>'THC FGD'!$F$27</f>
        <v>0</v>
      </c>
      <c r="G230" s="762">
        <f>'THC FGD'!$G$27</f>
        <v>0</v>
      </c>
      <c r="H230" s="762">
        <f>'THC FGD'!$H$27</f>
        <v>0</v>
      </c>
      <c r="I230" s="762">
        <f>'THC FGD'!$I$27</f>
        <v>0</v>
      </c>
      <c r="J230" s="762">
        <f>'THC FGD'!$J$27</f>
        <v>0</v>
      </c>
      <c r="K230" s="762">
        <f>'THC FGD'!$K$27</f>
        <v>0</v>
      </c>
      <c r="L230" s="762">
        <f>'THC FGD'!$L$27</f>
        <v>0</v>
      </c>
      <c r="M230" s="650">
        <f>'THC FGD'!$M$27</f>
        <v>0</v>
      </c>
    </row>
    <row r="231" spans="1:13" s="320" customFormat="1" ht="12.75" hidden="1" customHeight="1" outlineLevel="1">
      <c r="A231" s="322"/>
      <c r="B231" s="823" t="str">
        <f>'TTUHSC FGD'!$B$2</f>
        <v>Texas Tech University Health Sciences Center</v>
      </c>
      <c r="C231" s="751"/>
      <c r="D231" s="762">
        <f>'TTUHSC FGD'!$D$27</f>
        <v>0</v>
      </c>
      <c r="E231" s="762">
        <f>'TTUHSC FGD'!$E$27</f>
        <v>0</v>
      </c>
      <c r="F231" s="762">
        <f>'TTUHSC FGD'!$F$27</f>
        <v>0</v>
      </c>
      <c r="G231" s="762">
        <f>'TTUHSC FGD'!$G$27</f>
        <v>0</v>
      </c>
      <c r="H231" s="762">
        <f>'TTUHSC FGD'!$H$27</f>
        <v>0</v>
      </c>
      <c r="I231" s="762">
        <f>'TTUHSC FGD'!$I$27</f>
        <v>0</v>
      </c>
      <c r="J231" s="762">
        <f>'TTUHSC FGD'!$J$27</f>
        <v>0</v>
      </c>
      <c r="K231" s="762">
        <f>'TTUHSC FGD'!$K$27</f>
        <v>0</v>
      </c>
      <c r="L231" s="762">
        <f>'TTUHSC FGD'!$L$27</f>
        <v>0</v>
      </c>
      <c r="M231" s="650">
        <f>'TTUHSC FGD'!$M$27</f>
        <v>0</v>
      </c>
    </row>
    <row r="232" spans="1:13" s="320" customFormat="1" ht="12.75" hidden="1" customHeight="1" outlineLevel="1">
      <c r="A232" s="322"/>
      <c r="B232" s="823" t="str">
        <f>'TTUHSCEP FGD'!$B$2</f>
        <v>Texas Tech University Health Sciences Center at El Paso</v>
      </c>
      <c r="C232" s="751"/>
      <c r="D232" s="762">
        <f>'TTUHSCEP FGD'!$D$27</f>
        <v>0</v>
      </c>
      <c r="E232" s="762">
        <f>'TTUHSCEP FGD'!$E$27</f>
        <v>0</v>
      </c>
      <c r="F232" s="762">
        <f>'TTUHSCEP FGD'!$F$27</f>
        <v>0</v>
      </c>
      <c r="G232" s="762">
        <f>'TTUHSCEP FGD'!$G$27</f>
        <v>0</v>
      </c>
      <c r="H232" s="762">
        <f>'TTUHSCEP FGD'!$H$27</f>
        <v>0</v>
      </c>
      <c r="I232" s="762">
        <f>'TTUHSCEP FGD'!$I$27</f>
        <v>0</v>
      </c>
      <c r="J232" s="762">
        <f>'TTUHSCEP FGD'!$J$27</f>
        <v>0</v>
      </c>
      <c r="K232" s="762">
        <f>'TTUHSCEP FGD'!$K$27</f>
        <v>0</v>
      </c>
      <c r="L232" s="762">
        <f>'TTUHSCEP FGD'!$L$27</f>
        <v>0</v>
      </c>
      <c r="M232" s="650">
        <f>'TTUHSCEP FGD'!$M$27</f>
        <v>0</v>
      </c>
    </row>
    <row r="233" spans="1:13" s="320" customFormat="1" ht="12.75" hidden="1" customHeight="1" outlineLevel="1">
      <c r="A233" s="322"/>
      <c r="B233" s="823" t="str">
        <f>'UHM FGD'!$B$2</f>
        <v>University of Houston Medical School (M)</v>
      </c>
      <c r="C233" s="751"/>
      <c r="D233" s="762">
        <f>'UHM FGD'!$D$27</f>
        <v>0</v>
      </c>
      <c r="E233" s="762">
        <f>'UHM FGD'!$E$27</f>
        <v>0</v>
      </c>
      <c r="F233" s="762">
        <f>'UHM FGD'!$F$27</f>
        <v>0</v>
      </c>
      <c r="G233" s="762">
        <f>'UHM FGD'!$G$27</f>
        <v>0</v>
      </c>
      <c r="H233" s="762">
        <f>'UHM FGD'!$H$27</f>
        <v>0</v>
      </c>
      <c r="I233" s="762">
        <f>'UHM FGD'!$I$27</f>
        <v>0</v>
      </c>
      <c r="J233" s="762">
        <f>'UHM FGD'!$J$27</f>
        <v>0</v>
      </c>
      <c r="K233" s="762">
        <f>'UHM FGD'!$K$27</f>
        <v>0</v>
      </c>
      <c r="L233" s="762">
        <f>'UHM FGD'!$L$27</f>
        <v>0</v>
      </c>
      <c r="M233" s="650">
        <f>'UHM FGD'!$M$27</f>
        <v>0</v>
      </c>
    </row>
    <row r="234" spans="1:13" s="320" customFormat="1" ht="12.75" hidden="1" customHeight="1" outlineLevel="1">
      <c r="A234" s="322"/>
      <c r="B234" s="823" t="str">
        <f>'UNTHSC1 FGD'!$B$2</f>
        <v>University of North Texas Health Science Center at Fort Worth (Public Medical)</v>
      </c>
      <c r="C234" s="751"/>
      <c r="D234" s="762">
        <f>'UNTHSC1 FGD'!$D$27</f>
        <v>0</v>
      </c>
      <c r="E234" s="762">
        <f>'UNTHSC1 FGD'!$E$27</f>
        <v>0</v>
      </c>
      <c r="F234" s="762">
        <f>'UNTHSC1 FGD'!$F$27</f>
        <v>0</v>
      </c>
      <c r="G234" s="762">
        <f>'UNTHSC1 FGD'!$G$27</f>
        <v>0</v>
      </c>
      <c r="H234" s="762">
        <f>'UNTHSC1 FGD'!$H$27</f>
        <v>0</v>
      </c>
      <c r="I234" s="762">
        <f>'UNTHSC1 FGD'!$I$27</f>
        <v>0</v>
      </c>
      <c r="J234" s="762">
        <f>'UNTHSC1 FGD'!$J$27</f>
        <v>0</v>
      </c>
      <c r="K234" s="762">
        <f>'UNTHSC1 FGD'!$K$27</f>
        <v>0</v>
      </c>
      <c r="L234" s="762">
        <f>'UNTHSC1 FGD'!$L$27</f>
        <v>0</v>
      </c>
      <c r="M234" s="650">
        <f>'UNTHSC1 FGD'!$M$27</f>
        <v>0</v>
      </c>
    </row>
    <row r="235" spans="1:13" s="320" customFormat="1" collapsed="1">
      <c r="A235" s="322"/>
      <c r="B235" s="320" t="s">
        <v>599</v>
      </c>
      <c r="C235" s="751"/>
      <c r="D235" s="762">
        <f t="shared" ref="D235:M235" si="15">SUM(D222:D234)</f>
        <v>0</v>
      </c>
      <c r="E235" s="762">
        <f t="shared" si="15"/>
        <v>-1507</v>
      </c>
      <c r="F235" s="762">
        <f t="shared" si="15"/>
        <v>0</v>
      </c>
      <c r="G235" s="762">
        <f t="shared" si="15"/>
        <v>0</v>
      </c>
      <c r="H235" s="762">
        <f t="shared" si="15"/>
        <v>0</v>
      </c>
      <c r="I235" s="762">
        <f t="shared" si="15"/>
        <v>0</v>
      </c>
      <c r="J235" s="762">
        <f t="shared" si="15"/>
        <v>0</v>
      </c>
      <c r="K235" s="762">
        <f t="shared" si="15"/>
        <v>0</v>
      </c>
      <c r="L235" s="762">
        <f t="shared" si="15"/>
        <v>0</v>
      </c>
      <c r="M235" s="650">
        <f t="shared" si="15"/>
        <v>-1507</v>
      </c>
    </row>
    <row r="236" spans="1:13" s="320" customFormat="1" hidden="1" outlineLevel="1">
      <c r="A236" s="322"/>
      <c r="B236" s="823" t="str">
        <f>'AUSM FGD'!$B$2</f>
        <v>The University of Texas at Austin Medical School (M)</v>
      </c>
      <c r="C236" s="751"/>
      <c r="D236" s="762">
        <f>'AUSM FGD'!$D$28</f>
        <v>-380153</v>
      </c>
      <c r="E236" s="762">
        <f>'AUSM FGD'!$E$28</f>
        <v>0</v>
      </c>
      <c r="F236" s="762">
        <f>'AUSM FGD'!$F$28</f>
        <v>0</v>
      </c>
      <c r="G236" s="762">
        <f>'AUSM FGD'!$G$28</f>
        <v>0</v>
      </c>
      <c r="H236" s="762">
        <f>'AUSM FGD'!$H$28</f>
        <v>0</v>
      </c>
      <c r="I236" s="762">
        <f>'AUSM FGD'!$I$28</f>
        <v>0</v>
      </c>
      <c r="J236" s="762">
        <f>'AUSM FGD'!$J$28</f>
        <v>0</v>
      </c>
      <c r="K236" s="762">
        <f>'AUSM FGD'!$K$28</f>
        <v>0</v>
      </c>
      <c r="L236" s="762">
        <f>'AUSM FGD'!$L$28</f>
        <v>0</v>
      </c>
      <c r="M236" s="650">
        <f>'AUSM FGD'!$M$28</f>
        <v>-380153</v>
      </c>
    </row>
    <row r="237" spans="1:13" s="320" customFormat="1" hidden="1" outlineLevel="1">
      <c r="A237" s="322"/>
      <c r="B237" s="823" t="str">
        <f>'HSH FGD'!$B$2</f>
        <v>The University of Texas Health Science Center at Houston</v>
      </c>
      <c r="C237" s="751"/>
      <c r="D237" s="762">
        <f>'HSH FGD'!$D$28</f>
        <v>-363490</v>
      </c>
      <c r="E237" s="762">
        <f>'HSH FGD'!$E$28</f>
        <v>-404171</v>
      </c>
      <c r="F237" s="762">
        <f>'HSH FGD'!$F$28</f>
        <v>0</v>
      </c>
      <c r="G237" s="762">
        <f>'HSH FGD'!$G$28</f>
        <v>0</v>
      </c>
      <c r="H237" s="762">
        <f>'HSH FGD'!$H$28</f>
        <v>0</v>
      </c>
      <c r="I237" s="762">
        <f>'HSH FGD'!$I$28</f>
        <v>0</v>
      </c>
      <c r="J237" s="762">
        <f>'HSH FGD'!$J$28</f>
        <v>0</v>
      </c>
      <c r="K237" s="762">
        <f>'HSH FGD'!$K$28</f>
        <v>0</v>
      </c>
      <c r="L237" s="762">
        <f>'HSH FGD'!$L$28</f>
        <v>0</v>
      </c>
      <c r="M237" s="650">
        <f>'HSH FGD'!$M$28</f>
        <v>-767661</v>
      </c>
    </row>
    <row r="238" spans="1:13" s="320" customFormat="1" hidden="1" outlineLevel="1">
      <c r="A238" s="322"/>
      <c r="B238" s="823" t="str">
        <f>'HSSA FGD'!$B$2</f>
        <v>The University of Texas Health Science Center at San Antonio</v>
      </c>
      <c r="C238" s="751"/>
      <c r="D238" s="762">
        <f>'HSSA FGD'!$D$28</f>
        <v>-1691463</v>
      </c>
      <c r="E238" s="762">
        <f>'HSSA FGD'!$E$28</f>
        <v>0</v>
      </c>
      <c r="F238" s="762">
        <f>'HSSA FGD'!$F$28</f>
        <v>0</v>
      </c>
      <c r="G238" s="762">
        <f>'HSSA FGD'!$G$28</f>
        <v>0</v>
      </c>
      <c r="H238" s="762">
        <f>'HSSA FGD'!$H$28</f>
        <v>0</v>
      </c>
      <c r="I238" s="762">
        <f>'HSSA FGD'!$I$28</f>
        <v>0</v>
      </c>
      <c r="J238" s="762">
        <f>'HSSA FGD'!$J$28</f>
        <v>0</v>
      </c>
      <c r="K238" s="762">
        <f>'HSSA FGD'!$K$28</f>
        <v>0</v>
      </c>
      <c r="L238" s="762">
        <f>'HSSA FGD'!$L$28</f>
        <v>0</v>
      </c>
      <c r="M238" s="650">
        <f>'HSSA FGD'!$M$28</f>
        <v>-1691463</v>
      </c>
    </row>
    <row r="239" spans="1:13" s="320" customFormat="1" hidden="1" outlineLevel="1">
      <c r="A239" s="322"/>
      <c r="B239" s="823" t="str">
        <f>'MBG FGD'!$B$2</f>
        <v>The University of Texas Medical Branch at Galveston</v>
      </c>
      <c r="C239" s="751"/>
      <c r="D239" s="762">
        <f>'MBG FGD'!$D$28</f>
        <v>-1733931</v>
      </c>
      <c r="E239" s="762">
        <f>'MBG FGD'!$E$28</f>
        <v>-1692840</v>
      </c>
      <c r="F239" s="762">
        <f>'MBG FGD'!$F$28</f>
        <v>0</v>
      </c>
      <c r="G239" s="762">
        <f>'MBG FGD'!$G$28</f>
        <v>0</v>
      </c>
      <c r="H239" s="762">
        <f>'MBG FGD'!$H$28</f>
        <v>0</v>
      </c>
      <c r="I239" s="762">
        <f>'MBG FGD'!$I$28</f>
        <v>0</v>
      </c>
      <c r="J239" s="762">
        <f>'MBG FGD'!$J$28</f>
        <v>0</v>
      </c>
      <c r="K239" s="762">
        <f>'MBG FGD'!$K$28</f>
        <v>0</v>
      </c>
      <c r="L239" s="762">
        <f>'MBG FGD'!$L$28</f>
        <v>0</v>
      </c>
      <c r="M239" s="650">
        <f>'MBG FGD'!$M$28</f>
        <v>-3426771</v>
      </c>
    </row>
    <row r="240" spans="1:13" s="320" customFormat="1" hidden="1" outlineLevel="1">
      <c r="A240" s="322"/>
      <c r="B240" s="823" t="str">
        <f>'MDA FGD'!$B$2</f>
        <v>The University of Texas M.D. Anderson Cancer Center</v>
      </c>
      <c r="C240" s="751"/>
      <c r="D240" s="762">
        <f>'MDA FGD'!$D$28</f>
        <v>0</v>
      </c>
      <c r="E240" s="762">
        <f>'MDA FGD'!$E$28</f>
        <v>0</v>
      </c>
      <c r="F240" s="762">
        <f>'MDA FGD'!$F$28</f>
        <v>0</v>
      </c>
      <c r="G240" s="762">
        <f>'MDA FGD'!$G$28</f>
        <v>0</v>
      </c>
      <c r="H240" s="762">
        <f>'MDA FGD'!$H$28</f>
        <v>0</v>
      </c>
      <c r="I240" s="762">
        <f>'MDA FGD'!$I$28</f>
        <v>0</v>
      </c>
      <c r="J240" s="762">
        <f>'MDA FGD'!$J$28</f>
        <v>0</v>
      </c>
      <c r="K240" s="762">
        <f>'MDA FGD'!$K$28</f>
        <v>0</v>
      </c>
      <c r="L240" s="762">
        <f>'MDA FGD'!$L$28</f>
        <v>0</v>
      </c>
      <c r="M240" s="650">
        <f>'MDA FGD'!$M$28</f>
        <v>0</v>
      </c>
    </row>
    <row r="241" spans="1:13" s="320" customFormat="1" hidden="1" outlineLevel="1">
      <c r="A241" s="322"/>
      <c r="B241" s="823" t="str">
        <f>'RGVM FGD'!$B$2</f>
        <v>The University of Texas Rio Grande Valley Medical School (M)</v>
      </c>
      <c r="C241" s="751"/>
      <c r="D241" s="762">
        <f>'RGVM FGD'!$D$28</f>
        <v>45760</v>
      </c>
      <c r="E241" s="762">
        <f>'RGVM FGD'!$E$28</f>
        <v>-65445</v>
      </c>
      <c r="F241" s="762">
        <f>'RGVM FGD'!$F$28</f>
        <v>0</v>
      </c>
      <c r="G241" s="762">
        <f>'RGVM FGD'!$G$28</f>
        <v>0</v>
      </c>
      <c r="H241" s="762">
        <f>'RGVM FGD'!$H$28</f>
        <v>0</v>
      </c>
      <c r="I241" s="762">
        <f>'RGVM FGD'!$I$28</f>
        <v>0</v>
      </c>
      <c r="J241" s="762">
        <f>'RGVM FGD'!$J$28</f>
        <v>0</v>
      </c>
      <c r="K241" s="762">
        <f>'RGVM FGD'!$K$28</f>
        <v>0</v>
      </c>
      <c r="L241" s="762">
        <f>'RGVM FGD'!$L$28</f>
        <v>0</v>
      </c>
      <c r="M241" s="650">
        <f>'RGVM FGD'!$M$28</f>
        <v>-19685</v>
      </c>
    </row>
    <row r="242" spans="1:13" s="320" customFormat="1" hidden="1" outlineLevel="1">
      <c r="A242" s="322"/>
      <c r="B242" s="823" t="str">
        <f>'SWM FGD'!$B$2</f>
        <v>The University of Texas Southwestern Medical Center</v>
      </c>
      <c r="C242" s="751"/>
      <c r="D242" s="762">
        <f>'SWM FGD'!$D$28</f>
        <v>-364967</v>
      </c>
      <c r="E242" s="762">
        <f>'SWM FGD'!$E$28</f>
        <v>-1303436</v>
      </c>
      <c r="F242" s="762">
        <f>'SWM FGD'!$F$28</f>
        <v>0</v>
      </c>
      <c r="G242" s="762">
        <f>'SWM FGD'!$G$28</f>
        <v>0</v>
      </c>
      <c r="H242" s="762">
        <f>'SWM FGD'!$H$28</f>
        <v>0</v>
      </c>
      <c r="I242" s="762">
        <f>'SWM FGD'!$I$28</f>
        <v>0</v>
      </c>
      <c r="J242" s="762">
        <f>'SWM FGD'!$J$28</f>
        <v>0</v>
      </c>
      <c r="K242" s="762">
        <f>'SWM FGD'!$K$28</f>
        <v>0</v>
      </c>
      <c r="L242" s="762">
        <f>'SWM FGD'!$L$28</f>
        <v>0</v>
      </c>
      <c r="M242" s="650">
        <f>'SWM FGD'!$M$28</f>
        <v>-1668403</v>
      </c>
    </row>
    <row r="243" spans="1:13" s="320" customFormat="1" hidden="1" outlineLevel="1">
      <c r="A243" s="322"/>
      <c r="B243" s="823" t="str">
        <f>'TAMHSC FGD'!$B$2</f>
        <v>Texas A&amp;M University System Health Science Center</v>
      </c>
      <c r="C243" s="751"/>
      <c r="D243" s="762">
        <f>'TAMHSC FGD'!$D$28</f>
        <v>-1366191</v>
      </c>
      <c r="E243" s="762">
        <f>'TAMHSC FGD'!$E$28</f>
        <v>-845595</v>
      </c>
      <c r="F243" s="762">
        <f>'TAMHSC FGD'!$F$28</f>
        <v>0</v>
      </c>
      <c r="G243" s="762">
        <f>'TAMHSC FGD'!$G$28</f>
        <v>0</v>
      </c>
      <c r="H243" s="762">
        <f>'TAMHSC FGD'!$H$28</f>
        <v>0</v>
      </c>
      <c r="I243" s="762">
        <f>'TAMHSC FGD'!$I$28</f>
        <v>0</v>
      </c>
      <c r="J243" s="762">
        <f>'TAMHSC FGD'!$J$28</f>
        <v>0</v>
      </c>
      <c r="K243" s="762">
        <f>'TAMHSC FGD'!$K$28</f>
        <v>0</v>
      </c>
      <c r="L243" s="762">
        <f>'TAMHSC FGD'!$L$28</f>
        <v>0</v>
      </c>
      <c r="M243" s="650">
        <f>'TAMHSC FGD'!$M$28</f>
        <v>-2211786</v>
      </c>
    </row>
    <row r="244" spans="1:13" s="320" customFormat="1" hidden="1" outlineLevel="1">
      <c r="A244" s="322"/>
      <c r="B244" s="823" t="str">
        <f>'THC FGD'!$B$2</f>
        <v>The University of Texas Health Science Center at Tyler</v>
      </c>
      <c r="C244" s="751"/>
      <c r="D244" s="762">
        <f>'THC FGD'!$D$28</f>
        <v>0</v>
      </c>
      <c r="E244" s="762">
        <f>'THC FGD'!$E$28</f>
        <v>0</v>
      </c>
      <c r="F244" s="762">
        <f>'THC FGD'!$F$28</f>
        <v>0</v>
      </c>
      <c r="G244" s="762">
        <f>'THC FGD'!$G$28</f>
        <v>0</v>
      </c>
      <c r="H244" s="762">
        <f>'THC FGD'!$H$28</f>
        <v>0</v>
      </c>
      <c r="I244" s="762">
        <f>'THC FGD'!$I$28</f>
        <v>0</v>
      </c>
      <c r="J244" s="762">
        <f>'THC FGD'!$J$28</f>
        <v>0</v>
      </c>
      <c r="K244" s="762">
        <f>'THC FGD'!$K$28</f>
        <v>0</v>
      </c>
      <c r="L244" s="762">
        <f>'THC FGD'!$L$28</f>
        <v>0</v>
      </c>
      <c r="M244" s="650">
        <f>'THC FGD'!$M$28</f>
        <v>0</v>
      </c>
    </row>
    <row r="245" spans="1:13" s="320" customFormat="1" hidden="1" outlineLevel="1">
      <c r="A245" s="322"/>
      <c r="B245" s="823" t="str">
        <f>'TTUHSC FGD'!$B$2</f>
        <v>Texas Tech University Health Sciences Center</v>
      </c>
      <c r="C245" s="751"/>
      <c r="D245" s="762">
        <f>'TTUHSC FGD'!$D$28</f>
        <v>-1586520</v>
      </c>
      <c r="E245" s="762">
        <f>'TTUHSC FGD'!$E$28</f>
        <v>-5198550</v>
      </c>
      <c r="F245" s="762">
        <f>'TTUHSC FGD'!$F$28</f>
        <v>0</v>
      </c>
      <c r="G245" s="762">
        <f>'TTUHSC FGD'!$G$28</f>
        <v>0</v>
      </c>
      <c r="H245" s="762">
        <f>'TTUHSC FGD'!$H$28</f>
        <v>0</v>
      </c>
      <c r="I245" s="762">
        <f>'TTUHSC FGD'!$I$28</f>
        <v>0</v>
      </c>
      <c r="J245" s="762">
        <f>'TTUHSC FGD'!$J$28</f>
        <v>0</v>
      </c>
      <c r="K245" s="762">
        <f>'TTUHSC FGD'!$K$28</f>
        <v>0</v>
      </c>
      <c r="L245" s="762">
        <f>'TTUHSC FGD'!$L$28</f>
        <v>0</v>
      </c>
      <c r="M245" s="650">
        <f>'TTUHSC FGD'!$M$28</f>
        <v>-6785070</v>
      </c>
    </row>
    <row r="246" spans="1:13" s="320" customFormat="1" hidden="1" outlineLevel="1">
      <c r="A246" s="322"/>
      <c r="B246" s="823" t="str">
        <f>'TTUHSCEP FGD'!$B$2</f>
        <v>Texas Tech University Health Sciences Center at El Paso</v>
      </c>
      <c r="C246" s="751"/>
      <c r="D246" s="762">
        <f>'TTUHSCEP FGD'!$D$28</f>
        <v>-652619</v>
      </c>
      <c r="E246" s="762">
        <f>'TTUHSCEP FGD'!$E$28</f>
        <v>-1965186</v>
      </c>
      <c r="F246" s="762">
        <f>'TTUHSCEP FGD'!$F$28</f>
        <v>0</v>
      </c>
      <c r="G246" s="762">
        <f>'TTUHSCEP FGD'!$G$28</f>
        <v>0</v>
      </c>
      <c r="H246" s="762">
        <f>'TTUHSCEP FGD'!$H$28</f>
        <v>0</v>
      </c>
      <c r="I246" s="762">
        <f>'TTUHSCEP FGD'!$I$28</f>
        <v>0</v>
      </c>
      <c r="J246" s="762">
        <f>'TTUHSCEP FGD'!$J$28</f>
        <v>0</v>
      </c>
      <c r="K246" s="762">
        <f>'TTUHSCEP FGD'!$K$28</f>
        <v>0</v>
      </c>
      <c r="L246" s="762">
        <f>'TTUHSCEP FGD'!$L$28</f>
        <v>0</v>
      </c>
      <c r="M246" s="650">
        <f>'TTUHSCEP FGD'!$M$28</f>
        <v>-2617805</v>
      </c>
    </row>
    <row r="247" spans="1:13" s="320" customFormat="1" hidden="1" outlineLevel="1">
      <c r="A247" s="322"/>
      <c r="B247" s="823" t="str">
        <f>'UHM FGD'!$B$2</f>
        <v>University of Houston Medical School (M)</v>
      </c>
      <c r="C247" s="751"/>
      <c r="D247" s="762">
        <f>'UHM FGD'!$D$28</f>
        <v>-252455</v>
      </c>
      <c r="E247" s="762">
        <f>'UHM FGD'!$E$28</f>
        <v>-123339</v>
      </c>
      <c r="F247" s="762">
        <f>'UHM FGD'!$F$28</f>
        <v>0</v>
      </c>
      <c r="G247" s="762">
        <f>'UHM FGD'!$G$28</f>
        <v>0</v>
      </c>
      <c r="H247" s="762">
        <f>'UHM FGD'!$H$28</f>
        <v>0</v>
      </c>
      <c r="I247" s="762">
        <f>'UHM FGD'!$I$28</f>
        <v>0</v>
      </c>
      <c r="J247" s="762">
        <f>'UHM FGD'!$J$28</f>
        <v>0</v>
      </c>
      <c r="K247" s="762">
        <f>'UHM FGD'!$K$28</f>
        <v>0</v>
      </c>
      <c r="L247" s="762">
        <f>'UHM FGD'!$L$28</f>
        <v>0</v>
      </c>
      <c r="M247" s="650">
        <f>'UHM FGD'!$M$28</f>
        <v>-375794</v>
      </c>
    </row>
    <row r="248" spans="1:13" s="320" customFormat="1" hidden="1" outlineLevel="1">
      <c r="A248" s="322"/>
      <c r="B248" s="823" t="str">
        <f>'UNTHSC1 FGD'!$B$2</f>
        <v>University of North Texas Health Science Center at Fort Worth (Public Medical)</v>
      </c>
      <c r="C248" s="751"/>
      <c r="D248" s="762">
        <f>'UNTHSC1 FGD'!$D$28</f>
        <v>-894513</v>
      </c>
      <c r="E248" s="762">
        <f>'UNTHSC1 FGD'!$E$28</f>
        <v>-1373941</v>
      </c>
      <c r="F248" s="762">
        <f>'UNTHSC1 FGD'!$F$28</f>
        <v>0</v>
      </c>
      <c r="G248" s="762">
        <f>'UNTHSC1 FGD'!$G$28</f>
        <v>0</v>
      </c>
      <c r="H248" s="762">
        <f>'UNTHSC1 FGD'!$H$28</f>
        <v>0</v>
      </c>
      <c r="I248" s="762">
        <f>'UNTHSC1 FGD'!$I$28</f>
        <v>0</v>
      </c>
      <c r="J248" s="762">
        <f>'UNTHSC1 FGD'!$J$28</f>
        <v>0</v>
      </c>
      <c r="K248" s="762">
        <f>'UNTHSC1 FGD'!$K$28</f>
        <v>0</v>
      </c>
      <c r="L248" s="762">
        <f>'UNTHSC1 FGD'!$L$28</f>
        <v>0</v>
      </c>
      <c r="M248" s="650">
        <f>'UNTHSC1 FGD'!$M$28</f>
        <v>-2268454</v>
      </c>
    </row>
    <row r="249" spans="1:13" s="320" customFormat="1" collapsed="1">
      <c r="A249" s="322"/>
      <c r="B249" s="320" t="s">
        <v>600</v>
      </c>
      <c r="C249" s="751"/>
      <c r="D249" s="762">
        <f t="shared" ref="D249:M249" si="16">SUM(D236:D248)</f>
        <v>-9240542</v>
      </c>
      <c r="E249" s="762">
        <f t="shared" si="16"/>
        <v>-12972503</v>
      </c>
      <c r="F249" s="762">
        <f t="shared" si="16"/>
        <v>0</v>
      </c>
      <c r="G249" s="762">
        <f t="shared" si="16"/>
        <v>0</v>
      </c>
      <c r="H249" s="762">
        <f t="shared" si="16"/>
        <v>0</v>
      </c>
      <c r="I249" s="762">
        <f t="shared" si="16"/>
        <v>0</v>
      </c>
      <c r="J249" s="762">
        <f t="shared" si="16"/>
        <v>0</v>
      </c>
      <c r="K249" s="762">
        <f t="shared" si="16"/>
        <v>0</v>
      </c>
      <c r="L249" s="762">
        <f t="shared" si="16"/>
        <v>0</v>
      </c>
      <c r="M249" s="650">
        <f t="shared" si="16"/>
        <v>-22213045</v>
      </c>
    </row>
    <row r="250" spans="1:13" s="320" customFormat="1" hidden="1" outlineLevel="1">
      <c r="A250" s="322"/>
      <c r="B250" s="823" t="str">
        <f>'AUSM FGD'!$B$2</f>
        <v>The University of Texas at Austin Medical School (M)</v>
      </c>
      <c r="C250" s="751"/>
      <c r="D250" s="762">
        <f>'AUSM FGD'!$D$29</f>
        <v>985842</v>
      </c>
      <c r="E250" s="762">
        <f>'AUSM FGD'!$E$29</f>
        <v>2437306</v>
      </c>
      <c r="F250" s="762">
        <f>'AUSM FGD'!$F$29</f>
        <v>0</v>
      </c>
      <c r="G250" s="762">
        <f>'AUSM FGD'!$G$29</f>
        <v>0</v>
      </c>
      <c r="H250" s="762">
        <f>'AUSM FGD'!$H$29</f>
        <v>0</v>
      </c>
      <c r="I250" s="762">
        <f>'AUSM FGD'!$I$29</f>
        <v>0</v>
      </c>
      <c r="J250" s="762">
        <f>'AUSM FGD'!$J$29</f>
        <v>0</v>
      </c>
      <c r="K250" s="762">
        <f>'AUSM FGD'!$K$29</f>
        <v>0</v>
      </c>
      <c r="L250" s="762">
        <f>'AUSM FGD'!$L$29</f>
        <v>0</v>
      </c>
      <c r="M250" s="650">
        <f>'AUSM FGD'!$M$29</f>
        <v>3423148</v>
      </c>
    </row>
    <row r="251" spans="1:13" s="320" customFormat="1" hidden="1" outlineLevel="1">
      <c r="A251" s="322"/>
      <c r="B251" s="823" t="str">
        <f>'HSH FGD'!$B$2</f>
        <v>The University of Texas Health Science Center at Houston</v>
      </c>
      <c r="C251" s="751"/>
      <c r="D251" s="762">
        <f>'HSH FGD'!$D$29</f>
        <v>26486446</v>
      </c>
      <c r="E251" s="762">
        <f>'HSH FGD'!$E$29</f>
        <v>30730202</v>
      </c>
      <c r="F251" s="762">
        <f>'HSH FGD'!$F$29</f>
        <v>0</v>
      </c>
      <c r="G251" s="762">
        <f>'HSH FGD'!$G$29</f>
        <v>0</v>
      </c>
      <c r="H251" s="762">
        <f>'HSH FGD'!$H$29</f>
        <v>0</v>
      </c>
      <c r="I251" s="762">
        <f>'HSH FGD'!$I$29</f>
        <v>0</v>
      </c>
      <c r="J251" s="762">
        <f>'HSH FGD'!$J$29</f>
        <v>0</v>
      </c>
      <c r="K251" s="762">
        <f>'HSH FGD'!$K$29</f>
        <v>0</v>
      </c>
      <c r="L251" s="762">
        <f>'HSH FGD'!$L$29</f>
        <v>0</v>
      </c>
      <c r="M251" s="650">
        <f>'HSH FGD'!$M$29</f>
        <v>57216648</v>
      </c>
    </row>
    <row r="252" spans="1:13" s="320" customFormat="1" hidden="1" outlineLevel="1">
      <c r="A252" s="322"/>
      <c r="B252" s="823" t="str">
        <f>'HSSA FGD'!$B$2</f>
        <v>The University of Texas Health Science Center at San Antonio</v>
      </c>
      <c r="C252" s="751"/>
      <c r="D252" s="762">
        <f>'HSSA FGD'!$D$29</f>
        <v>14416971</v>
      </c>
      <c r="E252" s="762">
        <f>'HSSA FGD'!$E$29</f>
        <v>38469051</v>
      </c>
      <c r="F252" s="762">
        <f>'HSSA FGD'!$F$29</f>
        <v>0</v>
      </c>
      <c r="G252" s="762">
        <f>'HSSA FGD'!$G$29</f>
        <v>0</v>
      </c>
      <c r="H252" s="762">
        <f>'HSSA FGD'!$H$29</f>
        <v>0</v>
      </c>
      <c r="I252" s="762">
        <f>'HSSA FGD'!$I$29</f>
        <v>0</v>
      </c>
      <c r="J252" s="762">
        <f>'HSSA FGD'!$J$29</f>
        <v>0</v>
      </c>
      <c r="K252" s="762">
        <f>'HSSA FGD'!$K$29</f>
        <v>0</v>
      </c>
      <c r="L252" s="762">
        <f>'HSSA FGD'!$L$29</f>
        <v>0</v>
      </c>
      <c r="M252" s="650">
        <f>'HSSA FGD'!$M$29</f>
        <v>52886022</v>
      </c>
    </row>
    <row r="253" spans="1:13" s="320" customFormat="1" hidden="1" outlineLevel="1">
      <c r="A253" s="322"/>
      <c r="B253" s="823" t="str">
        <f>'MBG FGD'!$B$2</f>
        <v>The University of Texas Medical Branch at Galveston</v>
      </c>
      <c r="C253" s="751"/>
      <c r="D253" s="762">
        <f>'MBG FGD'!$D$29</f>
        <v>11594033</v>
      </c>
      <c r="E253" s="762">
        <f>'MBG FGD'!$E$29</f>
        <v>25520590</v>
      </c>
      <c r="F253" s="762">
        <f>'MBG FGD'!$F$29</f>
        <v>0</v>
      </c>
      <c r="G253" s="762">
        <f>'MBG FGD'!$G$29</f>
        <v>0</v>
      </c>
      <c r="H253" s="762">
        <f>'MBG FGD'!$H$29</f>
        <v>0</v>
      </c>
      <c r="I253" s="762">
        <f>'MBG FGD'!$I$29</f>
        <v>0</v>
      </c>
      <c r="J253" s="762">
        <f>'MBG FGD'!$J$29</f>
        <v>0</v>
      </c>
      <c r="K253" s="762">
        <f>'MBG FGD'!$K$29</f>
        <v>0</v>
      </c>
      <c r="L253" s="762">
        <f>'MBG FGD'!$L$29</f>
        <v>0</v>
      </c>
      <c r="M253" s="650">
        <f>'MBG FGD'!$M$29</f>
        <v>37114623</v>
      </c>
    </row>
    <row r="254" spans="1:13" s="320" customFormat="1" hidden="1" outlineLevel="1">
      <c r="A254" s="322"/>
      <c r="B254" s="823" t="str">
        <f>'MDA FGD'!$B$2</f>
        <v>The University of Texas M.D. Anderson Cancer Center</v>
      </c>
      <c r="C254" s="751"/>
      <c r="D254" s="762">
        <f>'MDA FGD'!$D$29</f>
        <v>769032</v>
      </c>
      <c r="E254" s="762">
        <f>'MDA FGD'!$E$29</f>
        <v>719207</v>
      </c>
      <c r="F254" s="762">
        <f>'MDA FGD'!$F$29</f>
        <v>0</v>
      </c>
      <c r="G254" s="762">
        <f>'MDA FGD'!$G$29</f>
        <v>0</v>
      </c>
      <c r="H254" s="762">
        <f>'MDA FGD'!$H$29</f>
        <v>0</v>
      </c>
      <c r="I254" s="762">
        <f>'MDA FGD'!$I$29</f>
        <v>0</v>
      </c>
      <c r="J254" s="762">
        <f>'MDA FGD'!$J$29</f>
        <v>0</v>
      </c>
      <c r="K254" s="762">
        <f>'MDA FGD'!$K$29</f>
        <v>0</v>
      </c>
      <c r="L254" s="762">
        <f>'MDA FGD'!$L$29</f>
        <v>0</v>
      </c>
      <c r="M254" s="650">
        <f>'MDA FGD'!$M$29</f>
        <v>1488239</v>
      </c>
    </row>
    <row r="255" spans="1:13" s="320" customFormat="1" hidden="1" outlineLevel="1">
      <c r="A255" s="322"/>
      <c r="B255" s="823" t="str">
        <f>'RGVM FGD'!$B$2</f>
        <v>The University of Texas Rio Grande Valley Medical School (M)</v>
      </c>
      <c r="C255" s="751"/>
      <c r="D255" s="762">
        <f>'RGVM FGD'!$D$29</f>
        <v>1454800</v>
      </c>
      <c r="E255" s="762">
        <f>'RGVM FGD'!$E$29</f>
        <v>2349005</v>
      </c>
      <c r="F255" s="762">
        <f>'RGVM FGD'!$F$29</f>
        <v>0</v>
      </c>
      <c r="G255" s="762">
        <f>'RGVM FGD'!$G$29</f>
        <v>0</v>
      </c>
      <c r="H255" s="762">
        <f>'RGVM FGD'!$H$29</f>
        <v>0</v>
      </c>
      <c r="I255" s="762">
        <f>'RGVM FGD'!$I$29</f>
        <v>0</v>
      </c>
      <c r="J255" s="762">
        <f>'RGVM FGD'!$J$29</f>
        <v>0</v>
      </c>
      <c r="K255" s="762">
        <f>'RGVM FGD'!$K$29</f>
        <v>0</v>
      </c>
      <c r="L255" s="762">
        <f>'RGVM FGD'!$L$29</f>
        <v>0</v>
      </c>
      <c r="M255" s="650">
        <f>'RGVM FGD'!$M$29</f>
        <v>3803805</v>
      </c>
    </row>
    <row r="256" spans="1:13" s="320" customFormat="1" hidden="1" outlineLevel="1">
      <c r="A256" s="322"/>
      <c r="B256" s="823" t="str">
        <f>'SWM FGD'!$B$2</f>
        <v>The University of Texas Southwestern Medical Center</v>
      </c>
      <c r="C256" s="751"/>
      <c r="D256" s="762">
        <f>'SWM FGD'!$D$29</f>
        <v>8072488</v>
      </c>
      <c r="E256" s="762">
        <f>'SWM FGD'!$E$29</f>
        <v>18062814</v>
      </c>
      <c r="F256" s="762">
        <f>'SWM FGD'!$F$29</f>
        <v>0</v>
      </c>
      <c r="G256" s="762">
        <f>'SWM FGD'!$G$29</f>
        <v>0</v>
      </c>
      <c r="H256" s="762">
        <f>'SWM FGD'!$H$29</f>
        <v>0</v>
      </c>
      <c r="I256" s="762">
        <f>'SWM FGD'!$I$29</f>
        <v>0</v>
      </c>
      <c r="J256" s="762">
        <f>'SWM FGD'!$J$29</f>
        <v>0</v>
      </c>
      <c r="K256" s="762">
        <f>'SWM FGD'!$K$29</f>
        <v>0</v>
      </c>
      <c r="L256" s="762">
        <f>'SWM FGD'!$L$29</f>
        <v>0</v>
      </c>
      <c r="M256" s="650">
        <f>'SWM FGD'!$M$29</f>
        <v>26135302</v>
      </c>
    </row>
    <row r="257" spans="1:15" s="320" customFormat="1" hidden="1" outlineLevel="1">
      <c r="A257" s="322"/>
      <c r="B257" s="823" t="str">
        <f>'TAMHSC FGD'!$B$2</f>
        <v>Texas A&amp;M University System Health Science Center</v>
      </c>
      <c r="C257" s="751"/>
      <c r="D257" s="762">
        <f>'TAMHSC FGD'!$D$29</f>
        <v>18448749</v>
      </c>
      <c r="E257" s="762">
        <f>'TAMHSC FGD'!$E$29</f>
        <v>17323416</v>
      </c>
      <c r="F257" s="762">
        <f>'TAMHSC FGD'!$F$29</f>
        <v>0</v>
      </c>
      <c r="G257" s="762">
        <f>'TAMHSC FGD'!$G$29</f>
        <v>0</v>
      </c>
      <c r="H257" s="762">
        <f>'TAMHSC FGD'!$H$29</f>
        <v>0</v>
      </c>
      <c r="I257" s="762">
        <f>'TAMHSC FGD'!$I$29</f>
        <v>0</v>
      </c>
      <c r="J257" s="762">
        <f>'TAMHSC FGD'!$J$29</f>
        <v>0</v>
      </c>
      <c r="K257" s="762">
        <f>'TAMHSC FGD'!$K$29</f>
        <v>0</v>
      </c>
      <c r="L257" s="762">
        <f>'TAMHSC FGD'!$L$29</f>
        <v>0</v>
      </c>
      <c r="M257" s="650">
        <f>'TAMHSC FGD'!$M$29</f>
        <v>35772165</v>
      </c>
    </row>
    <row r="258" spans="1:15" s="320" customFormat="1" hidden="1" outlineLevel="1">
      <c r="A258" s="322"/>
      <c r="B258" s="823" t="str">
        <f>'THC FGD'!$B$2</f>
        <v>The University of Texas Health Science Center at Tyler</v>
      </c>
      <c r="C258" s="751"/>
      <c r="D258" s="762">
        <f>'THC FGD'!$D$29</f>
        <v>236720</v>
      </c>
      <c r="E258" s="762">
        <f>'THC FGD'!$E$29</f>
        <v>311490</v>
      </c>
      <c r="F258" s="762">
        <f>'THC FGD'!$F$29</f>
        <v>0</v>
      </c>
      <c r="G258" s="762">
        <f>'THC FGD'!$G$29</f>
        <v>0</v>
      </c>
      <c r="H258" s="762">
        <f>'THC FGD'!$H$29</f>
        <v>0</v>
      </c>
      <c r="I258" s="762">
        <f>'THC FGD'!$I$29</f>
        <v>0</v>
      </c>
      <c r="J258" s="762">
        <f>'THC FGD'!$J$29</f>
        <v>0</v>
      </c>
      <c r="K258" s="762">
        <f>'THC FGD'!$K$29</f>
        <v>0</v>
      </c>
      <c r="L258" s="762">
        <f>'THC FGD'!$L$29</f>
        <v>0</v>
      </c>
      <c r="M258" s="650">
        <f>'THC FGD'!$M$29</f>
        <v>548210</v>
      </c>
    </row>
    <row r="259" spans="1:15" s="320" customFormat="1" hidden="1" outlineLevel="1">
      <c r="A259" s="322"/>
      <c r="B259" s="823" t="str">
        <f>'TTUHSC FGD'!$B$2</f>
        <v>Texas Tech University Health Sciences Center</v>
      </c>
      <c r="C259" s="751"/>
      <c r="D259" s="762">
        <f>'TTUHSC FGD'!$D$29</f>
        <v>16718856</v>
      </c>
      <c r="E259" s="762">
        <f>'TTUHSC FGD'!$E$29</f>
        <v>27734562</v>
      </c>
      <c r="F259" s="762">
        <f>'TTUHSC FGD'!$F$29</f>
        <v>0</v>
      </c>
      <c r="G259" s="762">
        <f>'TTUHSC FGD'!$G$29</f>
        <v>0</v>
      </c>
      <c r="H259" s="762">
        <f>'TTUHSC FGD'!$H$29</f>
        <v>0</v>
      </c>
      <c r="I259" s="762">
        <f>'TTUHSC FGD'!$I$29</f>
        <v>0</v>
      </c>
      <c r="J259" s="762">
        <f>'TTUHSC FGD'!$J$29</f>
        <v>0</v>
      </c>
      <c r="K259" s="762">
        <f>'TTUHSC FGD'!$K$29</f>
        <v>0</v>
      </c>
      <c r="L259" s="762">
        <f>'TTUHSC FGD'!$L$29</f>
        <v>0</v>
      </c>
      <c r="M259" s="650">
        <f>'TTUHSC FGD'!$M$29</f>
        <v>44453418</v>
      </c>
    </row>
    <row r="260" spans="1:15" s="320" customFormat="1" hidden="1" outlineLevel="1">
      <c r="A260" s="322"/>
      <c r="B260" s="823" t="str">
        <f>'TTUHSCEP FGD'!$B$2</f>
        <v>Texas Tech University Health Sciences Center at El Paso</v>
      </c>
      <c r="C260" s="751"/>
      <c r="D260" s="762">
        <f>'TTUHSCEP FGD'!$D$29</f>
        <v>3329454</v>
      </c>
      <c r="E260" s="762">
        <f>'TTUHSCEP FGD'!$E$29</f>
        <v>5101577</v>
      </c>
      <c r="F260" s="762">
        <f>'TTUHSCEP FGD'!$F$29</f>
        <v>0</v>
      </c>
      <c r="G260" s="762">
        <f>'TTUHSCEP FGD'!$G$29</f>
        <v>0</v>
      </c>
      <c r="H260" s="762">
        <f>'TTUHSCEP FGD'!$H$29</f>
        <v>0</v>
      </c>
      <c r="I260" s="762">
        <f>'TTUHSCEP FGD'!$I$29</f>
        <v>0</v>
      </c>
      <c r="J260" s="762">
        <f>'TTUHSCEP FGD'!$J$29</f>
        <v>0</v>
      </c>
      <c r="K260" s="762">
        <f>'TTUHSCEP FGD'!$K$29</f>
        <v>0</v>
      </c>
      <c r="L260" s="762">
        <f>'TTUHSCEP FGD'!$L$29</f>
        <v>0</v>
      </c>
      <c r="M260" s="650">
        <f>'TTUHSCEP FGD'!$M$29</f>
        <v>8431031</v>
      </c>
    </row>
    <row r="261" spans="1:15" s="320" customFormat="1" hidden="1" outlineLevel="1">
      <c r="A261" s="322"/>
      <c r="B261" s="823" t="str">
        <f>'UHM FGD'!$B$2</f>
        <v>University of Houston Medical School (M)</v>
      </c>
      <c r="C261" s="751"/>
      <c r="D261" s="762">
        <f>'UHM FGD'!$D$29</f>
        <v>526471</v>
      </c>
      <c r="E261" s="762">
        <f>'UHM FGD'!$E$29</f>
        <v>257212</v>
      </c>
      <c r="F261" s="762">
        <f>'UHM FGD'!$F$29</f>
        <v>0</v>
      </c>
      <c r="G261" s="762">
        <f>'UHM FGD'!$G$29</f>
        <v>0</v>
      </c>
      <c r="H261" s="762">
        <f>'UHM FGD'!$H$29</f>
        <v>0</v>
      </c>
      <c r="I261" s="762">
        <f>'UHM FGD'!$I$29</f>
        <v>0</v>
      </c>
      <c r="J261" s="762">
        <f>'UHM FGD'!$J$29</f>
        <v>0</v>
      </c>
      <c r="K261" s="762">
        <f>'UHM FGD'!$K$29</f>
        <v>0</v>
      </c>
      <c r="L261" s="762">
        <f>'UHM FGD'!$L$29</f>
        <v>0</v>
      </c>
      <c r="M261" s="650">
        <f>'UHM FGD'!$M$29</f>
        <v>783683</v>
      </c>
    </row>
    <row r="262" spans="1:15" s="320" customFormat="1" hidden="1" outlineLevel="1">
      <c r="A262" s="322"/>
      <c r="B262" s="823" t="str">
        <f>'UNTHSC1 FGD'!$B$2</f>
        <v>University of North Texas Health Science Center at Fort Worth (Public Medical)</v>
      </c>
      <c r="C262" s="751"/>
      <c r="D262" s="762">
        <f>'UNTHSC1 FGD'!$D$29</f>
        <v>11712788</v>
      </c>
      <c r="E262" s="762">
        <f>'UNTHSC1 FGD'!$E$29</f>
        <v>11457649</v>
      </c>
      <c r="F262" s="762">
        <f>'UNTHSC1 FGD'!$F$29</f>
        <v>0</v>
      </c>
      <c r="G262" s="762">
        <f>'UNTHSC1 FGD'!$G$29</f>
        <v>0</v>
      </c>
      <c r="H262" s="762">
        <f>'UNTHSC1 FGD'!$H$29</f>
        <v>0</v>
      </c>
      <c r="I262" s="762">
        <f>'UNTHSC1 FGD'!$I$29</f>
        <v>0</v>
      </c>
      <c r="J262" s="762">
        <f>'UNTHSC1 FGD'!$J$29</f>
        <v>0</v>
      </c>
      <c r="K262" s="762">
        <f>'UNTHSC1 FGD'!$K$29</f>
        <v>0</v>
      </c>
      <c r="L262" s="762">
        <f>'UNTHSC1 FGD'!$L$29</f>
        <v>0</v>
      </c>
      <c r="M262" s="650">
        <f>'UNTHSC1 FGD'!$M$29</f>
        <v>23170437</v>
      </c>
    </row>
    <row r="263" spans="1:15" s="320" customFormat="1" ht="12" customHeight="1" collapsed="1">
      <c r="A263" s="322"/>
      <c r="B263" s="795" t="s">
        <v>165</v>
      </c>
      <c r="C263" s="784"/>
      <c r="D263" s="769">
        <f t="shared" ref="D263:M263" si="17">SUM(D250:D262)</f>
        <v>114752650</v>
      </c>
      <c r="E263" s="769">
        <f t="shared" si="17"/>
        <v>180474081</v>
      </c>
      <c r="F263" s="769">
        <f t="shared" si="17"/>
        <v>0</v>
      </c>
      <c r="G263" s="769">
        <f t="shared" si="17"/>
        <v>0</v>
      </c>
      <c r="H263" s="769">
        <f t="shared" si="17"/>
        <v>0</v>
      </c>
      <c r="I263" s="769">
        <f t="shared" si="17"/>
        <v>0</v>
      </c>
      <c r="J263" s="769">
        <f t="shared" si="17"/>
        <v>0</v>
      </c>
      <c r="K263" s="769">
        <f t="shared" si="17"/>
        <v>0</v>
      </c>
      <c r="L263" s="769">
        <f t="shared" si="17"/>
        <v>0</v>
      </c>
      <c r="M263" s="769">
        <f t="shared" si="17"/>
        <v>295226731</v>
      </c>
      <c r="O263" s="322" t="str">
        <f>IF(M263&lt;&gt;M1073,"Error","OK")</f>
        <v>OK</v>
      </c>
    </row>
    <row r="264" spans="1:15" s="320" customFormat="1" ht="16.5" customHeight="1">
      <c r="A264" s="322"/>
      <c r="C264" s="751"/>
      <c r="D264" s="751"/>
      <c r="E264" s="751"/>
      <c r="F264" s="751"/>
      <c r="G264" s="751"/>
      <c r="H264" s="751"/>
      <c r="I264" s="751"/>
      <c r="J264" s="751"/>
      <c r="K264" s="751"/>
      <c r="L264" s="751"/>
      <c r="M264" s="650"/>
    </row>
    <row r="265" spans="1:15" s="320" customFormat="1" ht="16.5" hidden="1" customHeight="1" outlineLevel="1">
      <c r="A265" s="322"/>
      <c r="B265" s="823" t="str">
        <f>'AUSM FGD'!$B$2</f>
        <v>The University of Texas at Austin Medical School (M)</v>
      </c>
      <c r="C265" s="751"/>
      <c r="D265" s="724">
        <f>'AUSM FGD'!$D$31</f>
        <v>0</v>
      </c>
      <c r="E265" s="724">
        <f>'AUSM FGD'!$E$31</f>
        <v>1157497</v>
      </c>
      <c r="F265" s="724">
        <f>'AUSM FGD'!$F$31</f>
        <v>0</v>
      </c>
      <c r="G265" s="724">
        <f>'AUSM FGD'!$G$31</f>
        <v>0</v>
      </c>
      <c r="H265" s="724">
        <f>'AUSM FGD'!$H$31</f>
        <v>0</v>
      </c>
      <c r="I265" s="724">
        <f>'AUSM FGD'!$I$31</f>
        <v>0</v>
      </c>
      <c r="J265" s="724">
        <f>'AUSM FGD'!$J$31</f>
        <v>0</v>
      </c>
      <c r="K265" s="724">
        <f>'AUSM FGD'!$K$31</f>
        <v>0</v>
      </c>
      <c r="L265" s="724">
        <f>'AUSM FGD'!$L$31</f>
        <v>0</v>
      </c>
      <c r="M265" s="650">
        <f>'AUSM FGD'!$M$31</f>
        <v>1157497</v>
      </c>
    </row>
    <row r="266" spans="1:15" s="320" customFormat="1" ht="16.5" hidden="1" customHeight="1" outlineLevel="1">
      <c r="A266" s="322"/>
      <c r="B266" s="823" t="str">
        <f>'HSH FGD'!$B$2</f>
        <v>The University of Texas Health Science Center at Houston</v>
      </c>
      <c r="C266" s="751"/>
      <c r="D266" s="724">
        <f>'HSH FGD'!$D$31</f>
        <v>169664</v>
      </c>
      <c r="E266" s="724">
        <f>'HSH FGD'!$E$31</f>
        <v>12198846</v>
      </c>
      <c r="F266" s="724">
        <f>'HSH FGD'!$F$31</f>
        <v>2492563</v>
      </c>
      <c r="G266" s="724">
        <f>'HSH FGD'!$G$31</f>
        <v>0</v>
      </c>
      <c r="H266" s="724">
        <f>'HSH FGD'!$H$31</f>
        <v>0</v>
      </c>
      <c r="I266" s="724">
        <f>'HSH FGD'!$I$31</f>
        <v>0</v>
      </c>
      <c r="J266" s="724">
        <f>'HSH FGD'!$J$31</f>
        <v>0</v>
      </c>
      <c r="K266" s="724">
        <f>'HSH FGD'!$K$31</f>
        <v>0</v>
      </c>
      <c r="L266" s="724">
        <f>'HSH FGD'!$L$31</f>
        <v>0</v>
      </c>
      <c r="M266" s="650">
        <f>'HSH FGD'!$M$31</f>
        <v>14861073</v>
      </c>
    </row>
    <row r="267" spans="1:15" s="320" customFormat="1" ht="16.5" hidden="1" customHeight="1" outlineLevel="1">
      <c r="A267" s="322"/>
      <c r="B267" s="823" t="str">
        <f>'HSSA FGD'!$B$2</f>
        <v>The University of Texas Health Science Center at San Antonio</v>
      </c>
      <c r="C267" s="751"/>
      <c r="D267" s="724">
        <f>'HSSA FGD'!$D$31</f>
        <v>0</v>
      </c>
      <c r="E267" s="724">
        <f>'HSSA FGD'!$E$31</f>
        <v>0</v>
      </c>
      <c r="F267" s="724">
        <f>'HSSA FGD'!$F$31</f>
        <v>3100750</v>
      </c>
      <c r="G267" s="724">
        <f>'HSSA FGD'!$G$31</f>
        <v>0</v>
      </c>
      <c r="H267" s="724">
        <f>'HSSA FGD'!$H$31</f>
        <v>0</v>
      </c>
      <c r="I267" s="724">
        <f>'HSSA FGD'!$I$31</f>
        <v>0</v>
      </c>
      <c r="J267" s="724">
        <f>'HSSA FGD'!$J$31</f>
        <v>0</v>
      </c>
      <c r="K267" s="724">
        <f>'HSSA FGD'!$K$31</f>
        <v>0</v>
      </c>
      <c r="L267" s="724">
        <f>'HSSA FGD'!$L$31</f>
        <v>0</v>
      </c>
      <c r="M267" s="650">
        <f>'HSSA FGD'!$M$31</f>
        <v>3100750</v>
      </c>
    </row>
    <row r="268" spans="1:15" s="320" customFormat="1" ht="16.5" hidden="1" customHeight="1" outlineLevel="1">
      <c r="A268" s="322"/>
      <c r="B268" s="823" t="str">
        <f>'MBG FGD'!$B$2</f>
        <v>The University of Texas Medical Branch at Galveston</v>
      </c>
      <c r="C268" s="751"/>
      <c r="D268" s="724">
        <f>'MBG FGD'!$D$31</f>
        <v>3463674</v>
      </c>
      <c r="E268" s="724">
        <f>'MBG FGD'!$E$31</f>
        <v>10814376</v>
      </c>
      <c r="F268" s="724">
        <f>'MBG FGD'!$F$31</f>
        <v>812207</v>
      </c>
      <c r="G268" s="724">
        <f>'MBG FGD'!$G$31</f>
        <v>0</v>
      </c>
      <c r="H268" s="724">
        <f>'MBG FGD'!$H$31</f>
        <v>0</v>
      </c>
      <c r="I268" s="724">
        <f>'MBG FGD'!$I$31</f>
        <v>0</v>
      </c>
      <c r="J268" s="724">
        <f>'MBG FGD'!$J$31</f>
        <v>0</v>
      </c>
      <c r="K268" s="724">
        <f>'MBG FGD'!$K$31</f>
        <v>0</v>
      </c>
      <c r="L268" s="724">
        <f>'MBG FGD'!$L$31</f>
        <v>0</v>
      </c>
      <c r="M268" s="650">
        <f>'MBG FGD'!$M$31</f>
        <v>15090257</v>
      </c>
    </row>
    <row r="269" spans="1:15" s="320" customFormat="1" ht="16.5" hidden="1" customHeight="1" outlineLevel="1">
      <c r="A269" s="322"/>
      <c r="B269" s="823" t="str">
        <f>'MDA FGD'!$B$2</f>
        <v>The University of Texas M.D. Anderson Cancer Center</v>
      </c>
      <c r="C269" s="751"/>
      <c r="D269" s="724">
        <f>'MDA FGD'!$D$31</f>
        <v>0</v>
      </c>
      <c r="E269" s="724">
        <f>'MDA FGD'!$E$31</f>
        <v>346459</v>
      </c>
      <c r="F269" s="724">
        <f>'MDA FGD'!$F$31</f>
        <v>0</v>
      </c>
      <c r="G269" s="724">
        <f>'MDA FGD'!$G$31</f>
        <v>0</v>
      </c>
      <c r="H269" s="724">
        <f>'MDA FGD'!$H$31</f>
        <v>0</v>
      </c>
      <c r="I269" s="724">
        <f>'MDA FGD'!$I$31</f>
        <v>0</v>
      </c>
      <c r="J269" s="724">
        <f>'MDA FGD'!$J$31</f>
        <v>0</v>
      </c>
      <c r="K269" s="724">
        <f>'MDA FGD'!$K$31</f>
        <v>0</v>
      </c>
      <c r="L269" s="724">
        <f>'MDA FGD'!$L$31</f>
        <v>0</v>
      </c>
      <c r="M269" s="650">
        <f>'MDA FGD'!$M$31</f>
        <v>346459</v>
      </c>
    </row>
    <row r="270" spans="1:15" s="320" customFormat="1" ht="16.5" hidden="1" customHeight="1" outlineLevel="1">
      <c r="A270" s="322"/>
      <c r="B270" s="823" t="str">
        <f>'RGVM FGD'!$B$2</f>
        <v>The University of Texas Rio Grande Valley Medical School (M)</v>
      </c>
      <c r="C270" s="751"/>
      <c r="D270" s="724">
        <f>'RGVM FGD'!$D$31</f>
        <v>13196</v>
      </c>
      <c r="E270" s="724">
        <f>'RGVM FGD'!$E$31</f>
        <v>831798</v>
      </c>
      <c r="F270" s="724">
        <f>'RGVM FGD'!$F$31</f>
        <v>199019</v>
      </c>
      <c r="G270" s="724">
        <f>'RGVM FGD'!$G$31</f>
        <v>0</v>
      </c>
      <c r="H270" s="724">
        <f>'RGVM FGD'!$H$31</f>
        <v>0</v>
      </c>
      <c r="I270" s="724">
        <f>'RGVM FGD'!$I$31</f>
        <v>0</v>
      </c>
      <c r="J270" s="724">
        <f>'RGVM FGD'!$J$31</f>
        <v>0</v>
      </c>
      <c r="K270" s="724">
        <f>'RGVM FGD'!$K$31</f>
        <v>0</v>
      </c>
      <c r="L270" s="724">
        <f>'RGVM FGD'!$L$31</f>
        <v>0</v>
      </c>
      <c r="M270" s="650">
        <f>'RGVM FGD'!$M$31</f>
        <v>1044013</v>
      </c>
    </row>
    <row r="271" spans="1:15" s="320" customFormat="1" ht="16.5" hidden="1" customHeight="1" outlineLevel="1">
      <c r="A271" s="322"/>
      <c r="B271" s="823" t="str">
        <f>'SWM FGD'!$B$2</f>
        <v>The University of Texas Southwestern Medical Center</v>
      </c>
      <c r="C271" s="751"/>
      <c r="D271" s="724">
        <f>'SWM FGD'!$D$31</f>
        <v>53715</v>
      </c>
      <c r="E271" s="724">
        <f>'SWM FGD'!$E$31</f>
        <v>923103</v>
      </c>
      <c r="F271" s="724">
        <f>'SWM FGD'!$F$31</f>
        <v>1846347</v>
      </c>
      <c r="G271" s="724">
        <f>'SWM FGD'!$G$31</f>
        <v>0</v>
      </c>
      <c r="H271" s="724">
        <f>'SWM FGD'!$H$31</f>
        <v>0</v>
      </c>
      <c r="I271" s="724">
        <f>'SWM FGD'!$I$31</f>
        <v>0</v>
      </c>
      <c r="J271" s="724">
        <f>'SWM FGD'!$J$31</f>
        <v>0</v>
      </c>
      <c r="K271" s="724">
        <f>'SWM FGD'!$K$31</f>
        <v>0</v>
      </c>
      <c r="L271" s="724">
        <f>'SWM FGD'!$L$31</f>
        <v>0</v>
      </c>
      <c r="M271" s="650">
        <f>'SWM FGD'!$M$31</f>
        <v>2823165</v>
      </c>
    </row>
    <row r="272" spans="1:15" s="320" customFormat="1" ht="16.5" hidden="1" customHeight="1" outlineLevel="1">
      <c r="A272" s="322"/>
      <c r="B272" s="823" t="str">
        <f>'TAMHSC FGD'!$B$2</f>
        <v>Texas A&amp;M University System Health Science Center</v>
      </c>
      <c r="C272" s="751"/>
      <c r="D272" s="724">
        <f>'TAMHSC FGD'!$D$31</f>
        <v>64499</v>
      </c>
      <c r="E272" s="724">
        <f>'TAMHSC FGD'!$E$31</f>
        <v>18329270</v>
      </c>
      <c r="F272" s="724">
        <f>'TAMHSC FGD'!$F$31</f>
        <v>1615838</v>
      </c>
      <c r="G272" s="724">
        <f>'TAMHSC FGD'!$G$31</f>
        <v>0</v>
      </c>
      <c r="H272" s="724">
        <f>'TAMHSC FGD'!$H$31</f>
        <v>0</v>
      </c>
      <c r="I272" s="724">
        <f>'TAMHSC FGD'!$I$31</f>
        <v>0</v>
      </c>
      <c r="J272" s="724">
        <f>'TAMHSC FGD'!$J$31</f>
        <v>0</v>
      </c>
      <c r="K272" s="724">
        <f>'TAMHSC FGD'!$K$31</f>
        <v>0</v>
      </c>
      <c r="L272" s="724">
        <f>'TAMHSC FGD'!$L$31</f>
        <v>0</v>
      </c>
      <c r="M272" s="650">
        <f>'TAMHSC FGD'!$M$31</f>
        <v>20009607</v>
      </c>
    </row>
    <row r="273" spans="1:13" s="320" customFormat="1" ht="16.5" hidden="1" customHeight="1" outlineLevel="1">
      <c r="A273" s="322"/>
      <c r="B273" s="823" t="str">
        <f>'THC FGD'!$B$2</f>
        <v>The University of Texas Health Science Center at Tyler</v>
      </c>
      <c r="C273" s="751"/>
      <c r="D273" s="724">
        <f>'THC FGD'!$D$31</f>
        <v>1350</v>
      </c>
      <c r="E273" s="724">
        <f>'THC FGD'!$E$31</f>
        <v>95752</v>
      </c>
      <c r="F273" s="724">
        <f>'THC FGD'!$F$31</f>
        <v>0</v>
      </c>
      <c r="G273" s="724">
        <f>'THC FGD'!$G$31</f>
        <v>0</v>
      </c>
      <c r="H273" s="724">
        <f>'THC FGD'!$H$31</f>
        <v>0</v>
      </c>
      <c r="I273" s="724">
        <f>'THC FGD'!$I$31</f>
        <v>0</v>
      </c>
      <c r="J273" s="724">
        <f>'THC FGD'!$J$31</f>
        <v>0</v>
      </c>
      <c r="K273" s="724">
        <f>'THC FGD'!$K$31</f>
        <v>0</v>
      </c>
      <c r="L273" s="724">
        <f>'THC FGD'!$L$31</f>
        <v>0</v>
      </c>
      <c r="M273" s="650">
        <f>'THC FGD'!$M$31</f>
        <v>97102</v>
      </c>
    </row>
    <row r="274" spans="1:13" s="320" customFormat="1" ht="16.5" hidden="1" customHeight="1" outlineLevel="1">
      <c r="A274" s="322"/>
      <c r="B274" s="823" t="str">
        <f>'TTUHSC FGD'!$B$2</f>
        <v>Texas Tech University Health Sciences Center</v>
      </c>
      <c r="C274" s="751"/>
      <c r="D274" s="724">
        <f>'TTUHSC FGD'!$D$31</f>
        <v>0</v>
      </c>
      <c r="E274" s="724">
        <f>'TTUHSC FGD'!$E$31</f>
        <v>29107003</v>
      </c>
      <c r="F274" s="724">
        <f>'TTUHSC FGD'!$F$31</f>
        <v>0</v>
      </c>
      <c r="G274" s="724">
        <f>'TTUHSC FGD'!$G$31</f>
        <v>0</v>
      </c>
      <c r="H274" s="724">
        <f>'TTUHSC FGD'!$H$31</f>
        <v>0</v>
      </c>
      <c r="I274" s="724">
        <f>'TTUHSC FGD'!$I$31</f>
        <v>0</v>
      </c>
      <c r="J274" s="724">
        <f>'TTUHSC FGD'!$J$31</f>
        <v>0</v>
      </c>
      <c r="K274" s="724">
        <f>'TTUHSC FGD'!$K$31</f>
        <v>0</v>
      </c>
      <c r="L274" s="724">
        <f>'TTUHSC FGD'!$L$31</f>
        <v>0</v>
      </c>
      <c r="M274" s="650">
        <f>'TTUHSC FGD'!$M$31</f>
        <v>29107003</v>
      </c>
    </row>
    <row r="275" spans="1:13" s="320" customFormat="1" ht="16.5" hidden="1" customHeight="1" outlineLevel="1">
      <c r="A275" s="322"/>
      <c r="B275" s="823" t="str">
        <f>'TTUHSCEP FGD'!$B$2</f>
        <v>Texas Tech University Health Sciences Center at El Paso</v>
      </c>
      <c r="C275" s="751"/>
      <c r="D275" s="724">
        <f>'TTUHSCEP FGD'!$D$31</f>
        <v>0</v>
      </c>
      <c r="E275" s="724">
        <f>'TTUHSCEP FGD'!$E$31</f>
        <v>4954136</v>
      </c>
      <c r="F275" s="724">
        <f>'TTUHSCEP FGD'!$F$31</f>
        <v>0</v>
      </c>
      <c r="G275" s="724">
        <f>'TTUHSCEP FGD'!$G$31</f>
        <v>0</v>
      </c>
      <c r="H275" s="724">
        <f>'TTUHSCEP FGD'!$H$31</f>
        <v>0</v>
      </c>
      <c r="I275" s="724">
        <f>'TTUHSCEP FGD'!$I$31</f>
        <v>0</v>
      </c>
      <c r="J275" s="724">
        <f>'TTUHSCEP FGD'!$J$31</f>
        <v>0</v>
      </c>
      <c r="K275" s="724">
        <f>'TTUHSCEP FGD'!$K$31</f>
        <v>0</v>
      </c>
      <c r="L275" s="724">
        <f>'TTUHSCEP FGD'!$L$31</f>
        <v>0</v>
      </c>
      <c r="M275" s="650">
        <f>'TTUHSCEP FGD'!$M$31</f>
        <v>4954136</v>
      </c>
    </row>
    <row r="276" spans="1:13" s="320" customFormat="1" ht="16.5" hidden="1" customHeight="1" outlineLevel="1">
      <c r="A276" s="322"/>
      <c r="B276" s="823" t="str">
        <f>'UHM FGD'!$B$2</f>
        <v>University of Houston Medical School (M)</v>
      </c>
      <c r="C276" s="751"/>
      <c r="D276" s="724">
        <f>'UHM FGD'!$D$31</f>
        <v>0</v>
      </c>
      <c r="E276" s="724">
        <f>'UHM FGD'!$E$31</f>
        <v>381796</v>
      </c>
      <c r="F276" s="724">
        <f>'UHM FGD'!$F$31</f>
        <v>75366</v>
      </c>
      <c r="G276" s="724">
        <f>'UHM FGD'!$G$31</f>
        <v>0</v>
      </c>
      <c r="H276" s="724">
        <f>'UHM FGD'!$H$31</f>
        <v>0</v>
      </c>
      <c r="I276" s="724">
        <f>'UHM FGD'!$I$31</f>
        <v>0</v>
      </c>
      <c r="J276" s="724">
        <f>'UHM FGD'!$J$31</f>
        <v>0</v>
      </c>
      <c r="K276" s="724">
        <f>'UHM FGD'!$K$31</f>
        <v>0</v>
      </c>
      <c r="L276" s="724">
        <f>'UHM FGD'!$L$31</f>
        <v>0</v>
      </c>
      <c r="M276" s="650">
        <f>'UHM FGD'!$M$31</f>
        <v>457162</v>
      </c>
    </row>
    <row r="277" spans="1:13" s="320" customFormat="1" ht="16.5" hidden="1" customHeight="1" outlineLevel="1">
      <c r="A277" s="322"/>
      <c r="B277" s="823" t="str">
        <f>'UNTHSC1 FGD'!$B$2</f>
        <v>University of North Texas Health Science Center at Fort Worth (Public Medical)</v>
      </c>
      <c r="C277" s="751"/>
      <c r="D277" s="724">
        <f>'UNTHSC1 FGD'!$D$31</f>
        <v>24149</v>
      </c>
      <c r="E277" s="724">
        <f>'UNTHSC1 FGD'!$E$31</f>
        <v>11872058</v>
      </c>
      <c r="F277" s="724">
        <f>'UNTHSC1 FGD'!$F$31</f>
        <v>0</v>
      </c>
      <c r="G277" s="724">
        <f>'UNTHSC1 FGD'!$G$31</f>
        <v>0</v>
      </c>
      <c r="H277" s="724">
        <f>'UNTHSC1 FGD'!$H$31</f>
        <v>0</v>
      </c>
      <c r="I277" s="724">
        <f>'UNTHSC1 FGD'!$I$31</f>
        <v>0</v>
      </c>
      <c r="J277" s="724">
        <f>'UNTHSC1 FGD'!$J$31</f>
        <v>0</v>
      </c>
      <c r="K277" s="724">
        <f>'UNTHSC1 FGD'!$K$31</f>
        <v>0</v>
      </c>
      <c r="L277" s="724">
        <f>'UNTHSC1 FGD'!$L$31</f>
        <v>0</v>
      </c>
      <c r="M277" s="650">
        <f>'UNTHSC1 FGD'!$M$31</f>
        <v>11896207</v>
      </c>
    </row>
    <row r="278" spans="1:13" s="320" customFormat="1" ht="12.75" customHeight="1" collapsed="1">
      <c r="A278" s="322"/>
      <c r="B278" s="772" t="s">
        <v>238</v>
      </c>
      <c r="C278" s="772"/>
      <c r="D278" s="769">
        <f t="shared" ref="D278:M278" si="18">SUM(D265:D277)</f>
        <v>3790247</v>
      </c>
      <c r="E278" s="769">
        <f t="shared" si="18"/>
        <v>91012094</v>
      </c>
      <c r="F278" s="769">
        <f t="shared" si="18"/>
        <v>10142090</v>
      </c>
      <c r="G278" s="769">
        <f t="shared" si="18"/>
        <v>0</v>
      </c>
      <c r="H278" s="769">
        <f t="shared" si="18"/>
        <v>0</v>
      </c>
      <c r="I278" s="769">
        <f t="shared" si="18"/>
        <v>0</v>
      </c>
      <c r="J278" s="769">
        <f t="shared" si="18"/>
        <v>0</v>
      </c>
      <c r="K278" s="769">
        <f t="shared" si="18"/>
        <v>0</v>
      </c>
      <c r="L278" s="769">
        <f t="shared" si="18"/>
        <v>0</v>
      </c>
      <c r="M278" s="769">
        <f t="shared" si="18"/>
        <v>104944431</v>
      </c>
    </row>
    <row r="279" spans="1:13" s="320" customFormat="1" ht="12.75" hidden="1" customHeight="1" outlineLevel="1">
      <c r="A279" s="322"/>
      <c r="B279" s="823" t="str">
        <f>'AUSM FGD'!$B$2</f>
        <v>The University of Texas at Austin Medical School (M)</v>
      </c>
      <c r="C279" s="314"/>
      <c r="D279" s="723">
        <f>'AUSM FGD'!$D$32</f>
        <v>0</v>
      </c>
      <c r="E279" s="723">
        <f>'AUSM FGD'!$E$32</f>
        <v>0</v>
      </c>
      <c r="F279" s="723">
        <f>'AUSM FGD'!$F$32</f>
        <v>0</v>
      </c>
      <c r="G279" s="723">
        <f>'AUSM FGD'!$G$32</f>
        <v>0</v>
      </c>
      <c r="H279" s="723">
        <f>'AUSM FGD'!$H$32</f>
        <v>0</v>
      </c>
      <c r="I279" s="723">
        <f>'AUSM FGD'!$I$32</f>
        <v>0</v>
      </c>
      <c r="J279" s="723">
        <f>'AUSM FGD'!$J$32</f>
        <v>0</v>
      </c>
      <c r="K279" s="723">
        <f>'AUSM FGD'!$K$32</f>
        <v>0</v>
      </c>
      <c r="L279" s="723">
        <f>'AUSM FGD'!$L$32</f>
        <v>0</v>
      </c>
      <c r="M279" s="723">
        <f>'AUSM FGD'!$M$32</f>
        <v>0</v>
      </c>
    </row>
    <row r="280" spans="1:13" s="320" customFormat="1" ht="12.75" hidden="1" customHeight="1" outlineLevel="1">
      <c r="A280" s="322"/>
      <c r="B280" s="823" t="str">
        <f>'HSH FGD'!$B$2</f>
        <v>The University of Texas Health Science Center at Houston</v>
      </c>
      <c r="C280" s="314"/>
      <c r="D280" s="723">
        <f>'HSH FGD'!$D$32</f>
        <v>0</v>
      </c>
      <c r="E280" s="723">
        <f>'HSH FGD'!$E$32</f>
        <v>0</v>
      </c>
      <c r="F280" s="723">
        <f>'HSH FGD'!$F$32</f>
        <v>0</v>
      </c>
      <c r="G280" s="723">
        <f>'HSH FGD'!$G$32</f>
        <v>0</v>
      </c>
      <c r="H280" s="723">
        <f>'HSH FGD'!$H$32</f>
        <v>0</v>
      </c>
      <c r="I280" s="723">
        <f>'HSH FGD'!$I$32</f>
        <v>0</v>
      </c>
      <c r="J280" s="723">
        <f>'HSH FGD'!$J$32</f>
        <v>0</v>
      </c>
      <c r="K280" s="723">
        <f>'HSH FGD'!$K$32</f>
        <v>0</v>
      </c>
      <c r="L280" s="723">
        <f>'HSH FGD'!$L$32</f>
        <v>0</v>
      </c>
      <c r="M280" s="723">
        <f>'HSH FGD'!$M$32</f>
        <v>0</v>
      </c>
    </row>
    <row r="281" spans="1:13" s="320" customFormat="1" ht="12.75" hidden="1" customHeight="1" outlineLevel="1">
      <c r="A281" s="322"/>
      <c r="B281" s="823" t="str">
        <f>'HSSA FGD'!$B$2</f>
        <v>The University of Texas Health Science Center at San Antonio</v>
      </c>
      <c r="C281" s="314"/>
      <c r="D281" s="723">
        <f>'HSSA FGD'!$D$32</f>
        <v>0</v>
      </c>
      <c r="E281" s="723">
        <f>'HSSA FGD'!$E$32</f>
        <v>0</v>
      </c>
      <c r="F281" s="723">
        <f>'HSSA FGD'!$F$32</f>
        <v>0</v>
      </c>
      <c r="G281" s="723">
        <f>'HSSA FGD'!$G$32</f>
        <v>0</v>
      </c>
      <c r="H281" s="723">
        <f>'HSSA FGD'!$H$32</f>
        <v>0</v>
      </c>
      <c r="I281" s="723">
        <f>'HSSA FGD'!$I$32</f>
        <v>0</v>
      </c>
      <c r="J281" s="723">
        <f>'HSSA FGD'!$J$32</f>
        <v>0</v>
      </c>
      <c r="K281" s="723">
        <f>'HSSA FGD'!$K$32</f>
        <v>0</v>
      </c>
      <c r="L281" s="723">
        <f>'HSSA FGD'!$L$32</f>
        <v>0</v>
      </c>
      <c r="M281" s="723">
        <f>'HSSA FGD'!$M$32</f>
        <v>0</v>
      </c>
    </row>
    <row r="282" spans="1:13" s="320" customFormat="1" ht="12.75" hidden="1" customHeight="1" outlineLevel="1">
      <c r="A282" s="322"/>
      <c r="B282" s="823" t="str">
        <f>'MBG FGD'!$B$2</f>
        <v>The University of Texas Medical Branch at Galveston</v>
      </c>
      <c r="C282" s="314"/>
      <c r="D282" s="723">
        <f>'MBG FGD'!$D$32</f>
        <v>0</v>
      </c>
      <c r="E282" s="723">
        <f>'MBG FGD'!$E$32</f>
        <v>0</v>
      </c>
      <c r="F282" s="723">
        <f>'MBG FGD'!$F$32</f>
        <v>0</v>
      </c>
      <c r="G282" s="723">
        <f>'MBG FGD'!$G$32</f>
        <v>0</v>
      </c>
      <c r="H282" s="723">
        <f>'MBG FGD'!$H$32</f>
        <v>0</v>
      </c>
      <c r="I282" s="723">
        <f>'MBG FGD'!$I$32</f>
        <v>0</v>
      </c>
      <c r="J282" s="723">
        <f>'MBG FGD'!$J$32</f>
        <v>0</v>
      </c>
      <c r="K282" s="723">
        <f>'MBG FGD'!$K$32</f>
        <v>0</v>
      </c>
      <c r="L282" s="723">
        <f>'MBG FGD'!$L$32</f>
        <v>0</v>
      </c>
      <c r="M282" s="723">
        <f>'MBG FGD'!$M$32</f>
        <v>0</v>
      </c>
    </row>
    <row r="283" spans="1:13" s="320" customFormat="1" ht="12.75" hidden="1" customHeight="1" outlineLevel="1">
      <c r="A283" s="322"/>
      <c r="B283" s="823" t="str">
        <f>'MDA FGD'!$B$2</f>
        <v>The University of Texas M.D. Anderson Cancer Center</v>
      </c>
      <c r="C283" s="314"/>
      <c r="D283" s="723">
        <f>'MDA FGD'!$D$32</f>
        <v>0</v>
      </c>
      <c r="E283" s="723">
        <f>'MDA FGD'!$E$32</f>
        <v>0</v>
      </c>
      <c r="F283" s="723">
        <f>'MDA FGD'!$F$32</f>
        <v>0</v>
      </c>
      <c r="G283" s="723">
        <f>'MDA FGD'!$G$32</f>
        <v>0</v>
      </c>
      <c r="H283" s="723">
        <f>'MDA FGD'!$H$32</f>
        <v>0</v>
      </c>
      <c r="I283" s="723">
        <f>'MDA FGD'!$I$32</f>
        <v>0</v>
      </c>
      <c r="J283" s="723">
        <f>'MDA FGD'!$J$32</f>
        <v>0</v>
      </c>
      <c r="K283" s="723">
        <f>'MDA FGD'!$K$32</f>
        <v>0</v>
      </c>
      <c r="L283" s="723">
        <f>'MDA FGD'!$L$32</f>
        <v>0</v>
      </c>
      <c r="M283" s="723">
        <f>'MDA FGD'!$M$32</f>
        <v>0</v>
      </c>
    </row>
    <row r="284" spans="1:13" s="320" customFormat="1" ht="12.75" hidden="1" customHeight="1" outlineLevel="1">
      <c r="A284" s="322"/>
      <c r="B284" s="823" t="str">
        <f>'RGVM FGD'!$B$2</f>
        <v>The University of Texas Rio Grande Valley Medical School (M)</v>
      </c>
      <c r="C284" s="314"/>
      <c r="D284" s="723">
        <f>'RGVM FGD'!$D$32</f>
        <v>0</v>
      </c>
      <c r="E284" s="723">
        <f>'RGVM FGD'!$E$32</f>
        <v>0</v>
      </c>
      <c r="F284" s="723">
        <f>'RGVM FGD'!$F$32</f>
        <v>0</v>
      </c>
      <c r="G284" s="723">
        <f>'RGVM FGD'!$G$32</f>
        <v>0</v>
      </c>
      <c r="H284" s="723">
        <f>'RGVM FGD'!$H$32</f>
        <v>0</v>
      </c>
      <c r="I284" s="723">
        <f>'RGVM FGD'!$I$32</f>
        <v>0</v>
      </c>
      <c r="J284" s="723">
        <f>'RGVM FGD'!$J$32</f>
        <v>0</v>
      </c>
      <c r="K284" s="723">
        <f>'RGVM FGD'!$K$32</f>
        <v>0</v>
      </c>
      <c r="L284" s="723">
        <f>'RGVM FGD'!$L$32</f>
        <v>0</v>
      </c>
      <c r="M284" s="723">
        <f>'RGVM FGD'!$M$32</f>
        <v>0</v>
      </c>
    </row>
    <row r="285" spans="1:13" s="320" customFormat="1" ht="12.75" hidden="1" customHeight="1" outlineLevel="1">
      <c r="A285" s="322"/>
      <c r="B285" s="823" t="str">
        <f>'SWM FGD'!$B$2</f>
        <v>The University of Texas Southwestern Medical Center</v>
      </c>
      <c r="C285" s="314"/>
      <c r="D285" s="723">
        <f>'SWM FGD'!$D$32</f>
        <v>0</v>
      </c>
      <c r="E285" s="723">
        <f>'SWM FGD'!$E$32</f>
        <v>0</v>
      </c>
      <c r="F285" s="723">
        <f>'SWM FGD'!$F$32</f>
        <v>0</v>
      </c>
      <c r="G285" s="723">
        <f>'SWM FGD'!$G$32</f>
        <v>0</v>
      </c>
      <c r="H285" s="723">
        <f>'SWM FGD'!$H$32</f>
        <v>0</v>
      </c>
      <c r="I285" s="723">
        <f>'SWM FGD'!$I$32</f>
        <v>0</v>
      </c>
      <c r="J285" s="723">
        <f>'SWM FGD'!$J$32</f>
        <v>0</v>
      </c>
      <c r="K285" s="723">
        <f>'SWM FGD'!$K$32</f>
        <v>0</v>
      </c>
      <c r="L285" s="723">
        <f>'SWM FGD'!$L$32</f>
        <v>0</v>
      </c>
      <c r="M285" s="723">
        <f>'SWM FGD'!$M$32</f>
        <v>0</v>
      </c>
    </row>
    <row r="286" spans="1:13" s="320" customFormat="1" ht="12.75" hidden="1" customHeight="1" outlineLevel="1">
      <c r="A286" s="322"/>
      <c r="B286" s="823" t="str">
        <f>'TAMHSC FGD'!$B$2</f>
        <v>Texas A&amp;M University System Health Science Center</v>
      </c>
      <c r="C286" s="314"/>
      <c r="D286" s="723">
        <f>'TAMHSC FGD'!$D$32</f>
        <v>0</v>
      </c>
      <c r="E286" s="723">
        <f>'TAMHSC FGD'!$E$32</f>
        <v>0</v>
      </c>
      <c r="F286" s="723">
        <f>'TAMHSC FGD'!$F$32</f>
        <v>0</v>
      </c>
      <c r="G286" s="723">
        <f>'TAMHSC FGD'!$G$32</f>
        <v>0</v>
      </c>
      <c r="H286" s="723">
        <f>'TAMHSC FGD'!$H$32</f>
        <v>0</v>
      </c>
      <c r="I286" s="723">
        <f>'TAMHSC FGD'!$I$32</f>
        <v>0</v>
      </c>
      <c r="J286" s="723">
        <f>'TAMHSC FGD'!$J$32</f>
        <v>0</v>
      </c>
      <c r="K286" s="723">
        <f>'TAMHSC FGD'!$K$32</f>
        <v>0</v>
      </c>
      <c r="L286" s="723">
        <f>'TAMHSC FGD'!$L$32</f>
        <v>0</v>
      </c>
      <c r="M286" s="723">
        <f>'TAMHSC FGD'!$M$32</f>
        <v>0</v>
      </c>
    </row>
    <row r="287" spans="1:13" s="320" customFormat="1" ht="12.75" hidden="1" customHeight="1" outlineLevel="1">
      <c r="A287" s="322"/>
      <c r="B287" s="823" t="str">
        <f>'THC FGD'!$B$2</f>
        <v>The University of Texas Health Science Center at Tyler</v>
      </c>
      <c r="C287" s="314"/>
      <c r="D287" s="723">
        <f>'THC FGD'!$D$32</f>
        <v>0</v>
      </c>
      <c r="E287" s="723">
        <f>'THC FGD'!$E$32</f>
        <v>0</v>
      </c>
      <c r="F287" s="723">
        <f>'THC FGD'!$F$32</f>
        <v>0</v>
      </c>
      <c r="G287" s="723">
        <f>'THC FGD'!$G$32</f>
        <v>0</v>
      </c>
      <c r="H287" s="723">
        <f>'THC FGD'!$H$32</f>
        <v>0</v>
      </c>
      <c r="I287" s="723">
        <f>'THC FGD'!$I$32</f>
        <v>0</v>
      </c>
      <c r="J287" s="723">
        <f>'THC FGD'!$J$32</f>
        <v>0</v>
      </c>
      <c r="K287" s="723">
        <f>'THC FGD'!$K$32</f>
        <v>0</v>
      </c>
      <c r="L287" s="723">
        <f>'THC FGD'!$L$32</f>
        <v>0</v>
      </c>
      <c r="M287" s="723">
        <f>'THC FGD'!$M$32</f>
        <v>0</v>
      </c>
    </row>
    <row r="288" spans="1:13" s="320" customFormat="1" ht="12.75" hidden="1" customHeight="1" outlineLevel="1">
      <c r="A288" s="322"/>
      <c r="B288" s="823" t="str">
        <f>'TTUHSC FGD'!$B$2</f>
        <v>Texas Tech University Health Sciences Center</v>
      </c>
      <c r="C288" s="314"/>
      <c r="D288" s="723">
        <f>'TTUHSC FGD'!$D$32</f>
        <v>0</v>
      </c>
      <c r="E288" s="723">
        <f>'TTUHSC FGD'!$E$32</f>
        <v>0</v>
      </c>
      <c r="F288" s="723">
        <f>'TTUHSC FGD'!$F$32</f>
        <v>0</v>
      </c>
      <c r="G288" s="723">
        <f>'TTUHSC FGD'!$G$32</f>
        <v>0</v>
      </c>
      <c r="H288" s="723">
        <f>'TTUHSC FGD'!$H$32</f>
        <v>0</v>
      </c>
      <c r="I288" s="723">
        <f>'TTUHSC FGD'!$I$32</f>
        <v>0</v>
      </c>
      <c r="J288" s="723">
        <f>'TTUHSC FGD'!$J$32</f>
        <v>0</v>
      </c>
      <c r="K288" s="723">
        <f>'TTUHSC FGD'!$K$32</f>
        <v>0</v>
      </c>
      <c r="L288" s="723">
        <f>'TTUHSC FGD'!$L$32</f>
        <v>0</v>
      </c>
      <c r="M288" s="723">
        <f>'TTUHSC FGD'!$M$32</f>
        <v>0</v>
      </c>
    </row>
    <row r="289" spans="1:13" s="320" customFormat="1" ht="12.75" hidden="1" customHeight="1" outlineLevel="1">
      <c r="A289" s="322"/>
      <c r="B289" s="823" t="str">
        <f>'TTUHSCEP FGD'!$B$2</f>
        <v>Texas Tech University Health Sciences Center at El Paso</v>
      </c>
      <c r="C289" s="314"/>
      <c r="D289" s="723">
        <f>'TTUHSCEP FGD'!$D$32</f>
        <v>0</v>
      </c>
      <c r="E289" s="723">
        <f>'TTUHSCEP FGD'!$E$32</f>
        <v>0</v>
      </c>
      <c r="F289" s="723">
        <f>'TTUHSCEP FGD'!$F$32</f>
        <v>0</v>
      </c>
      <c r="G289" s="723">
        <f>'TTUHSCEP FGD'!$G$32</f>
        <v>0</v>
      </c>
      <c r="H289" s="723">
        <f>'TTUHSCEP FGD'!$H$32</f>
        <v>0</v>
      </c>
      <c r="I289" s="723">
        <f>'TTUHSCEP FGD'!$I$32</f>
        <v>0</v>
      </c>
      <c r="J289" s="723">
        <f>'TTUHSCEP FGD'!$J$32</f>
        <v>0</v>
      </c>
      <c r="K289" s="723">
        <f>'TTUHSCEP FGD'!$K$32</f>
        <v>0</v>
      </c>
      <c r="L289" s="723">
        <f>'TTUHSCEP FGD'!$L$32</f>
        <v>0</v>
      </c>
      <c r="M289" s="723">
        <f>'TTUHSCEP FGD'!$M$32</f>
        <v>0</v>
      </c>
    </row>
    <row r="290" spans="1:13" s="320" customFormat="1" ht="12.75" hidden="1" customHeight="1" outlineLevel="1">
      <c r="A290" s="322"/>
      <c r="B290" s="823" t="str">
        <f>'UHM FGD'!$B$2</f>
        <v>University of Houston Medical School (M)</v>
      </c>
      <c r="C290" s="314"/>
      <c r="D290" s="723">
        <f>'UHM FGD'!$D$32</f>
        <v>0</v>
      </c>
      <c r="E290" s="723">
        <f>'UHM FGD'!$E$32</f>
        <v>0</v>
      </c>
      <c r="F290" s="723">
        <f>'UHM FGD'!$F$32</f>
        <v>0</v>
      </c>
      <c r="G290" s="723">
        <f>'UHM FGD'!$G$32</f>
        <v>0</v>
      </c>
      <c r="H290" s="723">
        <f>'UHM FGD'!$H$32</f>
        <v>0</v>
      </c>
      <c r="I290" s="723">
        <f>'UHM FGD'!$I$32</f>
        <v>0</v>
      </c>
      <c r="J290" s="723">
        <f>'UHM FGD'!$J$32</f>
        <v>0</v>
      </c>
      <c r="K290" s="723">
        <f>'UHM FGD'!$K$32</f>
        <v>0</v>
      </c>
      <c r="L290" s="723">
        <f>'UHM FGD'!$L$32</f>
        <v>0</v>
      </c>
      <c r="M290" s="723">
        <f>'UHM FGD'!$M$32</f>
        <v>0</v>
      </c>
    </row>
    <row r="291" spans="1:13" s="320" customFormat="1" ht="12.75" hidden="1" customHeight="1" outlineLevel="1">
      <c r="A291" s="322"/>
      <c r="B291" s="823" t="str">
        <f>'UNTHSC1 FGD'!$B$2</f>
        <v>University of North Texas Health Science Center at Fort Worth (Public Medical)</v>
      </c>
      <c r="C291" s="314"/>
      <c r="D291" s="723">
        <f>'UNTHSC1 FGD'!$D$32</f>
        <v>0</v>
      </c>
      <c r="E291" s="723">
        <f>'UNTHSC1 FGD'!$E$32</f>
        <v>0</v>
      </c>
      <c r="F291" s="723">
        <f>'UNTHSC1 FGD'!$F$32</f>
        <v>0</v>
      </c>
      <c r="G291" s="723">
        <f>'UNTHSC1 FGD'!$G$32</f>
        <v>0</v>
      </c>
      <c r="H291" s="723">
        <f>'UNTHSC1 FGD'!$H$32</f>
        <v>0</v>
      </c>
      <c r="I291" s="723">
        <f>'UNTHSC1 FGD'!$I$32</f>
        <v>0</v>
      </c>
      <c r="J291" s="723">
        <f>'UNTHSC1 FGD'!$J$32</f>
        <v>0</v>
      </c>
      <c r="K291" s="723">
        <f>'UNTHSC1 FGD'!$K$32</f>
        <v>0</v>
      </c>
      <c r="L291" s="723">
        <f>'UNTHSC1 FGD'!$L$32</f>
        <v>0</v>
      </c>
      <c r="M291" s="723">
        <f>'UNTHSC1 FGD'!$M$32</f>
        <v>0</v>
      </c>
    </row>
    <row r="292" spans="1:13" s="320" customFormat="1" ht="12.75" customHeight="1" collapsed="1">
      <c r="A292" s="322"/>
      <c r="B292" s="320" t="s">
        <v>592</v>
      </c>
      <c r="D292" s="762">
        <f t="shared" ref="D292:M292" si="19">SUM(D279:D291)</f>
        <v>0</v>
      </c>
      <c r="E292" s="762">
        <f t="shared" si="19"/>
        <v>0</v>
      </c>
      <c r="F292" s="762">
        <f t="shared" si="19"/>
        <v>0</v>
      </c>
      <c r="G292" s="762">
        <f t="shared" si="19"/>
        <v>0</v>
      </c>
      <c r="H292" s="762">
        <f t="shared" si="19"/>
        <v>0</v>
      </c>
      <c r="I292" s="762">
        <f t="shared" si="19"/>
        <v>0</v>
      </c>
      <c r="J292" s="762">
        <f t="shared" si="19"/>
        <v>0</v>
      </c>
      <c r="K292" s="762">
        <f t="shared" si="19"/>
        <v>0</v>
      </c>
      <c r="L292" s="762">
        <f t="shared" si="19"/>
        <v>0</v>
      </c>
      <c r="M292" s="650">
        <f t="shared" si="19"/>
        <v>0</v>
      </c>
    </row>
    <row r="293" spans="1:13" s="320" customFormat="1" ht="12.75" hidden="1" customHeight="1" outlineLevel="1">
      <c r="A293" s="322"/>
      <c r="B293" s="823" t="str">
        <f>'AUSM FGD'!$B$2</f>
        <v>The University of Texas at Austin Medical School (M)</v>
      </c>
      <c r="D293" s="762">
        <f>'AUSM FGD'!$D$33</f>
        <v>0</v>
      </c>
      <c r="E293" s="762">
        <f>'AUSM FGD'!$E$33</f>
        <v>0</v>
      </c>
      <c r="F293" s="762">
        <f>'AUSM FGD'!$F$33</f>
        <v>0</v>
      </c>
      <c r="G293" s="762">
        <f>'AUSM FGD'!$G$33</f>
        <v>0</v>
      </c>
      <c r="H293" s="762">
        <f>'AUSM FGD'!$H$33</f>
        <v>0</v>
      </c>
      <c r="I293" s="762">
        <f>'AUSM FGD'!$I$33</f>
        <v>0</v>
      </c>
      <c r="J293" s="762">
        <f>'AUSM FGD'!$J$33</f>
        <v>0</v>
      </c>
      <c r="K293" s="762">
        <f>'AUSM FGD'!$K$33</f>
        <v>0</v>
      </c>
      <c r="L293" s="762">
        <f>'AUSM FGD'!$L$33</f>
        <v>0</v>
      </c>
      <c r="M293" s="650">
        <f>'AUSM FGD'!$M$33</f>
        <v>0</v>
      </c>
    </row>
    <row r="294" spans="1:13" s="320" customFormat="1" ht="12.75" hidden="1" customHeight="1" outlineLevel="1">
      <c r="A294" s="322"/>
      <c r="B294" s="823" t="str">
        <f>'HSH FGD'!$B$2</f>
        <v>The University of Texas Health Science Center at Houston</v>
      </c>
      <c r="D294" s="762">
        <f>'HSH FGD'!$D$33</f>
        <v>0</v>
      </c>
      <c r="E294" s="762">
        <f>'HSH FGD'!$E$33</f>
        <v>0</v>
      </c>
      <c r="F294" s="762">
        <f>'HSH FGD'!$F$33</f>
        <v>0</v>
      </c>
      <c r="G294" s="762">
        <f>'HSH FGD'!$G$33</f>
        <v>0</v>
      </c>
      <c r="H294" s="762">
        <f>'HSH FGD'!$H$33</f>
        <v>0</v>
      </c>
      <c r="I294" s="762">
        <f>'HSH FGD'!$I$33</f>
        <v>0</v>
      </c>
      <c r="J294" s="762">
        <f>'HSH FGD'!$J$33</f>
        <v>0</v>
      </c>
      <c r="K294" s="762">
        <f>'HSH FGD'!$K$33</f>
        <v>0</v>
      </c>
      <c r="L294" s="762">
        <f>'HSH FGD'!$L$33</f>
        <v>0</v>
      </c>
      <c r="M294" s="650">
        <f>'HSH FGD'!$M$33</f>
        <v>0</v>
      </c>
    </row>
    <row r="295" spans="1:13" s="320" customFormat="1" ht="12.75" hidden="1" customHeight="1" outlineLevel="1">
      <c r="A295" s="322"/>
      <c r="B295" s="823" t="str">
        <f>'HSSA FGD'!$B$2</f>
        <v>The University of Texas Health Science Center at San Antonio</v>
      </c>
      <c r="D295" s="762">
        <f>'HSSA FGD'!$D$33</f>
        <v>0</v>
      </c>
      <c r="E295" s="762">
        <f>'HSSA FGD'!$E$33</f>
        <v>0</v>
      </c>
      <c r="F295" s="762">
        <f>'HSSA FGD'!$F$33</f>
        <v>0</v>
      </c>
      <c r="G295" s="762">
        <f>'HSSA FGD'!$G$33</f>
        <v>0</v>
      </c>
      <c r="H295" s="762">
        <f>'HSSA FGD'!$H$33</f>
        <v>0</v>
      </c>
      <c r="I295" s="762">
        <f>'HSSA FGD'!$I$33</f>
        <v>0</v>
      </c>
      <c r="J295" s="762">
        <f>'HSSA FGD'!$J$33</f>
        <v>0</v>
      </c>
      <c r="K295" s="762">
        <f>'HSSA FGD'!$K$33</f>
        <v>0</v>
      </c>
      <c r="L295" s="762">
        <f>'HSSA FGD'!$L$33</f>
        <v>0</v>
      </c>
      <c r="M295" s="650">
        <f>'HSSA FGD'!$M$33</f>
        <v>0</v>
      </c>
    </row>
    <row r="296" spans="1:13" s="320" customFormat="1" ht="12.75" hidden="1" customHeight="1" outlineLevel="1">
      <c r="A296" s="322"/>
      <c r="B296" s="823" t="str">
        <f>'MBG FGD'!$B$2</f>
        <v>The University of Texas Medical Branch at Galveston</v>
      </c>
      <c r="D296" s="762">
        <f>'MBG FGD'!$D$33</f>
        <v>0</v>
      </c>
      <c r="E296" s="762">
        <f>'MBG FGD'!$E$33</f>
        <v>0</v>
      </c>
      <c r="F296" s="762">
        <f>'MBG FGD'!$F$33</f>
        <v>0</v>
      </c>
      <c r="G296" s="762">
        <f>'MBG FGD'!$G$33</f>
        <v>0</v>
      </c>
      <c r="H296" s="762">
        <f>'MBG FGD'!$H$33</f>
        <v>0</v>
      </c>
      <c r="I296" s="762">
        <f>'MBG FGD'!$I$33</f>
        <v>0</v>
      </c>
      <c r="J296" s="762">
        <f>'MBG FGD'!$J$33</f>
        <v>0</v>
      </c>
      <c r="K296" s="762">
        <f>'MBG FGD'!$K$33</f>
        <v>0</v>
      </c>
      <c r="L296" s="762">
        <f>'MBG FGD'!$L$33</f>
        <v>0</v>
      </c>
      <c r="M296" s="650">
        <f>'MBG FGD'!$M$33</f>
        <v>0</v>
      </c>
    </row>
    <row r="297" spans="1:13" s="320" customFormat="1" ht="12.75" hidden="1" customHeight="1" outlineLevel="1">
      <c r="A297" s="322"/>
      <c r="B297" s="823" t="str">
        <f>'MDA FGD'!$B$2</f>
        <v>The University of Texas M.D. Anderson Cancer Center</v>
      </c>
      <c r="D297" s="762">
        <f>'MDA FGD'!$D$33</f>
        <v>0</v>
      </c>
      <c r="E297" s="762">
        <f>'MDA FGD'!$E$33</f>
        <v>0</v>
      </c>
      <c r="F297" s="762">
        <f>'MDA FGD'!$F$33</f>
        <v>0</v>
      </c>
      <c r="G297" s="762">
        <f>'MDA FGD'!$G$33</f>
        <v>0</v>
      </c>
      <c r="H297" s="762">
        <f>'MDA FGD'!$H$33</f>
        <v>0</v>
      </c>
      <c r="I297" s="762">
        <f>'MDA FGD'!$I$33</f>
        <v>0</v>
      </c>
      <c r="J297" s="762">
        <f>'MDA FGD'!$J$33</f>
        <v>0</v>
      </c>
      <c r="K297" s="762">
        <f>'MDA FGD'!$K$33</f>
        <v>0</v>
      </c>
      <c r="L297" s="762">
        <f>'MDA FGD'!$L$33</f>
        <v>0</v>
      </c>
      <c r="M297" s="650">
        <f>'MDA FGD'!$M$33</f>
        <v>0</v>
      </c>
    </row>
    <row r="298" spans="1:13" s="320" customFormat="1" ht="12.75" hidden="1" customHeight="1" outlineLevel="1">
      <c r="A298" s="322"/>
      <c r="B298" s="823" t="str">
        <f>'RGVM FGD'!$B$2</f>
        <v>The University of Texas Rio Grande Valley Medical School (M)</v>
      </c>
      <c r="D298" s="762">
        <f>'RGVM FGD'!$D$33</f>
        <v>0</v>
      </c>
      <c r="E298" s="762">
        <f>'RGVM FGD'!$E$33</f>
        <v>0</v>
      </c>
      <c r="F298" s="762">
        <f>'RGVM FGD'!$F$33</f>
        <v>0</v>
      </c>
      <c r="G298" s="762">
        <f>'RGVM FGD'!$G$33</f>
        <v>0</v>
      </c>
      <c r="H298" s="762">
        <f>'RGVM FGD'!$H$33</f>
        <v>0</v>
      </c>
      <c r="I298" s="762">
        <f>'RGVM FGD'!$I$33</f>
        <v>0</v>
      </c>
      <c r="J298" s="762">
        <f>'RGVM FGD'!$J$33</f>
        <v>0</v>
      </c>
      <c r="K298" s="762">
        <f>'RGVM FGD'!$K$33</f>
        <v>0</v>
      </c>
      <c r="L298" s="762">
        <f>'RGVM FGD'!$L$33</f>
        <v>0</v>
      </c>
      <c r="M298" s="650">
        <f>'RGVM FGD'!$M$33</f>
        <v>0</v>
      </c>
    </row>
    <row r="299" spans="1:13" s="320" customFormat="1" ht="12.75" hidden="1" customHeight="1" outlineLevel="1">
      <c r="A299" s="322"/>
      <c r="B299" s="823" t="str">
        <f>'SWM FGD'!$B$2</f>
        <v>The University of Texas Southwestern Medical Center</v>
      </c>
      <c r="D299" s="762">
        <f>'SWM FGD'!$D$33</f>
        <v>0</v>
      </c>
      <c r="E299" s="762">
        <f>'SWM FGD'!$E$33</f>
        <v>0</v>
      </c>
      <c r="F299" s="762">
        <f>'SWM FGD'!$F$33</f>
        <v>0</v>
      </c>
      <c r="G299" s="762">
        <f>'SWM FGD'!$G$33</f>
        <v>0</v>
      </c>
      <c r="H299" s="762">
        <f>'SWM FGD'!$H$33</f>
        <v>0</v>
      </c>
      <c r="I299" s="762">
        <f>'SWM FGD'!$I$33</f>
        <v>0</v>
      </c>
      <c r="J299" s="762">
        <f>'SWM FGD'!$J$33</f>
        <v>0</v>
      </c>
      <c r="K299" s="762">
        <f>'SWM FGD'!$K$33</f>
        <v>0</v>
      </c>
      <c r="L299" s="762">
        <f>'SWM FGD'!$L$33</f>
        <v>0</v>
      </c>
      <c r="M299" s="650">
        <f>'SWM FGD'!$M$33</f>
        <v>0</v>
      </c>
    </row>
    <row r="300" spans="1:13" s="320" customFormat="1" ht="12.75" hidden="1" customHeight="1" outlineLevel="1">
      <c r="A300" s="322"/>
      <c r="B300" s="823" t="str">
        <f>'TAMHSC FGD'!$B$2</f>
        <v>Texas A&amp;M University System Health Science Center</v>
      </c>
      <c r="D300" s="762">
        <f>'TAMHSC FGD'!$D$33</f>
        <v>0</v>
      </c>
      <c r="E300" s="762">
        <f>'TAMHSC FGD'!$E$33</f>
        <v>0</v>
      </c>
      <c r="F300" s="762">
        <f>'TAMHSC FGD'!$F$33</f>
        <v>0</v>
      </c>
      <c r="G300" s="762">
        <f>'TAMHSC FGD'!$G$33</f>
        <v>0</v>
      </c>
      <c r="H300" s="762">
        <f>'TAMHSC FGD'!$H$33</f>
        <v>0</v>
      </c>
      <c r="I300" s="762">
        <f>'TAMHSC FGD'!$I$33</f>
        <v>0</v>
      </c>
      <c r="J300" s="762">
        <f>'TAMHSC FGD'!$J$33</f>
        <v>0</v>
      </c>
      <c r="K300" s="762">
        <f>'TAMHSC FGD'!$K$33</f>
        <v>0</v>
      </c>
      <c r="L300" s="762">
        <f>'TAMHSC FGD'!$L$33</f>
        <v>0</v>
      </c>
      <c r="M300" s="650">
        <f>'TAMHSC FGD'!$M$33</f>
        <v>0</v>
      </c>
    </row>
    <row r="301" spans="1:13" s="320" customFormat="1" ht="12.75" hidden="1" customHeight="1" outlineLevel="1">
      <c r="A301" s="322"/>
      <c r="B301" s="823" t="str">
        <f>'THC FGD'!$B$2</f>
        <v>The University of Texas Health Science Center at Tyler</v>
      </c>
      <c r="D301" s="762">
        <f>'THC FGD'!$D$33</f>
        <v>0</v>
      </c>
      <c r="E301" s="762">
        <f>'THC FGD'!$E$33</f>
        <v>0</v>
      </c>
      <c r="F301" s="762">
        <f>'THC FGD'!$F$33</f>
        <v>0</v>
      </c>
      <c r="G301" s="762">
        <f>'THC FGD'!$G$33</f>
        <v>0</v>
      </c>
      <c r="H301" s="762">
        <f>'THC FGD'!$H$33</f>
        <v>0</v>
      </c>
      <c r="I301" s="762">
        <f>'THC FGD'!$I$33</f>
        <v>0</v>
      </c>
      <c r="J301" s="762">
        <f>'THC FGD'!$J$33</f>
        <v>0</v>
      </c>
      <c r="K301" s="762">
        <f>'THC FGD'!$K$33</f>
        <v>0</v>
      </c>
      <c r="L301" s="762">
        <f>'THC FGD'!$L$33</f>
        <v>0</v>
      </c>
      <c r="M301" s="650">
        <f>'THC FGD'!$M$33</f>
        <v>0</v>
      </c>
    </row>
    <row r="302" spans="1:13" s="320" customFormat="1" ht="12.75" hidden="1" customHeight="1" outlineLevel="1">
      <c r="A302" s="322"/>
      <c r="B302" s="823" t="str">
        <f>'TTUHSC FGD'!$B$2</f>
        <v>Texas Tech University Health Sciences Center</v>
      </c>
      <c r="D302" s="762">
        <f>'TTUHSC FGD'!$D$33</f>
        <v>0</v>
      </c>
      <c r="E302" s="762">
        <f>'TTUHSC FGD'!$E$33</f>
        <v>0</v>
      </c>
      <c r="F302" s="762">
        <f>'TTUHSC FGD'!$F$33</f>
        <v>0</v>
      </c>
      <c r="G302" s="762">
        <f>'TTUHSC FGD'!$G$33</f>
        <v>0</v>
      </c>
      <c r="H302" s="762">
        <f>'TTUHSC FGD'!$H$33</f>
        <v>0</v>
      </c>
      <c r="I302" s="762">
        <f>'TTUHSC FGD'!$I$33</f>
        <v>0</v>
      </c>
      <c r="J302" s="762">
        <f>'TTUHSC FGD'!$J$33</f>
        <v>0</v>
      </c>
      <c r="K302" s="762">
        <f>'TTUHSC FGD'!$K$33</f>
        <v>0</v>
      </c>
      <c r="L302" s="762">
        <f>'TTUHSC FGD'!$L$33</f>
        <v>0</v>
      </c>
      <c r="M302" s="650">
        <f>'TTUHSC FGD'!$M$33</f>
        <v>0</v>
      </c>
    </row>
    <row r="303" spans="1:13" s="320" customFormat="1" ht="12.75" hidden="1" customHeight="1" outlineLevel="1">
      <c r="A303" s="322"/>
      <c r="B303" s="823" t="str">
        <f>'TTUHSCEP FGD'!$B$2</f>
        <v>Texas Tech University Health Sciences Center at El Paso</v>
      </c>
      <c r="D303" s="762">
        <f>'TTUHSCEP FGD'!$D$33</f>
        <v>0</v>
      </c>
      <c r="E303" s="762">
        <f>'TTUHSCEP FGD'!$E$33</f>
        <v>0</v>
      </c>
      <c r="F303" s="762">
        <f>'TTUHSCEP FGD'!$F$33</f>
        <v>0</v>
      </c>
      <c r="G303" s="762">
        <f>'TTUHSCEP FGD'!$G$33</f>
        <v>0</v>
      </c>
      <c r="H303" s="762">
        <f>'TTUHSCEP FGD'!$H$33</f>
        <v>0</v>
      </c>
      <c r="I303" s="762">
        <f>'TTUHSCEP FGD'!$I$33</f>
        <v>0</v>
      </c>
      <c r="J303" s="762">
        <f>'TTUHSCEP FGD'!$J$33</f>
        <v>0</v>
      </c>
      <c r="K303" s="762">
        <f>'TTUHSCEP FGD'!$K$33</f>
        <v>0</v>
      </c>
      <c r="L303" s="762">
        <f>'TTUHSCEP FGD'!$L$33</f>
        <v>0</v>
      </c>
      <c r="M303" s="650">
        <f>'TTUHSCEP FGD'!$M$33</f>
        <v>0</v>
      </c>
    </row>
    <row r="304" spans="1:13" s="320" customFormat="1" ht="12.75" hidden="1" customHeight="1" outlineLevel="1">
      <c r="A304" s="322"/>
      <c r="B304" s="823" t="str">
        <f>'UHM FGD'!$B$2</f>
        <v>University of Houston Medical School (M)</v>
      </c>
      <c r="D304" s="762">
        <f>'UHM FGD'!$D$33</f>
        <v>0</v>
      </c>
      <c r="E304" s="762">
        <f>'UHM FGD'!$E$33</f>
        <v>0</v>
      </c>
      <c r="F304" s="762">
        <f>'UHM FGD'!$F$33</f>
        <v>0</v>
      </c>
      <c r="G304" s="762">
        <f>'UHM FGD'!$G$33</f>
        <v>0</v>
      </c>
      <c r="H304" s="762">
        <f>'UHM FGD'!$H$33</f>
        <v>0</v>
      </c>
      <c r="I304" s="762">
        <f>'UHM FGD'!$I$33</f>
        <v>0</v>
      </c>
      <c r="J304" s="762">
        <f>'UHM FGD'!$J$33</f>
        <v>0</v>
      </c>
      <c r="K304" s="762">
        <f>'UHM FGD'!$K$33</f>
        <v>0</v>
      </c>
      <c r="L304" s="762">
        <f>'UHM FGD'!$L$33</f>
        <v>0</v>
      </c>
      <c r="M304" s="650">
        <f>'UHM FGD'!$M$33</f>
        <v>0</v>
      </c>
    </row>
    <row r="305" spans="1:13" s="320" customFormat="1" ht="12.75" hidden="1" customHeight="1" outlineLevel="1">
      <c r="A305" s="322"/>
      <c r="B305" s="823" t="str">
        <f>'UNTHSC1 FGD'!$B$2</f>
        <v>University of North Texas Health Science Center at Fort Worth (Public Medical)</v>
      </c>
      <c r="D305" s="762">
        <f>'UNTHSC1 FGD'!$D$33</f>
        <v>0</v>
      </c>
      <c r="E305" s="762">
        <f>'UNTHSC1 FGD'!$E$33</f>
        <v>0</v>
      </c>
      <c r="F305" s="762">
        <f>'UNTHSC1 FGD'!$F$33</f>
        <v>0</v>
      </c>
      <c r="G305" s="762">
        <f>'UNTHSC1 FGD'!$G$33</f>
        <v>0</v>
      </c>
      <c r="H305" s="762">
        <f>'UNTHSC1 FGD'!$H$33</f>
        <v>0</v>
      </c>
      <c r="I305" s="762">
        <f>'UNTHSC1 FGD'!$I$33</f>
        <v>0</v>
      </c>
      <c r="J305" s="762">
        <f>'UNTHSC1 FGD'!$J$33</f>
        <v>0</v>
      </c>
      <c r="K305" s="762">
        <f>'UNTHSC1 FGD'!$K$33</f>
        <v>0</v>
      </c>
      <c r="L305" s="762">
        <f>'UNTHSC1 FGD'!$L$33</f>
        <v>0</v>
      </c>
      <c r="M305" s="650">
        <f>'UNTHSC1 FGD'!$M$33</f>
        <v>0</v>
      </c>
    </row>
    <row r="306" spans="1:13" s="320" customFormat="1" collapsed="1">
      <c r="A306" s="322"/>
      <c r="B306" s="320" t="s">
        <v>593</v>
      </c>
      <c r="D306" s="762">
        <f t="shared" ref="D306:M306" si="20">SUM(D293:D305)</f>
        <v>0</v>
      </c>
      <c r="E306" s="762">
        <f t="shared" si="20"/>
        <v>0</v>
      </c>
      <c r="F306" s="762">
        <f t="shared" si="20"/>
        <v>0</v>
      </c>
      <c r="G306" s="762">
        <f t="shared" si="20"/>
        <v>0</v>
      </c>
      <c r="H306" s="762">
        <f t="shared" si="20"/>
        <v>0</v>
      </c>
      <c r="I306" s="762">
        <f t="shared" si="20"/>
        <v>0</v>
      </c>
      <c r="J306" s="762">
        <f t="shared" si="20"/>
        <v>0</v>
      </c>
      <c r="K306" s="762">
        <f t="shared" si="20"/>
        <v>0</v>
      </c>
      <c r="L306" s="762">
        <f t="shared" si="20"/>
        <v>0</v>
      </c>
      <c r="M306" s="650">
        <f t="shared" si="20"/>
        <v>0</v>
      </c>
    </row>
    <row r="307" spans="1:13" s="320" customFormat="1" hidden="1" outlineLevel="1">
      <c r="A307" s="322"/>
      <c r="B307" s="823" t="str">
        <f>'AUSM FGD'!$B$2</f>
        <v>The University of Texas at Austin Medical School (M)</v>
      </c>
      <c r="D307" s="762">
        <f>'AUSM FGD'!$D$34</f>
        <v>0</v>
      </c>
      <c r="E307" s="762">
        <f>'AUSM FGD'!$E$34</f>
        <v>0</v>
      </c>
      <c r="F307" s="762">
        <f>'AUSM FGD'!$F$34</f>
        <v>0</v>
      </c>
      <c r="G307" s="762">
        <f>'AUSM FGD'!$G$34</f>
        <v>0</v>
      </c>
      <c r="H307" s="762">
        <f>'AUSM FGD'!$H$34</f>
        <v>0</v>
      </c>
      <c r="I307" s="762">
        <f>'AUSM FGD'!$I$34</f>
        <v>0</v>
      </c>
      <c r="J307" s="762">
        <f>'AUSM FGD'!$J$34</f>
        <v>0</v>
      </c>
      <c r="K307" s="762">
        <f>'AUSM FGD'!$K$34</f>
        <v>0</v>
      </c>
      <c r="L307" s="762">
        <f>'AUSM FGD'!$L$34</f>
        <v>0</v>
      </c>
      <c r="M307" s="650">
        <f>'AUSM FGD'!$M$34</f>
        <v>0</v>
      </c>
    </row>
    <row r="308" spans="1:13" s="320" customFormat="1" hidden="1" outlineLevel="1">
      <c r="A308" s="322"/>
      <c r="B308" s="823" t="str">
        <f>'HSH FGD'!$B$2</f>
        <v>The University of Texas Health Science Center at Houston</v>
      </c>
      <c r="D308" s="762">
        <f>'HSH FGD'!$D$34</f>
        <v>0</v>
      </c>
      <c r="E308" s="762">
        <f>'HSH FGD'!$E$34</f>
        <v>0</v>
      </c>
      <c r="F308" s="762">
        <f>'HSH FGD'!$F$34</f>
        <v>0</v>
      </c>
      <c r="G308" s="762">
        <f>'HSH FGD'!$G$34</f>
        <v>0</v>
      </c>
      <c r="H308" s="762">
        <f>'HSH FGD'!$H$34</f>
        <v>0</v>
      </c>
      <c r="I308" s="762">
        <f>'HSH FGD'!$I$34</f>
        <v>0</v>
      </c>
      <c r="J308" s="762">
        <f>'HSH FGD'!$J$34</f>
        <v>0</v>
      </c>
      <c r="K308" s="762">
        <f>'HSH FGD'!$K$34</f>
        <v>0</v>
      </c>
      <c r="L308" s="762">
        <f>'HSH FGD'!$L$34</f>
        <v>0</v>
      </c>
      <c r="M308" s="650">
        <f>'HSH FGD'!$M$34</f>
        <v>0</v>
      </c>
    </row>
    <row r="309" spans="1:13" s="320" customFormat="1" hidden="1" outlineLevel="1">
      <c r="A309" s="322"/>
      <c r="B309" s="823" t="str">
        <f>'HSSA FGD'!$B$2</f>
        <v>The University of Texas Health Science Center at San Antonio</v>
      </c>
      <c r="D309" s="762">
        <f>'HSSA FGD'!$D$34</f>
        <v>0</v>
      </c>
      <c r="E309" s="762">
        <f>'HSSA FGD'!$E$34</f>
        <v>0</v>
      </c>
      <c r="F309" s="762">
        <f>'HSSA FGD'!$F$34</f>
        <v>0</v>
      </c>
      <c r="G309" s="762">
        <f>'HSSA FGD'!$G$34</f>
        <v>0</v>
      </c>
      <c r="H309" s="762">
        <f>'HSSA FGD'!$H$34</f>
        <v>0</v>
      </c>
      <c r="I309" s="762">
        <f>'HSSA FGD'!$I$34</f>
        <v>0</v>
      </c>
      <c r="J309" s="762">
        <f>'HSSA FGD'!$J$34</f>
        <v>0</v>
      </c>
      <c r="K309" s="762">
        <f>'HSSA FGD'!$K$34</f>
        <v>0</v>
      </c>
      <c r="L309" s="762">
        <f>'HSSA FGD'!$L$34</f>
        <v>0</v>
      </c>
      <c r="M309" s="650">
        <f>'HSSA FGD'!$M$34</f>
        <v>0</v>
      </c>
    </row>
    <row r="310" spans="1:13" s="320" customFormat="1" hidden="1" outlineLevel="1">
      <c r="A310" s="322"/>
      <c r="B310" s="823" t="str">
        <f>'MBG FGD'!$B$2</f>
        <v>The University of Texas Medical Branch at Galveston</v>
      </c>
      <c r="D310" s="762">
        <f>'MBG FGD'!$D$34</f>
        <v>0</v>
      </c>
      <c r="E310" s="762">
        <f>'MBG FGD'!$E$34</f>
        <v>0</v>
      </c>
      <c r="F310" s="762">
        <f>'MBG FGD'!$F$34</f>
        <v>0</v>
      </c>
      <c r="G310" s="762">
        <f>'MBG FGD'!$G$34</f>
        <v>0</v>
      </c>
      <c r="H310" s="762">
        <f>'MBG FGD'!$H$34</f>
        <v>0</v>
      </c>
      <c r="I310" s="762">
        <f>'MBG FGD'!$I$34</f>
        <v>0</v>
      </c>
      <c r="J310" s="762">
        <f>'MBG FGD'!$J$34</f>
        <v>0</v>
      </c>
      <c r="K310" s="762">
        <f>'MBG FGD'!$K$34</f>
        <v>0</v>
      </c>
      <c r="L310" s="762">
        <f>'MBG FGD'!$L$34</f>
        <v>0</v>
      </c>
      <c r="M310" s="650">
        <f>'MBG FGD'!$M$34</f>
        <v>0</v>
      </c>
    </row>
    <row r="311" spans="1:13" s="320" customFormat="1" hidden="1" outlineLevel="1">
      <c r="A311" s="322"/>
      <c r="B311" s="823" t="str">
        <f>'MDA FGD'!$B$2</f>
        <v>The University of Texas M.D. Anderson Cancer Center</v>
      </c>
      <c r="D311" s="762">
        <f>'MDA FGD'!$D$34</f>
        <v>0</v>
      </c>
      <c r="E311" s="762">
        <f>'MDA FGD'!$E$34</f>
        <v>0</v>
      </c>
      <c r="F311" s="762">
        <f>'MDA FGD'!$F$34</f>
        <v>0</v>
      </c>
      <c r="G311" s="762">
        <f>'MDA FGD'!$G$34</f>
        <v>0</v>
      </c>
      <c r="H311" s="762">
        <f>'MDA FGD'!$H$34</f>
        <v>0</v>
      </c>
      <c r="I311" s="762">
        <f>'MDA FGD'!$I$34</f>
        <v>0</v>
      </c>
      <c r="J311" s="762">
        <f>'MDA FGD'!$J$34</f>
        <v>0</v>
      </c>
      <c r="K311" s="762">
        <f>'MDA FGD'!$K$34</f>
        <v>0</v>
      </c>
      <c r="L311" s="762">
        <f>'MDA FGD'!$L$34</f>
        <v>0</v>
      </c>
      <c r="M311" s="650">
        <f>'MDA FGD'!$M$34</f>
        <v>0</v>
      </c>
    </row>
    <row r="312" spans="1:13" s="320" customFormat="1" hidden="1" outlineLevel="1">
      <c r="A312" s="322"/>
      <c r="B312" s="823" t="str">
        <f>'RGVM FGD'!$B$2</f>
        <v>The University of Texas Rio Grande Valley Medical School (M)</v>
      </c>
      <c r="D312" s="762">
        <f>'RGVM FGD'!$D$34</f>
        <v>0</v>
      </c>
      <c r="E312" s="762">
        <f>'RGVM FGD'!$E$34</f>
        <v>0</v>
      </c>
      <c r="F312" s="762">
        <f>'RGVM FGD'!$F$34</f>
        <v>0</v>
      </c>
      <c r="G312" s="762">
        <f>'RGVM FGD'!$G$34</f>
        <v>0</v>
      </c>
      <c r="H312" s="762">
        <f>'RGVM FGD'!$H$34</f>
        <v>0</v>
      </c>
      <c r="I312" s="762">
        <f>'RGVM FGD'!$I$34</f>
        <v>0</v>
      </c>
      <c r="J312" s="762">
        <f>'RGVM FGD'!$J$34</f>
        <v>0</v>
      </c>
      <c r="K312" s="762">
        <f>'RGVM FGD'!$K$34</f>
        <v>0</v>
      </c>
      <c r="L312" s="762">
        <f>'RGVM FGD'!$L$34</f>
        <v>0</v>
      </c>
      <c r="M312" s="650">
        <f>'RGVM FGD'!$M$34</f>
        <v>0</v>
      </c>
    </row>
    <row r="313" spans="1:13" s="320" customFormat="1" hidden="1" outlineLevel="1">
      <c r="A313" s="322"/>
      <c r="B313" s="823" t="str">
        <f>'SWM FGD'!$B$2</f>
        <v>The University of Texas Southwestern Medical Center</v>
      </c>
      <c r="D313" s="762">
        <f>'SWM FGD'!$D$34</f>
        <v>0</v>
      </c>
      <c r="E313" s="762">
        <f>'SWM FGD'!$E$34</f>
        <v>0</v>
      </c>
      <c r="F313" s="762">
        <f>'SWM FGD'!$F$34</f>
        <v>0</v>
      </c>
      <c r="G313" s="762">
        <f>'SWM FGD'!$G$34</f>
        <v>0</v>
      </c>
      <c r="H313" s="762">
        <f>'SWM FGD'!$H$34</f>
        <v>0</v>
      </c>
      <c r="I313" s="762">
        <f>'SWM FGD'!$I$34</f>
        <v>0</v>
      </c>
      <c r="J313" s="762">
        <f>'SWM FGD'!$J$34</f>
        <v>0</v>
      </c>
      <c r="K313" s="762">
        <f>'SWM FGD'!$K$34</f>
        <v>0</v>
      </c>
      <c r="L313" s="762">
        <f>'SWM FGD'!$L$34</f>
        <v>0</v>
      </c>
      <c r="M313" s="650">
        <f>'SWM FGD'!$M$34</f>
        <v>0</v>
      </c>
    </row>
    <row r="314" spans="1:13" s="320" customFormat="1" hidden="1" outlineLevel="1">
      <c r="A314" s="322"/>
      <c r="B314" s="823" t="str">
        <f>'TAMHSC FGD'!$B$2</f>
        <v>Texas A&amp;M University System Health Science Center</v>
      </c>
      <c r="D314" s="762">
        <f>'TAMHSC FGD'!$D$34</f>
        <v>0</v>
      </c>
      <c r="E314" s="762">
        <f>'TAMHSC FGD'!$E$34</f>
        <v>0</v>
      </c>
      <c r="F314" s="762">
        <f>'TAMHSC FGD'!$F$34</f>
        <v>0</v>
      </c>
      <c r="G314" s="762">
        <f>'TAMHSC FGD'!$G$34</f>
        <v>0</v>
      </c>
      <c r="H314" s="762">
        <f>'TAMHSC FGD'!$H$34</f>
        <v>0</v>
      </c>
      <c r="I314" s="762">
        <f>'TAMHSC FGD'!$I$34</f>
        <v>0</v>
      </c>
      <c r="J314" s="762">
        <f>'TAMHSC FGD'!$J$34</f>
        <v>0</v>
      </c>
      <c r="K314" s="762">
        <f>'TAMHSC FGD'!$K$34</f>
        <v>0</v>
      </c>
      <c r="L314" s="762">
        <f>'TAMHSC FGD'!$L$34</f>
        <v>0</v>
      </c>
      <c r="M314" s="650">
        <f>'TAMHSC FGD'!$M$34</f>
        <v>0</v>
      </c>
    </row>
    <row r="315" spans="1:13" s="320" customFormat="1" hidden="1" outlineLevel="1">
      <c r="A315" s="322"/>
      <c r="B315" s="823" t="str">
        <f>'THC FGD'!$B$2</f>
        <v>The University of Texas Health Science Center at Tyler</v>
      </c>
      <c r="D315" s="762">
        <f>'THC FGD'!$D$34</f>
        <v>0</v>
      </c>
      <c r="E315" s="762">
        <f>'THC FGD'!$E$34</f>
        <v>0</v>
      </c>
      <c r="F315" s="762">
        <f>'THC FGD'!$F$34</f>
        <v>0</v>
      </c>
      <c r="G315" s="762">
        <f>'THC FGD'!$G$34</f>
        <v>0</v>
      </c>
      <c r="H315" s="762">
        <f>'THC FGD'!$H$34</f>
        <v>0</v>
      </c>
      <c r="I315" s="762">
        <f>'THC FGD'!$I$34</f>
        <v>0</v>
      </c>
      <c r="J315" s="762">
        <f>'THC FGD'!$J$34</f>
        <v>0</v>
      </c>
      <c r="K315" s="762">
        <f>'THC FGD'!$K$34</f>
        <v>0</v>
      </c>
      <c r="L315" s="762">
        <f>'THC FGD'!$L$34</f>
        <v>0</v>
      </c>
      <c r="M315" s="650">
        <f>'THC FGD'!$M$34</f>
        <v>0</v>
      </c>
    </row>
    <row r="316" spans="1:13" s="320" customFormat="1" hidden="1" outlineLevel="1">
      <c r="A316" s="322"/>
      <c r="B316" s="823" t="str">
        <f>'TTUHSC FGD'!$B$2</f>
        <v>Texas Tech University Health Sciences Center</v>
      </c>
      <c r="D316" s="762">
        <f>'TTUHSC FGD'!$D$34</f>
        <v>0</v>
      </c>
      <c r="E316" s="762">
        <f>'TTUHSC FGD'!$E$34</f>
        <v>0</v>
      </c>
      <c r="F316" s="762">
        <f>'TTUHSC FGD'!$F$34</f>
        <v>0</v>
      </c>
      <c r="G316" s="762">
        <f>'TTUHSC FGD'!$G$34</f>
        <v>0</v>
      </c>
      <c r="H316" s="762">
        <f>'TTUHSC FGD'!$H$34</f>
        <v>0</v>
      </c>
      <c r="I316" s="762">
        <f>'TTUHSC FGD'!$I$34</f>
        <v>0</v>
      </c>
      <c r="J316" s="762">
        <f>'TTUHSC FGD'!$J$34</f>
        <v>0</v>
      </c>
      <c r="K316" s="762">
        <f>'TTUHSC FGD'!$K$34</f>
        <v>0</v>
      </c>
      <c r="L316" s="762">
        <f>'TTUHSC FGD'!$L$34</f>
        <v>0</v>
      </c>
      <c r="M316" s="650">
        <f>'TTUHSC FGD'!$M$34</f>
        <v>0</v>
      </c>
    </row>
    <row r="317" spans="1:13" s="320" customFormat="1" hidden="1" outlineLevel="1">
      <c r="A317" s="322"/>
      <c r="B317" s="823" t="str">
        <f>'TTUHSCEP FGD'!$B$2</f>
        <v>Texas Tech University Health Sciences Center at El Paso</v>
      </c>
      <c r="D317" s="762">
        <f>'TTUHSCEP FGD'!$D$34</f>
        <v>0</v>
      </c>
      <c r="E317" s="762">
        <f>'TTUHSCEP FGD'!$E$34</f>
        <v>0</v>
      </c>
      <c r="F317" s="762">
        <f>'TTUHSCEP FGD'!$F$34</f>
        <v>0</v>
      </c>
      <c r="G317" s="762">
        <f>'TTUHSCEP FGD'!$G$34</f>
        <v>0</v>
      </c>
      <c r="H317" s="762">
        <f>'TTUHSCEP FGD'!$H$34</f>
        <v>0</v>
      </c>
      <c r="I317" s="762">
        <f>'TTUHSCEP FGD'!$I$34</f>
        <v>0</v>
      </c>
      <c r="J317" s="762">
        <f>'TTUHSCEP FGD'!$J$34</f>
        <v>0</v>
      </c>
      <c r="K317" s="762">
        <f>'TTUHSCEP FGD'!$K$34</f>
        <v>0</v>
      </c>
      <c r="L317" s="762">
        <f>'TTUHSCEP FGD'!$L$34</f>
        <v>0</v>
      </c>
      <c r="M317" s="650">
        <f>'TTUHSCEP FGD'!$M$34</f>
        <v>0</v>
      </c>
    </row>
    <row r="318" spans="1:13" s="320" customFormat="1" hidden="1" outlineLevel="1">
      <c r="A318" s="322"/>
      <c r="B318" s="823" t="str">
        <f>'UHM FGD'!$B$2</f>
        <v>University of Houston Medical School (M)</v>
      </c>
      <c r="D318" s="762">
        <f>'UHM FGD'!$D$34</f>
        <v>0</v>
      </c>
      <c r="E318" s="762">
        <f>'UHM FGD'!$E$34</f>
        <v>0</v>
      </c>
      <c r="F318" s="762">
        <f>'UHM FGD'!$F$34</f>
        <v>0</v>
      </c>
      <c r="G318" s="762">
        <f>'UHM FGD'!$G$34</f>
        <v>0</v>
      </c>
      <c r="H318" s="762">
        <f>'UHM FGD'!$H$34</f>
        <v>0</v>
      </c>
      <c r="I318" s="762">
        <f>'UHM FGD'!$I$34</f>
        <v>0</v>
      </c>
      <c r="J318" s="762">
        <f>'UHM FGD'!$J$34</f>
        <v>0</v>
      </c>
      <c r="K318" s="762">
        <f>'UHM FGD'!$K$34</f>
        <v>0</v>
      </c>
      <c r="L318" s="762">
        <f>'UHM FGD'!$L$34</f>
        <v>0</v>
      </c>
      <c r="M318" s="650">
        <f>'UHM FGD'!$M$34</f>
        <v>0</v>
      </c>
    </row>
    <row r="319" spans="1:13" s="320" customFormat="1" hidden="1" outlineLevel="1">
      <c r="A319" s="322"/>
      <c r="B319" s="823" t="str">
        <f>'UNTHSC1 FGD'!$B$2</f>
        <v>University of North Texas Health Science Center at Fort Worth (Public Medical)</v>
      </c>
      <c r="D319" s="762">
        <f>'UNTHSC1 FGD'!$D$34</f>
        <v>0</v>
      </c>
      <c r="E319" s="762">
        <f>'UNTHSC1 FGD'!$E$34</f>
        <v>0</v>
      </c>
      <c r="F319" s="762">
        <f>'UNTHSC1 FGD'!$F$34</f>
        <v>0</v>
      </c>
      <c r="G319" s="762">
        <f>'UNTHSC1 FGD'!$G$34</f>
        <v>0</v>
      </c>
      <c r="H319" s="762">
        <f>'UNTHSC1 FGD'!$H$34</f>
        <v>0</v>
      </c>
      <c r="I319" s="762">
        <f>'UNTHSC1 FGD'!$I$34</f>
        <v>0</v>
      </c>
      <c r="J319" s="762">
        <f>'UNTHSC1 FGD'!$J$34</f>
        <v>0</v>
      </c>
      <c r="K319" s="762">
        <f>'UNTHSC1 FGD'!$K$34</f>
        <v>0</v>
      </c>
      <c r="L319" s="762">
        <f>'UNTHSC1 FGD'!$L$34</f>
        <v>0</v>
      </c>
      <c r="M319" s="650">
        <f>'UNTHSC1 FGD'!$M$34</f>
        <v>0</v>
      </c>
    </row>
    <row r="320" spans="1:13" s="320" customFormat="1" collapsed="1">
      <c r="A320" s="322"/>
      <c r="B320" s="320" t="s">
        <v>594</v>
      </c>
      <c r="D320" s="762">
        <f t="shared" ref="D320:M320" si="21">SUM(D307:D319)</f>
        <v>0</v>
      </c>
      <c r="E320" s="762">
        <f t="shared" si="21"/>
        <v>0</v>
      </c>
      <c r="F320" s="762">
        <f t="shared" si="21"/>
        <v>0</v>
      </c>
      <c r="G320" s="762">
        <f t="shared" si="21"/>
        <v>0</v>
      </c>
      <c r="H320" s="762">
        <f t="shared" si="21"/>
        <v>0</v>
      </c>
      <c r="I320" s="762">
        <f t="shared" si="21"/>
        <v>0</v>
      </c>
      <c r="J320" s="762">
        <f t="shared" si="21"/>
        <v>0</v>
      </c>
      <c r="K320" s="762">
        <f t="shared" si="21"/>
        <v>0</v>
      </c>
      <c r="L320" s="762">
        <f t="shared" si="21"/>
        <v>0</v>
      </c>
      <c r="M320" s="650">
        <f t="shared" si="21"/>
        <v>0</v>
      </c>
    </row>
    <row r="321" spans="1:13" s="320" customFormat="1" hidden="1" outlineLevel="1">
      <c r="A321" s="322"/>
      <c r="B321" s="823" t="str">
        <f>'AUSM FGD'!$B$2</f>
        <v>The University of Texas at Austin Medical School (M)</v>
      </c>
      <c r="D321" s="762">
        <f>'AUSM FGD'!$D$35</f>
        <v>0</v>
      </c>
      <c r="E321" s="762">
        <f>'AUSM FGD'!$E$35</f>
        <v>0</v>
      </c>
      <c r="F321" s="762">
        <f>'AUSM FGD'!$F$35</f>
        <v>0</v>
      </c>
      <c r="G321" s="762">
        <f>'AUSM FGD'!$G$35</f>
        <v>0</v>
      </c>
      <c r="H321" s="762">
        <f>'AUSM FGD'!$H$35</f>
        <v>0</v>
      </c>
      <c r="I321" s="762">
        <f>'AUSM FGD'!$I$35</f>
        <v>0</v>
      </c>
      <c r="J321" s="762">
        <f>'AUSM FGD'!$J$35</f>
        <v>0</v>
      </c>
      <c r="K321" s="762">
        <f>'AUSM FGD'!$K$35</f>
        <v>0</v>
      </c>
      <c r="L321" s="762">
        <f>'AUSM FGD'!$L$35</f>
        <v>0</v>
      </c>
      <c r="M321" s="650">
        <f>'AUSM FGD'!$M$35</f>
        <v>0</v>
      </c>
    </row>
    <row r="322" spans="1:13" s="320" customFormat="1" hidden="1" outlineLevel="1">
      <c r="A322" s="322"/>
      <c r="B322" s="823" t="str">
        <f>'HSH FGD'!$B$2</f>
        <v>The University of Texas Health Science Center at Houston</v>
      </c>
      <c r="D322" s="762">
        <f>'HSH FGD'!$D$35</f>
        <v>0</v>
      </c>
      <c r="E322" s="762">
        <f>'HSH FGD'!$E$35</f>
        <v>0</v>
      </c>
      <c r="F322" s="762">
        <f>'HSH FGD'!$F$35</f>
        <v>0</v>
      </c>
      <c r="G322" s="762">
        <f>'HSH FGD'!$G$35</f>
        <v>0</v>
      </c>
      <c r="H322" s="762">
        <f>'HSH FGD'!$H$35</f>
        <v>0</v>
      </c>
      <c r="I322" s="762">
        <f>'HSH FGD'!$I$35</f>
        <v>0</v>
      </c>
      <c r="J322" s="762">
        <f>'HSH FGD'!$J$35</f>
        <v>0</v>
      </c>
      <c r="K322" s="762">
        <f>'HSH FGD'!$K$35</f>
        <v>0</v>
      </c>
      <c r="L322" s="762">
        <f>'HSH FGD'!$L$35</f>
        <v>0</v>
      </c>
      <c r="M322" s="650">
        <f>'HSH FGD'!$M$35</f>
        <v>0</v>
      </c>
    </row>
    <row r="323" spans="1:13" s="320" customFormat="1" hidden="1" outlineLevel="1">
      <c r="A323" s="322"/>
      <c r="B323" s="823" t="str">
        <f>'HSSA FGD'!$B$2</f>
        <v>The University of Texas Health Science Center at San Antonio</v>
      </c>
      <c r="D323" s="762">
        <f>'HSSA FGD'!$D$35</f>
        <v>0</v>
      </c>
      <c r="E323" s="762">
        <f>'HSSA FGD'!$E$35</f>
        <v>0</v>
      </c>
      <c r="F323" s="762">
        <f>'HSSA FGD'!$F$35</f>
        <v>0</v>
      </c>
      <c r="G323" s="762">
        <f>'HSSA FGD'!$G$35</f>
        <v>0</v>
      </c>
      <c r="H323" s="762">
        <f>'HSSA FGD'!$H$35</f>
        <v>0</v>
      </c>
      <c r="I323" s="762">
        <f>'HSSA FGD'!$I$35</f>
        <v>0</v>
      </c>
      <c r="J323" s="762">
        <f>'HSSA FGD'!$J$35</f>
        <v>0</v>
      </c>
      <c r="K323" s="762">
        <f>'HSSA FGD'!$K$35</f>
        <v>0</v>
      </c>
      <c r="L323" s="762">
        <f>'HSSA FGD'!$L$35</f>
        <v>0</v>
      </c>
      <c r="M323" s="650">
        <f>'HSSA FGD'!$M$35</f>
        <v>0</v>
      </c>
    </row>
    <row r="324" spans="1:13" s="320" customFormat="1" hidden="1" outlineLevel="1">
      <c r="A324" s="322"/>
      <c r="B324" s="823" t="str">
        <f>'MBG FGD'!$B$2</f>
        <v>The University of Texas Medical Branch at Galveston</v>
      </c>
      <c r="D324" s="762">
        <f>'MBG FGD'!$D$35</f>
        <v>0</v>
      </c>
      <c r="E324" s="762">
        <f>'MBG FGD'!$E$35</f>
        <v>0</v>
      </c>
      <c r="F324" s="762">
        <f>'MBG FGD'!$F$35</f>
        <v>0</v>
      </c>
      <c r="G324" s="762">
        <f>'MBG FGD'!$G$35</f>
        <v>0</v>
      </c>
      <c r="H324" s="762">
        <f>'MBG FGD'!$H$35</f>
        <v>0</v>
      </c>
      <c r="I324" s="762">
        <f>'MBG FGD'!$I$35</f>
        <v>0</v>
      </c>
      <c r="J324" s="762">
        <f>'MBG FGD'!$J$35</f>
        <v>0</v>
      </c>
      <c r="K324" s="762">
        <f>'MBG FGD'!$K$35</f>
        <v>0</v>
      </c>
      <c r="L324" s="762">
        <f>'MBG FGD'!$L$35</f>
        <v>0</v>
      </c>
      <c r="M324" s="650">
        <f>'MBG FGD'!$M$35</f>
        <v>0</v>
      </c>
    </row>
    <row r="325" spans="1:13" s="320" customFormat="1" hidden="1" outlineLevel="1">
      <c r="A325" s="322"/>
      <c r="B325" s="823" t="str">
        <f>'MDA FGD'!$B$2</f>
        <v>The University of Texas M.D. Anderson Cancer Center</v>
      </c>
      <c r="D325" s="762">
        <f>'MDA FGD'!$D$35</f>
        <v>0</v>
      </c>
      <c r="E325" s="762">
        <f>'MDA FGD'!$E$35</f>
        <v>0</v>
      </c>
      <c r="F325" s="762">
        <f>'MDA FGD'!$F$35</f>
        <v>0</v>
      </c>
      <c r="G325" s="762">
        <f>'MDA FGD'!$G$35</f>
        <v>0</v>
      </c>
      <c r="H325" s="762">
        <f>'MDA FGD'!$H$35</f>
        <v>0</v>
      </c>
      <c r="I325" s="762">
        <f>'MDA FGD'!$I$35</f>
        <v>0</v>
      </c>
      <c r="J325" s="762">
        <f>'MDA FGD'!$J$35</f>
        <v>0</v>
      </c>
      <c r="K325" s="762">
        <f>'MDA FGD'!$K$35</f>
        <v>0</v>
      </c>
      <c r="L325" s="762">
        <f>'MDA FGD'!$L$35</f>
        <v>0</v>
      </c>
      <c r="M325" s="650">
        <f>'MDA FGD'!$M$35</f>
        <v>0</v>
      </c>
    </row>
    <row r="326" spans="1:13" s="320" customFormat="1" hidden="1" outlineLevel="1">
      <c r="A326" s="322"/>
      <c r="B326" s="823" t="str">
        <f>'RGVM FGD'!$B$2</f>
        <v>The University of Texas Rio Grande Valley Medical School (M)</v>
      </c>
      <c r="D326" s="762">
        <f>'RGVM FGD'!$D$35</f>
        <v>0</v>
      </c>
      <c r="E326" s="762">
        <f>'RGVM FGD'!$E$35</f>
        <v>0</v>
      </c>
      <c r="F326" s="762">
        <f>'RGVM FGD'!$F$35</f>
        <v>0</v>
      </c>
      <c r="G326" s="762">
        <f>'RGVM FGD'!$G$35</f>
        <v>0</v>
      </c>
      <c r="H326" s="762">
        <f>'RGVM FGD'!$H$35</f>
        <v>0</v>
      </c>
      <c r="I326" s="762">
        <f>'RGVM FGD'!$I$35</f>
        <v>0</v>
      </c>
      <c r="J326" s="762">
        <f>'RGVM FGD'!$J$35</f>
        <v>0</v>
      </c>
      <c r="K326" s="762">
        <f>'RGVM FGD'!$K$35</f>
        <v>0</v>
      </c>
      <c r="L326" s="762">
        <f>'RGVM FGD'!$L$35</f>
        <v>0</v>
      </c>
      <c r="M326" s="650">
        <f>'RGVM FGD'!$M$35</f>
        <v>0</v>
      </c>
    </row>
    <row r="327" spans="1:13" s="320" customFormat="1" hidden="1" outlineLevel="1">
      <c r="A327" s="322"/>
      <c r="B327" s="823" t="str">
        <f>'SWM FGD'!$B$2</f>
        <v>The University of Texas Southwestern Medical Center</v>
      </c>
      <c r="D327" s="762">
        <f>'SWM FGD'!$D$35</f>
        <v>0</v>
      </c>
      <c r="E327" s="762">
        <f>'SWM FGD'!$E$35</f>
        <v>0</v>
      </c>
      <c r="F327" s="762">
        <f>'SWM FGD'!$F$35</f>
        <v>0</v>
      </c>
      <c r="G327" s="762">
        <f>'SWM FGD'!$G$35</f>
        <v>0</v>
      </c>
      <c r="H327" s="762">
        <f>'SWM FGD'!$H$35</f>
        <v>0</v>
      </c>
      <c r="I327" s="762">
        <f>'SWM FGD'!$I$35</f>
        <v>0</v>
      </c>
      <c r="J327" s="762">
        <f>'SWM FGD'!$J$35</f>
        <v>0</v>
      </c>
      <c r="K327" s="762">
        <f>'SWM FGD'!$K$35</f>
        <v>0</v>
      </c>
      <c r="L327" s="762">
        <f>'SWM FGD'!$L$35</f>
        <v>0</v>
      </c>
      <c r="M327" s="650">
        <f>'SWM FGD'!$M$35</f>
        <v>0</v>
      </c>
    </row>
    <row r="328" spans="1:13" s="320" customFormat="1" hidden="1" outlineLevel="1">
      <c r="A328" s="322"/>
      <c r="B328" s="823" t="str">
        <f>'TAMHSC FGD'!$B$2</f>
        <v>Texas A&amp;M University System Health Science Center</v>
      </c>
      <c r="D328" s="762">
        <f>'TAMHSC FGD'!$D$35</f>
        <v>0</v>
      </c>
      <c r="E328" s="762">
        <f>'TAMHSC FGD'!$E$35</f>
        <v>0</v>
      </c>
      <c r="F328" s="762">
        <f>'TAMHSC FGD'!$F$35</f>
        <v>0</v>
      </c>
      <c r="G328" s="762">
        <f>'TAMHSC FGD'!$G$35</f>
        <v>0</v>
      </c>
      <c r="H328" s="762">
        <f>'TAMHSC FGD'!$H$35</f>
        <v>0</v>
      </c>
      <c r="I328" s="762">
        <f>'TAMHSC FGD'!$I$35</f>
        <v>0</v>
      </c>
      <c r="J328" s="762">
        <f>'TAMHSC FGD'!$J$35</f>
        <v>0</v>
      </c>
      <c r="K328" s="762">
        <f>'TAMHSC FGD'!$K$35</f>
        <v>0</v>
      </c>
      <c r="L328" s="762">
        <f>'TAMHSC FGD'!$L$35</f>
        <v>0</v>
      </c>
      <c r="M328" s="650">
        <f>'TAMHSC FGD'!$M$35</f>
        <v>0</v>
      </c>
    </row>
    <row r="329" spans="1:13" s="320" customFormat="1" hidden="1" outlineLevel="1">
      <c r="A329" s="322"/>
      <c r="B329" s="823" t="str">
        <f>'THC FGD'!$B$2</f>
        <v>The University of Texas Health Science Center at Tyler</v>
      </c>
      <c r="D329" s="762">
        <f>'THC FGD'!$D$35</f>
        <v>0</v>
      </c>
      <c r="E329" s="762">
        <f>'THC FGD'!$E$35</f>
        <v>0</v>
      </c>
      <c r="F329" s="762">
        <f>'THC FGD'!$F$35</f>
        <v>0</v>
      </c>
      <c r="G329" s="762">
        <f>'THC FGD'!$G$35</f>
        <v>0</v>
      </c>
      <c r="H329" s="762">
        <f>'THC FGD'!$H$35</f>
        <v>0</v>
      </c>
      <c r="I329" s="762">
        <f>'THC FGD'!$I$35</f>
        <v>0</v>
      </c>
      <c r="J329" s="762">
        <f>'THC FGD'!$J$35</f>
        <v>0</v>
      </c>
      <c r="K329" s="762">
        <f>'THC FGD'!$K$35</f>
        <v>0</v>
      </c>
      <c r="L329" s="762">
        <f>'THC FGD'!$L$35</f>
        <v>0</v>
      </c>
      <c r="M329" s="650">
        <f>'THC FGD'!$M$35</f>
        <v>0</v>
      </c>
    </row>
    <row r="330" spans="1:13" s="320" customFormat="1" hidden="1" outlineLevel="1">
      <c r="A330" s="322"/>
      <c r="B330" s="823" t="str">
        <f>'TTUHSC FGD'!$B$2</f>
        <v>Texas Tech University Health Sciences Center</v>
      </c>
      <c r="D330" s="762">
        <f>'TTUHSC FGD'!$D$35</f>
        <v>0</v>
      </c>
      <c r="E330" s="762">
        <f>'TTUHSC FGD'!$E$35</f>
        <v>0</v>
      </c>
      <c r="F330" s="762">
        <f>'TTUHSC FGD'!$F$35</f>
        <v>0</v>
      </c>
      <c r="G330" s="762">
        <f>'TTUHSC FGD'!$G$35</f>
        <v>0</v>
      </c>
      <c r="H330" s="762">
        <f>'TTUHSC FGD'!$H$35</f>
        <v>0</v>
      </c>
      <c r="I330" s="762">
        <f>'TTUHSC FGD'!$I$35</f>
        <v>0</v>
      </c>
      <c r="J330" s="762">
        <f>'TTUHSC FGD'!$J$35</f>
        <v>0</v>
      </c>
      <c r="K330" s="762">
        <f>'TTUHSC FGD'!$K$35</f>
        <v>0</v>
      </c>
      <c r="L330" s="762">
        <f>'TTUHSC FGD'!$L$35</f>
        <v>0</v>
      </c>
      <c r="M330" s="650">
        <f>'TTUHSC FGD'!$M$35</f>
        <v>0</v>
      </c>
    </row>
    <row r="331" spans="1:13" s="320" customFormat="1" hidden="1" outlineLevel="1">
      <c r="A331" s="322"/>
      <c r="B331" s="823" t="str">
        <f>'TTUHSCEP FGD'!$B$2</f>
        <v>Texas Tech University Health Sciences Center at El Paso</v>
      </c>
      <c r="D331" s="762">
        <f>'TTUHSCEP FGD'!$D$35</f>
        <v>0</v>
      </c>
      <c r="E331" s="762">
        <f>'TTUHSCEP FGD'!$E$35</f>
        <v>0</v>
      </c>
      <c r="F331" s="762">
        <f>'TTUHSCEP FGD'!$F$35</f>
        <v>0</v>
      </c>
      <c r="G331" s="762">
        <f>'TTUHSCEP FGD'!$G$35</f>
        <v>0</v>
      </c>
      <c r="H331" s="762">
        <f>'TTUHSCEP FGD'!$H$35</f>
        <v>0</v>
      </c>
      <c r="I331" s="762">
        <f>'TTUHSCEP FGD'!$I$35</f>
        <v>0</v>
      </c>
      <c r="J331" s="762">
        <f>'TTUHSCEP FGD'!$J$35</f>
        <v>0</v>
      </c>
      <c r="K331" s="762">
        <f>'TTUHSCEP FGD'!$K$35</f>
        <v>0</v>
      </c>
      <c r="L331" s="762">
        <f>'TTUHSCEP FGD'!$L$35</f>
        <v>0</v>
      </c>
      <c r="M331" s="650">
        <f>'TTUHSCEP FGD'!$M$35</f>
        <v>0</v>
      </c>
    </row>
    <row r="332" spans="1:13" s="320" customFormat="1" hidden="1" outlineLevel="1">
      <c r="A332" s="322"/>
      <c r="B332" s="823" t="str">
        <f>'UHM FGD'!$B$2</f>
        <v>University of Houston Medical School (M)</v>
      </c>
      <c r="D332" s="762">
        <f>'UHM FGD'!$D$35</f>
        <v>0</v>
      </c>
      <c r="E332" s="762">
        <f>'UHM FGD'!$E$35</f>
        <v>0</v>
      </c>
      <c r="F332" s="762">
        <f>'UHM FGD'!$F$35</f>
        <v>0</v>
      </c>
      <c r="G332" s="762">
        <f>'UHM FGD'!$G$35</f>
        <v>0</v>
      </c>
      <c r="H332" s="762">
        <f>'UHM FGD'!$H$35</f>
        <v>0</v>
      </c>
      <c r="I332" s="762">
        <f>'UHM FGD'!$I$35</f>
        <v>0</v>
      </c>
      <c r="J332" s="762">
        <f>'UHM FGD'!$J$35</f>
        <v>0</v>
      </c>
      <c r="K332" s="762">
        <f>'UHM FGD'!$K$35</f>
        <v>0</v>
      </c>
      <c r="L332" s="762">
        <f>'UHM FGD'!$L$35</f>
        <v>0</v>
      </c>
      <c r="M332" s="650">
        <f>'UHM FGD'!$M$35</f>
        <v>0</v>
      </c>
    </row>
    <row r="333" spans="1:13" s="320" customFormat="1" hidden="1" outlineLevel="1">
      <c r="A333" s="322"/>
      <c r="B333" s="823" t="str">
        <f>'UNTHSC1 FGD'!$B$2</f>
        <v>University of North Texas Health Science Center at Fort Worth (Public Medical)</v>
      </c>
      <c r="D333" s="762">
        <f>'UNTHSC1 FGD'!$D$35</f>
        <v>0</v>
      </c>
      <c r="E333" s="762">
        <f>'UNTHSC1 FGD'!$E$35</f>
        <v>0</v>
      </c>
      <c r="F333" s="762">
        <f>'UNTHSC1 FGD'!$F$35</f>
        <v>0</v>
      </c>
      <c r="G333" s="762">
        <f>'UNTHSC1 FGD'!$G$35</f>
        <v>0</v>
      </c>
      <c r="H333" s="762">
        <f>'UNTHSC1 FGD'!$H$35</f>
        <v>0</v>
      </c>
      <c r="I333" s="762">
        <f>'UNTHSC1 FGD'!$I$35</f>
        <v>0</v>
      </c>
      <c r="J333" s="762">
        <f>'UNTHSC1 FGD'!$J$35</f>
        <v>0</v>
      </c>
      <c r="K333" s="762">
        <f>'UNTHSC1 FGD'!$K$35</f>
        <v>0</v>
      </c>
      <c r="L333" s="762">
        <f>'UNTHSC1 FGD'!$L$35</f>
        <v>0</v>
      </c>
      <c r="M333" s="650">
        <f>'UNTHSC1 FGD'!$M$35</f>
        <v>0</v>
      </c>
    </row>
    <row r="334" spans="1:13" s="320" customFormat="1" collapsed="1">
      <c r="A334" s="322"/>
      <c r="B334" s="320" t="s">
        <v>595</v>
      </c>
      <c r="D334" s="762">
        <f t="shared" ref="D334:M334" si="22">SUM(D321:D333)</f>
        <v>0</v>
      </c>
      <c r="E334" s="762">
        <f t="shared" si="22"/>
        <v>0</v>
      </c>
      <c r="F334" s="762">
        <f t="shared" si="22"/>
        <v>0</v>
      </c>
      <c r="G334" s="762">
        <f t="shared" si="22"/>
        <v>0</v>
      </c>
      <c r="H334" s="762">
        <f t="shared" si="22"/>
        <v>0</v>
      </c>
      <c r="I334" s="762">
        <f t="shared" si="22"/>
        <v>0</v>
      </c>
      <c r="J334" s="762">
        <f t="shared" si="22"/>
        <v>0</v>
      </c>
      <c r="K334" s="762">
        <f t="shared" si="22"/>
        <v>0</v>
      </c>
      <c r="L334" s="762">
        <f t="shared" si="22"/>
        <v>0</v>
      </c>
      <c r="M334" s="650">
        <f t="shared" si="22"/>
        <v>0</v>
      </c>
    </row>
    <row r="335" spans="1:13" s="320" customFormat="1" hidden="1" outlineLevel="1">
      <c r="A335" s="322"/>
      <c r="B335" s="823" t="str">
        <f>'AUSM FGD'!$B$2</f>
        <v>The University of Texas at Austin Medical School (M)</v>
      </c>
      <c r="D335" s="762">
        <f>'AUSM FGD'!$D$36</f>
        <v>0</v>
      </c>
      <c r="E335" s="762">
        <f>'AUSM FGD'!$E$36</f>
        <v>1157497</v>
      </c>
      <c r="F335" s="762">
        <f>'AUSM FGD'!$F$36</f>
        <v>0</v>
      </c>
      <c r="G335" s="762">
        <f>'AUSM FGD'!$G$36</f>
        <v>0</v>
      </c>
      <c r="H335" s="762">
        <f>'AUSM FGD'!$H$36</f>
        <v>0</v>
      </c>
      <c r="I335" s="762">
        <f>'AUSM FGD'!$I$36</f>
        <v>0</v>
      </c>
      <c r="J335" s="762">
        <f>'AUSM FGD'!$J$36</f>
        <v>0</v>
      </c>
      <c r="K335" s="762">
        <f>'AUSM FGD'!$K$36</f>
        <v>0</v>
      </c>
      <c r="L335" s="762">
        <f>'AUSM FGD'!$L$36</f>
        <v>0</v>
      </c>
      <c r="M335" s="650">
        <f>'AUSM FGD'!$M$36</f>
        <v>1157497</v>
      </c>
    </row>
    <row r="336" spans="1:13" s="320" customFormat="1" hidden="1" outlineLevel="1">
      <c r="A336" s="322"/>
      <c r="B336" s="823" t="str">
        <f>'HSH FGD'!$B$2</f>
        <v>The University of Texas Health Science Center at Houston</v>
      </c>
      <c r="D336" s="762">
        <f>'HSH FGD'!$D$36</f>
        <v>169664</v>
      </c>
      <c r="E336" s="762">
        <f>'HSH FGD'!$E$36</f>
        <v>12198846</v>
      </c>
      <c r="F336" s="762">
        <f>'HSH FGD'!$F$36</f>
        <v>2492563</v>
      </c>
      <c r="G336" s="762">
        <f>'HSH FGD'!$G$36</f>
        <v>0</v>
      </c>
      <c r="H336" s="762">
        <f>'HSH FGD'!$H$36</f>
        <v>0</v>
      </c>
      <c r="I336" s="762">
        <f>'HSH FGD'!$I$36</f>
        <v>0</v>
      </c>
      <c r="J336" s="762">
        <f>'HSH FGD'!$J$36</f>
        <v>0</v>
      </c>
      <c r="K336" s="762">
        <f>'HSH FGD'!$K$36</f>
        <v>0</v>
      </c>
      <c r="L336" s="762">
        <f>'HSH FGD'!$L$36</f>
        <v>0</v>
      </c>
      <c r="M336" s="650">
        <f>'HSH FGD'!$M$36</f>
        <v>14861073</v>
      </c>
    </row>
    <row r="337" spans="1:13" s="320" customFormat="1" hidden="1" outlineLevel="1">
      <c r="A337" s="322"/>
      <c r="B337" s="823" t="str">
        <f>'HSSA FGD'!$B$2</f>
        <v>The University of Texas Health Science Center at San Antonio</v>
      </c>
      <c r="D337" s="762">
        <f>'HSSA FGD'!$D$36</f>
        <v>0</v>
      </c>
      <c r="E337" s="762">
        <f>'HSSA FGD'!$E$36</f>
        <v>0</v>
      </c>
      <c r="F337" s="762">
        <f>'HSSA FGD'!$F$36</f>
        <v>3100750</v>
      </c>
      <c r="G337" s="762">
        <f>'HSSA FGD'!$G$36</f>
        <v>0</v>
      </c>
      <c r="H337" s="762">
        <f>'HSSA FGD'!$H$36</f>
        <v>0</v>
      </c>
      <c r="I337" s="762">
        <f>'HSSA FGD'!$I$36</f>
        <v>0</v>
      </c>
      <c r="J337" s="762">
        <f>'HSSA FGD'!$J$36</f>
        <v>0</v>
      </c>
      <c r="K337" s="762">
        <f>'HSSA FGD'!$K$36</f>
        <v>0</v>
      </c>
      <c r="L337" s="762">
        <f>'HSSA FGD'!$L$36</f>
        <v>0</v>
      </c>
      <c r="M337" s="650">
        <f>'HSSA FGD'!$M$36</f>
        <v>3100750</v>
      </c>
    </row>
    <row r="338" spans="1:13" s="320" customFormat="1" hidden="1" outlineLevel="1">
      <c r="A338" s="322"/>
      <c r="B338" s="823" t="str">
        <f>'MBG FGD'!$B$2</f>
        <v>The University of Texas Medical Branch at Galveston</v>
      </c>
      <c r="D338" s="762">
        <f>'MBG FGD'!$D$36</f>
        <v>3463674</v>
      </c>
      <c r="E338" s="762">
        <f>'MBG FGD'!$E$36</f>
        <v>10814376</v>
      </c>
      <c r="F338" s="762">
        <f>'MBG FGD'!$F$36</f>
        <v>812207</v>
      </c>
      <c r="G338" s="762">
        <f>'MBG FGD'!$G$36</f>
        <v>0</v>
      </c>
      <c r="H338" s="762">
        <f>'MBG FGD'!$H$36</f>
        <v>0</v>
      </c>
      <c r="I338" s="762">
        <f>'MBG FGD'!$I$36</f>
        <v>0</v>
      </c>
      <c r="J338" s="762">
        <f>'MBG FGD'!$J$36</f>
        <v>0</v>
      </c>
      <c r="K338" s="762">
        <f>'MBG FGD'!$K$36</f>
        <v>0</v>
      </c>
      <c r="L338" s="762">
        <f>'MBG FGD'!$L$36</f>
        <v>0</v>
      </c>
      <c r="M338" s="650">
        <f>'MBG FGD'!$M$36</f>
        <v>15090257</v>
      </c>
    </row>
    <row r="339" spans="1:13" s="320" customFormat="1" hidden="1" outlineLevel="1">
      <c r="A339" s="322"/>
      <c r="B339" s="823" t="str">
        <f>'MDA FGD'!$B$2</f>
        <v>The University of Texas M.D. Anderson Cancer Center</v>
      </c>
      <c r="D339" s="762">
        <f>'MDA FGD'!$D$36</f>
        <v>0</v>
      </c>
      <c r="E339" s="762">
        <f>'MDA FGD'!$E$36</f>
        <v>346459</v>
      </c>
      <c r="F339" s="762">
        <f>'MDA FGD'!$F$36</f>
        <v>0</v>
      </c>
      <c r="G339" s="762">
        <f>'MDA FGD'!$G$36</f>
        <v>0</v>
      </c>
      <c r="H339" s="762">
        <f>'MDA FGD'!$H$36</f>
        <v>0</v>
      </c>
      <c r="I339" s="762">
        <f>'MDA FGD'!$I$36</f>
        <v>0</v>
      </c>
      <c r="J339" s="762">
        <f>'MDA FGD'!$J$36</f>
        <v>0</v>
      </c>
      <c r="K339" s="762">
        <f>'MDA FGD'!$K$36</f>
        <v>0</v>
      </c>
      <c r="L339" s="762">
        <f>'MDA FGD'!$L$36</f>
        <v>0</v>
      </c>
      <c r="M339" s="650">
        <f>'MDA FGD'!$M$36</f>
        <v>346459</v>
      </c>
    </row>
    <row r="340" spans="1:13" s="320" customFormat="1" hidden="1" outlineLevel="1">
      <c r="A340" s="322"/>
      <c r="B340" s="823" t="str">
        <f>'RGVM FGD'!$B$2</f>
        <v>The University of Texas Rio Grande Valley Medical School (M)</v>
      </c>
      <c r="D340" s="762">
        <f>'RGVM FGD'!$D$36</f>
        <v>13196</v>
      </c>
      <c r="E340" s="762">
        <f>'RGVM FGD'!$E$36</f>
        <v>831798</v>
      </c>
      <c r="F340" s="762">
        <f>'RGVM FGD'!$F$36</f>
        <v>199019</v>
      </c>
      <c r="G340" s="762">
        <f>'RGVM FGD'!$G$36</f>
        <v>0</v>
      </c>
      <c r="H340" s="762">
        <f>'RGVM FGD'!$H$36</f>
        <v>0</v>
      </c>
      <c r="I340" s="762">
        <f>'RGVM FGD'!$I$36</f>
        <v>0</v>
      </c>
      <c r="J340" s="762">
        <f>'RGVM FGD'!$J$36</f>
        <v>0</v>
      </c>
      <c r="K340" s="762">
        <f>'RGVM FGD'!$K$36</f>
        <v>0</v>
      </c>
      <c r="L340" s="762">
        <f>'RGVM FGD'!$L$36</f>
        <v>0</v>
      </c>
      <c r="M340" s="650">
        <f>'RGVM FGD'!$M$36</f>
        <v>1044013</v>
      </c>
    </row>
    <row r="341" spans="1:13" s="320" customFormat="1" hidden="1" outlineLevel="1">
      <c r="A341" s="322"/>
      <c r="B341" s="823" t="str">
        <f>'SWM FGD'!$B$2</f>
        <v>The University of Texas Southwestern Medical Center</v>
      </c>
      <c r="D341" s="762">
        <f>'SWM FGD'!$D$36</f>
        <v>53715</v>
      </c>
      <c r="E341" s="762">
        <f>'SWM FGD'!$E$36</f>
        <v>923103</v>
      </c>
      <c r="F341" s="762">
        <f>'SWM FGD'!$F$36</f>
        <v>1846347</v>
      </c>
      <c r="G341" s="762">
        <f>'SWM FGD'!$G$36</f>
        <v>0</v>
      </c>
      <c r="H341" s="762">
        <f>'SWM FGD'!$H$36</f>
        <v>0</v>
      </c>
      <c r="I341" s="762">
        <f>'SWM FGD'!$I$36</f>
        <v>0</v>
      </c>
      <c r="J341" s="762">
        <f>'SWM FGD'!$J$36</f>
        <v>0</v>
      </c>
      <c r="K341" s="762">
        <f>'SWM FGD'!$K$36</f>
        <v>0</v>
      </c>
      <c r="L341" s="762">
        <f>'SWM FGD'!$L$36</f>
        <v>0</v>
      </c>
      <c r="M341" s="650">
        <f>'SWM FGD'!$M$36</f>
        <v>2823165</v>
      </c>
    </row>
    <row r="342" spans="1:13" s="320" customFormat="1" hidden="1" outlineLevel="1">
      <c r="A342" s="322"/>
      <c r="B342" s="823" t="str">
        <f>'TAMHSC FGD'!$B$2</f>
        <v>Texas A&amp;M University System Health Science Center</v>
      </c>
      <c r="D342" s="762">
        <f>'TAMHSC FGD'!$D$36</f>
        <v>64499</v>
      </c>
      <c r="E342" s="762">
        <f>'TAMHSC FGD'!$E$36</f>
        <v>18329270</v>
      </c>
      <c r="F342" s="762">
        <f>'TAMHSC FGD'!$F$36</f>
        <v>1615838</v>
      </c>
      <c r="G342" s="762">
        <f>'TAMHSC FGD'!$G$36</f>
        <v>0</v>
      </c>
      <c r="H342" s="762">
        <f>'TAMHSC FGD'!$H$36</f>
        <v>0</v>
      </c>
      <c r="I342" s="762">
        <f>'TAMHSC FGD'!$I$36</f>
        <v>0</v>
      </c>
      <c r="J342" s="762">
        <f>'TAMHSC FGD'!$J$36</f>
        <v>0</v>
      </c>
      <c r="K342" s="762">
        <f>'TAMHSC FGD'!$K$36</f>
        <v>0</v>
      </c>
      <c r="L342" s="762">
        <f>'TAMHSC FGD'!$L$36</f>
        <v>0</v>
      </c>
      <c r="M342" s="650">
        <f>'TAMHSC FGD'!$M$36</f>
        <v>20009607</v>
      </c>
    </row>
    <row r="343" spans="1:13" s="320" customFormat="1" hidden="1" outlineLevel="1">
      <c r="A343" s="322"/>
      <c r="B343" s="823" t="str">
        <f>'THC FGD'!$B$2</f>
        <v>The University of Texas Health Science Center at Tyler</v>
      </c>
      <c r="D343" s="762">
        <f>'THC FGD'!$D$36</f>
        <v>1350</v>
      </c>
      <c r="E343" s="762">
        <f>'THC FGD'!$E$36</f>
        <v>95752</v>
      </c>
      <c r="F343" s="762">
        <f>'THC FGD'!$F$36</f>
        <v>0</v>
      </c>
      <c r="G343" s="762">
        <f>'THC FGD'!$G$36</f>
        <v>0</v>
      </c>
      <c r="H343" s="762">
        <f>'THC FGD'!$H$36</f>
        <v>0</v>
      </c>
      <c r="I343" s="762">
        <f>'THC FGD'!$I$36</f>
        <v>0</v>
      </c>
      <c r="J343" s="762">
        <f>'THC FGD'!$J$36</f>
        <v>0</v>
      </c>
      <c r="K343" s="762">
        <f>'THC FGD'!$K$36</f>
        <v>0</v>
      </c>
      <c r="L343" s="762">
        <f>'THC FGD'!$L$36</f>
        <v>0</v>
      </c>
      <c r="M343" s="650">
        <f>'THC FGD'!$M$36</f>
        <v>97102</v>
      </c>
    </row>
    <row r="344" spans="1:13" s="320" customFormat="1" hidden="1" outlineLevel="1">
      <c r="A344" s="322"/>
      <c r="B344" s="823" t="str">
        <f>'TTUHSC FGD'!$B$2</f>
        <v>Texas Tech University Health Sciences Center</v>
      </c>
      <c r="D344" s="762">
        <f>'TTUHSC FGD'!$D$36</f>
        <v>0</v>
      </c>
      <c r="E344" s="762">
        <f>'TTUHSC FGD'!$E$36</f>
        <v>29107003</v>
      </c>
      <c r="F344" s="762">
        <f>'TTUHSC FGD'!$F$36</f>
        <v>0</v>
      </c>
      <c r="G344" s="762">
        <f>'TTUHSC FGD'!$G$36</f>
        <v>0</v>
      </c>
      <c r="H344" s="762">
        <f>'TTUHSC FGD'!$H$36</f>
        <v>0</v>
      </c>
      <c r="I344" s="762">
        <f>'TTUHSC FGD'!$I$36</f>
        <v>0</v>
      </c>
      <c r="J344" s="762">
        <f>'TTUHSC FGD'!$J$36</f>
        <v>0</v>
      </c>
      <c r="K344" s="762">
        <f>'TTUHSC FGD'!$K$36</f>
        <v>0</v>
      </c>
      <c r="L344" s="762">
        <f>'TTUHSC FGD'!$L$36</f>
        <v>0</v>
      </c>
      <c r="M344" s="650">
        <f>'TTUHSC FGD'!$M$36</f>
        <v>29107003</v>
      </c>
    </row>
    <row r="345" spans="1:13" s="320" customFormat="1" hidden="1" outlineLevel="1">
      <c r="A345" s="322"/>
      <c r="B345" s="823" t="str">
        <f>'TTUHSCEP FGD'!$B$2</f>
        <v>Texas Tech University Health Sciences Center at El Paso</v>
      </c>
      <c r="D345" s="762">
        <f>'TTUHSCEP FGD'!$D$36</f>
        <v>0</v>
      </c>
      <c r="E345" s="762">
        <f>'TTUHSCEP FGD'!$E$36</f>
        <v>4954136</v>
      </c>
      <c r="F345" s="762">
        <f>'TTUHSCEP FGD'!$F$36</f>
        <v>0</v>
      </c>
      <c r="G345" s="762">
        <f>'TTUHSCEP FGD'!$G$36</f>
        <v>0</v>
      </c>
      <c r="H345" s="762">
        <f>'TTUHSCEP FGD'!$H$36</f>
        <v>0</v>
      </c>
      <c r="I345" s="762">
        <f>'TTUHSCEP FGD'!$I$36</f>
        <v>0</v>
      </c>
      <c r="J345" s="762">
        <f>'TTUHSCEP FGD'!$J$36</f>
        <v>0</v>
      </c>
      <c r="K345" s="762">
        <f>'TTUHSCEP FGD'!$K$36</f>
        <v>0</v>
      </c>
      <c r="L345" s="762">
        <f>'TTUHSCEP FGD'!$L$36</f>
        <v>0</v>
      </c>
      <c r="M345" s="650">
        <f>'TTUHSCEP FGD'!$M$36</f>
        <v>4954136</v>
      </c>
    </row>
    <row r="346" spans="1:13" s="320" customFormat="1" hidden="1" outlineLevel="1">
      <c r="A346" s="322"/>
      <c r="B346" s="823" t="str">
        <f>'UHM FGD'!$B$2</f>
        <v>University of Houston Medical School (M)</v>
      </c>
      <c r="D346" s="762">
        <f>'UHM FGD'!$D$36</f>
        <v>0</v>
      </c>
      <c r="E346" s="762">
        <f>'UHM FGD'!$E$36</f>
        <v>381796</v>
      </c>
      <c r="F346" s="762">
        <f>'UHM FGD'!$F$36</f>
        <v>75366</v>
      </c>
      <c r="G346" s="762">
        <f>'UHM FGD'!$G$36</f>
        <v>0</v>
      </c>
      <c r="H346" s="762">
        <f>'UHM FGD'!$H$36</f>
        <v>0</v>
      </c>
      <c r="I346" s="762">
        <f>'UHM FGD'!$I$36</f>
        <v>0</v>
      </c>
      <c r="J346" s="762">
        <f>'UHM FGD'!$J$36</f>
        <v>0</v>
      </c>
      <c r="K346" s="762">
        <f>'UHM FGD'!$K$36</f>
        <v>0</v>
      </c>
      <c r="L346" s="762">
        <f>'UHM FGD'!$L$36</f>
        <v>0</v>
      </c>
      <c r="M346" s="650">
        <f>'UHM FGD'!$M$36</f>
        <v>457162</v>
      </c>
    </row>
    <row r="347" spans="1:13" s="320" customFormat="1" hidden="1" outlineLevel="1">
      <c r="A347" s="322"/>
      <c r="B347" s="823" t="str">
        <f>'UNTHSC1 FGD'!$B$2</f>
        <v>University of North Texas Health Science Center at Fort Worth (Public Medical)</v>
      </c>
      <c r="D347" s="762">
        <f>'UNTHSC1 FGD'!$D$36</f>
        <v>24149</v>
      </c>
      <c r="E347" s="762">
        <f>'UNTHSC1 FGD'!$E$36</f>
        <v>11872058</v>
      </c>
      <c r="F347" s="762">
        <f>'UNTHSC1 FGD'!$F$36</f>
        <v>0</v>
      </c>
      <c r="G347" s="762">
        <f>'UNTHSC1 FGD'!$G$36</f>
        <v>0</v>
      </c>
      <c r="H347" s="762">
        <f>'UNTHSC1 FGD'!$H$36</f>
        <v>0</v>
      </c>
      <c r="I347" s="762">
        <f>'UNTHSC1 FGD'!$I$36</f>
        <v>0</v>
      </c>
      <c r="J347" s="762">
        <f>'UNTHSC1 FGD'!$J$36</f>
        <v>0</v>
      </c>
      <c r="K347" s="762">
        <f>'UNTHSC1 FGD'!$K$36</f>
        <v>0</v>
      </c>
      <c r="L347" s="762">
        <f>'UNTHSC1 FGD'!$L$36</f>
        <v>0</v>
      </c>
      <c r="M347" s="650">
        <f>'UNTHSC1 FGD'!$M$36</f>
        <v>11896207</v>
      </c>
    </row>
    <row r="348" spans="1:13" s="320" customFormat="1" collapsed="1">
      <c r="A348" s="322"/>
      <c r="B348" s="772" t="s">
        <v>239</v>
      </c>
      <c r="C348" s="784"/>
      <c r="D348" s="785">
        <f t="shared" ref="D348:M348" si="23">SUM(D335:D347)</f>
        <v>3790247</v>
      </c>
      <c r="E348" s="785">
        <f t="shared" si="23"/>
        <v>91012094</v>
      </c>
      <c r="F348" s="785">
        <f t="shared" si="23"/>
        <v>10142090</v>
      </c>
      <c r="G348" s="785">
        <f t="shared" si="23"/>
        <v>0</v>
      </c>
      <c r="H348" s="785">
        <f t="shared" si="23"/>
        <v>0</v>
      </c>
      <c r="I348" s="785">
        <f t="shared" si="23"/>
        <v>0</v>
      </c>
      <c r="J348" s="785">
        <f t="shared" si="23"/>
        <v>0</v>
      </c>
      <c r="K348" s="785">
        <f t="shared" si="23"/>
        <v>0</v>
      </c>
      <c r="L348" s="785">
        <f t="shared" si="23"/>
        <v>0</v>
      </c>
      <c r="M348" s="786">
        <f t="shared" si="23"/>
        <v>104944431</v>
      </c>
    </row>
    <row r="349" spans="1:13" s="320" customFormat="1" hidden="1" outlineLevel="1">
      <c r="A349" s="322"/>
      <c r="B349" s="823" t="str">
        <f>'AUSM FGD'!$B$2</f>
        <v>The University of Texas at Austin Medical School (M)</v>
      </c>
      <c r="C349" s="751"/>
      <c r="D349" s="1048">
        <f>'AUSM FGD'!$D$37</f>
        <v>0</v>
      </c>
      <c r="E349" s="1048">
        <f>'AUSM FGD'!$E$37</f>
        <v>0</v>
      </c>
      <c r="F349" s="1048">
        <f>'AUSM FGD'!$F$37</f>
        <v>0</v>
      </c>
      <c r="G349" s="1048">
        <f>'AUSM FGD'!$G$37</f>
        <v>0</v>
      </c>
      <c r="H349" s="1048">
        <f>'AUSM FGD'!$H$37</f>
        <v>0</v>
      </c>
      <c r="I349" s="1048">
        <f>'AUSM FGD'!$I$37</f>
        <v>0</v>
      </c>
      <c r="J349" s="1048">
        <f>'AUSM FGD'!$J$37</f>
        <v>0</v>
      </c>
      <c r="K349" s="1048">
        <f>'AUSM FGD'!$K$37</f>
        <v>0</v>
      </c>
      <c r="L349" s="1048">
        <f>'AUSM FGD'!$L$37</f>
        <v>0</v>
      </c>
      <c r="M349" s="650">
        <f>'AUSM FGD'!$M$37</f>
        <v>0</v>
      </c>
    </row>
    <row r="350" spans="1:13" s="320" customFormat="1" hidden="1" outlineLevel="1">
      <c r="A350" s="322"/>
      <c r="B350" s="823" t="str">
        <f>'HSH FGD'!$B$2</f>
        <v>The University of Texas Health Science Center at Houston</v>
      </c>
      <c r="C350" s="751"/>
      <c r="D350" s="1048">
        <f>'HSH FGD'!$D$37</f>
        <v>0</v>
      </c>
      <c r="E350" s="1048">
        <f>'HSH FGD'!$E$37</f>
        <v>0</v>
      </c>
      <c r="F350" s="1048">
        <f>'HSH FGD'!$F$37</f>
        <v>0</v>
      </c>
      <c r="G350" s="1048">
        <f>'HSH FGD'!$G$37</f>
        <v>0</v>
      </c>
      <c r="H350" s="1048">
        <f>'HSH FGD'!$H$37</f>
        <v>0</v>
      </c>
      <c r="I350" s="1048">
        <f>'HSH FGD'!$I$37</f>
        <v>0</v>
      </c>
      <c r="J350" s="1048">
        <f>'HSH FGD'!$J$37</f>
        <v>0</v>
      </c>
      <c r="K350" s="1048">
        <f>'HSH FGD'!$K$37</f>
        <v>0</v>
      </c>
      <c r="L350" s="1048">
        <f>'HSH FGD'!$L$37</f>
        <v>0</v>
      </c>
      <c r="M350" s="650">
        <f>'HSH FGD'!$M$37</f>
        <v>0</v>
      </c>
    </row>
    <row r="351" spans="1:13" s="320" customFormat="1" hidden="1" outlineLevel="1">
      <c r="A351" s="322"/>
      <c r="B351" s="823" t="str">
        <f>'HSSA FGD'!$B$2</f>
        <v>The University of Texas Health Science Center at San Antonio</v>
      </c>
      <c r="C351" s="751"/>
      <c r="D351" s="1048">
        <f>'HSSA FGD'!$D$37</f>
        <v>0</v>
      </c>
      <c r="E351" s="1048">
        <f>'HSSA FGD'!$E$37</f>
        <v>0</v>
      </c>
      <c r="F351" s="1048">
        <f>'HSSA FGD'!$F$37</f>
        <v>0</v>
      </c>
      <c r="G351" s="1048">
        <f>'HSSA FGD'!$G$37</f>
        <v>0</v>
      </c>
      <c r="H351" s="1048">
        <f>'HSSA FGD'!$H$37</f>
        <v>0</v>
      </c>
      <c r="I351" s="1048">
        <f>'HSSA FGD'!$I$37</f>
        <v>0</v>
      </c>
      <c r="J351" s="1048">
        <f>'HSSA FGD'!$J$37</f>
        <v>0</v>
      </c>
      <c r="K351" s="1048">
        <f>'HSSA FGD'!$K$37</f>
        <v>0</v>
      </c>
      <c r="L351" s="1048">
        <f>'HSSA FGD'!$L$37</f>
        <v>0</v>
      </c>
      <c r="M351" s="650">
        <f>'HSSA FGD'!$M$37</f>
        <v>0</v>
      </c>
    </row>
    <row r="352" spans="1:13" s="320" customFormat="1" hidden="1" outlineLevel="1">
      <c r="A352" s="322"/>
      <c r="B352" s="823" t="str">
        <f>'MBG FGD'!$B$2</f>
        <v>The University of Texas Medical Branch at Galveston</v>
      </c>
      <c r="C352" s="751"/>
      <c r="D352" s="1048">
        <f>'MBG FGD'!$D$37</f>
        <v>0</v>
      </c>
      <c r="E352" s="1048">
        <f>'MBG FGD'!$E$37</f>
        <v>0</v>
      </c>
      <c r="F352" s="1048">
        <f>'MBG FGD'!$F$37</f>
        <v>0</v>
      </c>
      <c r="G352" s="1048">
        <f>'MBG FGD'!$G$37</f>
        <v>0</v>
      </c>
      <c r="H352" s="1048">
        <f>'MBG FGD'!$H$37</f>
        <v>0</v>
      </c>
      <c r="I352" s="1048">
        <f>'MBG FGD'!$I$37</f>
        <v>0</v>
      </c>
      <c r="J352" s="1048">
        <f>'MBG FGD'!$J$37</f>
        <v>0</v>
      </c>
      <c r="K352" s="1048">
        <f>'MBG FGD'!$K$37</f>
        <v>0</v>
      </c>
      <c r="L352" s="1048">
        <f>'MBG FGD'!$L$37</f>
        <v>0</v>
      </c>
      <c r="M352" s="650">
        <f>'MBG FGD'!$M$37</f>
        <v>0</v>
      </c>
    </row>
    <row r="353" spans="1:13" s="320" customFormat="1" hidden="1" outlineLevel="1">
      <c r="A353" s="322"/>
      <c r="B353" s="823" t="str">
        <f>'MDA FGD'!$B$2</f>
        <v>The University of Texas M.D. Anderson Cancer Center</v>
      </c>
      <c r="C353" s="751"/>
      <c r="D353" s="1048">
        <f>'MDA FGD'!$D$37</f>
        <v>0</v>
      </c>
      <c r="E353" s="1048">
        <f>'MDA FGD'!$E$37</f>
        <v>0</v>
      </c>
      <c r="F353" s="1048">
        <f>'MDA FGD'!$F$37</f>
        <v>0</v>
      </c>
      <c r="G353" s="1048">
        <f>'MDA FGD'!$G$37</f>
        <v>0</v>
      </c>
      <c r="H353" s="1048">
        <f>'MDA FGD'!$H$37</f>
        <v>0</v>
      </c>
      <c r="I353" s="1048">
        <f>'MDA FGD'!$I$37</f>
        <v>0</v>
      </c>
      <c r="J353" s="1048">
        <f>'MDA FGD'!$J$37</f>
        <v>0</v>
      </c>
      <c r="K353" s="1048">
        <f>'MDA FGD'!$K$37</f>
        <v>0</v>
      </c>
      <c r="L353" s="1048">
        <f>'MDA FGD'!$L$37</f>
        <v>0</v>
      </c>
      <c r="M353" s="650">
        <f>'MDA FGD'!$M$37</f>
        <v>0</v>
      </c>
    </row>
    <row r="354" spans="1:13" s="320" customFormat="1" hidden="1" outlineLevel="1">
      <c r="A354" s="322"/>
      <c r="B354" s="823" t="str">
        <f>'RGVM FGD'!$B$2</f>
        <v>The University of Texas Rio Grande Valley Medical School (M)</v>
      </c>
      <c r="C354" s="751"/>
      <c r="D354" s="1048">
        <f>'RGVM FGD'!$D$37</f>
        <v>0</v>
      </c>
      <c r="E354" s="1048">
        <f>'RGVM FGD'!$E$37</f>
        <v>0</v>
      </c>
      <c r="F354" s="1048">
        <f>'RGVM FGD'!$F$37</f>
        <v>0</v>
      </c>
      <c r="G354" s="1048">
        <f>'RGVM FGD'!$G$37</f>
        <v>0</v>
      </c>
      <c r="H354" s="1048">
        <f>'RGVM FGD'!$H$37</f>
        <v>0</v>
      </c>
      <c r="I354" s="1048">
        <f>'RGVM FGD'!$I$37</f>
        <v>0</v>
      </c>
      <c r="J354" s="1048">
        <f>'RGVM FGD'!$J$37</f>
        <v>0</v>
      </c>
      <c r="K354" s="1048">
        <f>'RGVM FGD'!$K$37</f>
        <v>0</v>
      </c>
      <c r="L354" s="1048">
        <f>'RGVM FGD'!$L$37</f>
        <v>0</v>
      </c>
      <c r="M354" s="650">
        <f>'RGVM FGD'!$M$37</f>
        <v>0</v>
      </c>
    </row>
    <row r="355" spans="1:13" s="320" customFormat="1" hidden="1" outlineLevel="1">
      <c r="A355" s="322"/>
      <c r="B355" s="823" t="str">
        <f>'SWM FGD'!$B$2</f>
        <v>The University of Texas Southwestern Medical Center</v>
      </c>
      <c r="C355" s="751"/>
      <c r="D355" s="1048">
        <f>'SWM FGD'!$D$37</f>
        <v>0</v>
      </c>
      <c r="E355" s="1048">
        <f>'SWM FGD'!$E$37</f>
        <v>0</v>
      </c>
      <c r="F355" s="1048">
        <f>'SWM FGD'!$F$37</f>
        <v>0</v>
      </c>
      <c r="G355" s="1048">
        <f>'SWM FGD'!$G$37</f>
        <v>0</v>
      </c>
      <c r="H355" s="1048">
        <f>'SWM FGD'!$H$37</f>
        <v>0</v>
      </c>
      <c r="I355" s="1048">
        <f>'SWM FGD'!$I$37</f>
        <v>0</v>
      </c>
      <c r="J355" s="1048">
        <f>'SWM FGD'!$J$37</f>
        <v>0</v>
      </c>
      <c r="K355" s="1048">
        <f>'SWM FGD'!$K$37</f>
        <v>0</v>
      </c>
      <c r="L355" s="1048">
        <f>'SWM FGD'!$L$37</f>
        <v>0</v>
      </c>
      <c r="M355" s="650">
        <f>'SWM FGD'!$M$37</f>
        <v>0</v>
      </c>
    </row>
    <row r="356" spans="1:13" s="320" customFormat="1" hidden="1" outlineLevel="1">
      <c r="A356" s="322"/>
      <c r="B356" s="823" t="str">
        <f>'TAMHSC FGD'!$B$2</f>
        <v>Texas A&amp;M University System Health Science Center</v>
      </c>
      <c r="C356" s="751"/>
      <c r="D356" s="1048">
        <f>'TAMHSC FGD'!$D$37</f>
        <v>0</v>
      </c>
      <c r="E356" s="1048">
        <f>'TAMHSC FGD'!$E$37</f>
        <v>0</v>
      </c>
      <c r="F356" s="1048">
        <f>'TAMHSC FGD'!$F$37</f>
        <v>0</v>
      </c>
      <c r="G356" s="1048">
        <f>'TAMHSC FGD'!$G$37</f>
        <v>0</v>
      </c>
      <c r="H356" s="1048">
        <f>'TAMHSC FGD'!$H$37</f>
        <v>0</v>
      </c>
      <c r="I356" s="1048">
        <f>'TAMHSC FGD'!$I$37</f>
        <v>0</v>
      </c>
      <c r="J356" s="1048">
        <f>'TAMHSC FGD'!$J$37</f>
        <v>0</v>
      </c>
      <c r="K356" s="1048">
        <f>'TAMHSC FGD'!$K$37</f>
        <v>0</v>
      </c>
      <c r="L356" s="1048">
        <f>'TAMHSC FGD'!$L$37</f>
        <v>0</v>
      </c>
      <c r="M356" s="650">
        <f>'TAMHSC FGD'!$M$37</f>
        <v>0</v>
      </c>
    </row>
    <row r="357" spans="1:13" s="320" customFormat="1" hidden="1" outlineLevel="1">
      <c r="A357" s="322"/>
      <c r="B357" s="823" t="str">
        <f>'THC FGD'!$B$2</f>
        <v>The University of Texas Health Science Center at Tyler</v>
      </c>
      <c r="C357" s="751"/>
      <c r="D357" s="1048">
        <f>'THC FGD'!$D$37</f>
        <v>0</v>
      </c>
      <c r="E357" s="1048">
        <f>'THC FGD'!$E$37</f>
        <v>0</v>
      </c>
      <c r="F357" s="1048">
        <f>'THC FGD'!$F$37</f>
        <v>0</v>
      </c>
      <c r="G357" s="1048">
        <f>'THC FGD'!$G$37</f>
        <v>0</v>
      </c>
      <c r="H357" s="1048">
        <f>'THC FGD'!$H$37</f>
        <v>0</v>
      </c>
      <c r="I357" s="1048">
        <f>'THC FGD'!$I$37</f>
        <v>0</v>
      </c>
      <c r="J357" s="1048">
        <f>'THC FGD'!$J$37</f>
        <v>0</v>
      </c>
      <c r="K357" s="1048">
        <f>'THC FGD'!$K$37</f>
        <v>0</v>
      </c>
      <c r="L357" s="1048">
        <f>'THC FGD'!$L$37</f>
        <v>0</v>
      </c>
      <c r="M357" s="650">
        <f>'THC FGD'!$M$37</f>
        <v>0</v>
      </c>
    </row>
    <row r="358" spans="1:13" s="320" customFormat="1" hidden="1" outlineLevel="1">
      <c r="A358" s="322"/>
      <c r="B358" s="823" t="str">
        <f>'TTUHSC FGD'!$B$2</f>
        <v>Texas Tech University Health Sciences Center</v>
      </c>
      <c r="C358" s="751"/>
      <c r="D358" s="1048">
        <f>'TTUHSC FGD'!$D$37</f>
        <v>0</v>
      </c>
      <c r="E358" s="1048">
        <f>'TTUHSC FGD'!$E$37</f>
        <v>0</v>
      </c>
      <c r="F358" s="1048">
        <f>'TTUHSC FGD'!$F$37</f>
        <v>0</v>
      </c>
      <c r="G358" s="1048">
        <f>'TTUHSC FGD'!$G$37</f>
        <v>0</v>
      </c>
      <c r="H358" s="1048">
        <f>'TTUHSC FGD'!$H$37</f>
        <v>0</v>
      </c>
      <c r="I358" s="1048">
        <f>'TTUHSC FGD'!$I$37</f>
        <v>0</v>
      </c>
      <c r="J358" s="1048">
        <f>'TTUHSC FGD'!$J$37</f>
        <v>0</v>
      </c>
      <c r="K358" s="1048">
        <f>'TTUHSC FGD'!$K$37</f>
        <v>0</v>
      </c>
      <c r="L358" s="1048">
        <f>'TTUHSC FGD'!$L$37</f>
        <v>0</v>
      </c>
      <c r="M358" s="650">
        <f>'TTUHSC FGD'!$M$37</f>
        <v>0</v>
      </c>
    </row>
    <row r="359" spans="1:13" s="320" customFormat="1" hidden="1" outlineLevel="1">
      <c r="A359" s="322"/>
      <c r="B359" s="823" t="str">
        <f>'TTUHSCEP FGD'!$B$2</f>
        <v>Texas Tech University Health Sciences Center at El Paso</v>
      </c>
      <c r="C359" s="751"/>
      <c r="D359" s="1048">
        <f>'TTUHSCEP FGD'!$D$37</f>
        <v>0</v>
      </c>
      <c r="E359" s="1048">
        <f>'TTUHSCEP FGD'!$E$37</f>
        <v>0</v>
      </c>
      <c r="F359" s="1048">
        <f>'TTUHSCEP FGD'!$F$37</f>
        <v>0</v>
      </c>
      <c r="G359" s="1048">
        <f>'TTUHSCEP FGD'!$G$37</f>
        <v>0</v>
      </c>
      <c r="H359" s="1048">
        <f>'TTUHSCEP FGD'!$H$37</f>
        <v>0</v>
      </c>
      <c r="I359" s="1048">
        <f>'TTUHSCEP FGD'!$I$37</f>
        <v>0</v>
      </c>
      <c r="J359" s="1048">
        <f>'TTUHSCEP FGD'!$J$37</f>
        <v>0</v>
      </c>
      <c r="K359" s="1048">
        <f>'TTUHSCEP FGD'!$K$37</f>
        <v>0</v>
      </c>
      <c r="L359" s="1048">
        <f>'TTUHSCEP FGD'!$L$37</f>
        <v>0</v>
      </c>
      <c r="M359" s="650">
        <f>'TTUHSCEP FGD'!$M$37</f>
        <v>0</v>
      </c>
    </row>
    <row r="360" spans="1:13" s="320" customFormat="1" hidden="1" outlineLevel="1">
      <c r="A360" s="322"/>
      <c r="B360" s="823" t="str">
        <f>'UHM FGD'!$B$2</f>
        <v>University of Houston Medical School (M)</v>
      </c>
      <c r="C360" s="751"/>
      <c r="D360" s="1048">
        <f>'UHM FGD'!$D$37</f>
        <v>0</v>
      </c>
      <c r="E360" s="1048">
        <f>'UHM FGD'!$E$37</f>
        <v>0</v>
      </c>
      <c r="F360" s="1048">
        <f>'UHM FGD'!$F$37</f>
        <v>0</v>
      </c>
      <c r="G360" s="1048">
        <f>'UHM FGD'!$G$37</f>
        <v>0</v>
      </c>
      <c r="H360" s="1048">
        <f>'UHM FGD'!$H$37</f>
        <v>0</v>
      </c>
      <c r="I360" s="1048">
        <f>'UHM FGD'!$I$37</f>
        <v>0</v>
      </c>
      <c r="J360" s="1048">
        <f>'UHM FGD'!$J$37</f>
        <v>0</v>
      </c>
      <c r="K360" s="1048">
        <f>'UHM FGD'!$K$37</f>
        <v>0</v>
      </c>
      <c r="L360" s="1048">
        <f>'UHM FGD'!$L$37</f>
        <v>0</v>
      </c>
      <c r="M360" s="650">
        <f>'UHM FGD'!$M$37</f>
        <v>0</v>
      </c>
    </row>
    <row r="361" spans="1:13" s="320" customFormat="1" hidden="1" outlineLevel="1">
      <c r="A361" s="322"/>
      <c r="B361" s="823" t="str">
        <f>'UNTHSC1 FGD'!$B$2</f>
        <v>University of North Texas Health Science Center at Fort Worth (Public Medical)</v>
      </c>
      <c r="C361" s="751"/>
      <c r="D361" s="1048">
        <f>'UNTHSC1 FGD'!$D$37</f>
        <v>0</v>
      </c>
      <c r="E361" s="1048">
        <f>'UNTHSC1 FGD'!$E$37</f>
        <v>0</v>
      </c>
      <c r="F361" s="1048">
        <f>'UNTHSC1 FGD'!$F$37</f>
        <v>0</v>
      </c>
      <c r="G361" s="1048">
        <f>'UNTHSC1 FGD'!$G$37</f>
        <v>0</v>
      </c>
      <c r="H361" s="1048">
        <f>'UNTHSC1 FGD'!$H$37</f>
        <v>0</v>
      </c>
      <c r="I361" s="1048">
        <f>'UNTHSC1 FGD'!$I$37</f>
        <v>0</v>
      </c>
      <c r="J361" s="1048">
        <f>'UNTHSC1 FGD'!$J$37</f>
        <v>0</v>
      </c>
      <c r="K361" s="1048">
        <f>'UNTHSC1 FGD'!$K$37</f>
        <v>0</v>
      </c>
      <c r="L361" s="1048">
        <f>'UNTHSC1 FGD'!$L$37</f>
        <v>0</v>
      </c>
      <c r="M361" s="650">
        <f>'UNTHSC1 FGD'!$M$37</f>
        <v>0</v>
      </c>
    </row>
    <row r="362" spans="1:13" s="320" customFormat="1" collapsed="1">
      <c r="A362" s="322"/>
      <c r="B362" s="320" t="s">
        <v>596</v>
      </c>
      <c r="C362" s="751"/>
      <c r="D362" s="762">
        <f t="shared" ref="D362:M362" si="24">SUM(D349:D361)</f>
        <v>0</v>
      </c>
      <c r="E362" s="762">
        <f t="shared" si="24"/>
        <v>0</v>
      </c>
      <c r="F362" s="762">
        <f t="shared" si="24"/>
        <v>0</v>
      </c>
      <c r="G362" s="762">
        <f t="shared" si="24"/>
        <v>0</v>
      </c>
      <c r="H362" s="762">
        <f t="shared" si="24"/>
        <v>0</v>
      </c>
      <c r="I362" s="762">
        <f t="shared" si="24"/>
        <v>0</v>
      </c>
      <c r="J362" s="762">
        <f t="shared" si="24"/>
        <v>0</v>
      </c>
      <c r="K362" s="762">
        <f t="shared" si="24"/>
        <v>0</v>
      </c>
      <c r="L362" s="762">
        <f t="shared" si="24"/>
        <v>0</v>
      </c>
      <c r="M362" s="650">
        <f t="shared" si="24"/>
        <v>0</v>
      </c>
    </row>
    <row r="363" spans="1:13" s="320" customFormat="1" hidden="1" outlineLevel="1">
      <c r="A363" s="322"/>
      <c r="B363" s="823" t="str">
        <f>'AUSM FGD'!$B$2</f>
        <v>The University of Texas at Austin Medical School (M)</v>
      </c>
      <c r="C363" s="751"/>
      <c r="D363" s="762">
        <f>'AUSM FGD'!$D$38</f>
        <v>0</v>
      </c>
      <c r="E363" s="762">
        <f>'AUSM FGD'!$E$38</f>
        <v>0</v>
      </c>
      <c r="F363" s="762">
        <f>'AUSM FGD'!$F$38</f>
        <v>0</v>
      </c>
      <c r="G363" s="762">
        <f>'AUSM FGD'!$G$38</f>
        <v>0</v>
      </c>
      <c r="H363" s="762">
        <f>'AUSM FGD'!$H$38</f>
        <v>0</v>
      </c>
      <c r="I363" s="762">
        <f>'AUSM FGD'!$I$38</f>
        <v>0</v>
      </c>
      <c r="J363" s="762">
        <f>'AUSM FGD'!$J$38</f>
        <v>0</v>
      </c>
      <c r="K363" s="762">
        <f>'AUSM FGD'!$K$38</f>
        <v>0</v>
      </c>
      <c r="L363" s="762">
        <f>'AUSM FGD'!$L$38</f>
        <v>0</v>
      </c>
      <c r="M363" s="650">
        <f>'AUSM FGD'!$M$38</f>
        <v>0</v>
      </c>
    </row>
    <row r="364" spans="1:13" s="320" customFormat="1" hidden="1" outlineLevel="1">
      <c r="A364" s="322"/>
      <c r="B364" s="823" t="str">
        <f>'HSH FGD'!$B$2</f>
        <v>The University of Texas Health Science Center at Houston</v>
      </c>
      <c r="C364" s="751"/>
      <c r="D364" s="762">
        <f>'HSH FGD'!$D$38</f>
        <v>0</v>
      </c>
      <c r="E364" s="762">
        <f>'HSH FGD'!$E$38</f>
        <v>0</v>
      </c>
      <c r="F364" s="762">
        <f>'HSH FGD'!$F$38</f>
        <v>0</v>
      </c>
      <c r="G364" s="762">
        <f>'HSH FGD'!$G$38</f>
        <v>0</v>
      </c>
      <c r="H364" s="762">
        <f>'HSH FGD'!$H$38</f>
        <v>0</v>
      </c>
      <c r="I364" s="762">
        <f>'HSH FGD'!$I$38</f>
        <v>0</v>
      </c>
      <c r="J364" s="762">
        <f>'HSH FGD'!$J$38</f>
        <v>0</v>
      </c>
      <c r="K364" s="762">
        <f>'HSH FGD'!$K$38</f>
        <v>0</v>
      </c>
      <c r="L364" s="762">
        <f>'HSH FGD'!$L$38</f>
        <v>0</v>
      </c>
      <c r="M364" s="650">
        <f>'HSH FGD'!$M$38</f>
        <v>0</v>
      </c>
    </row>
    <row r="365" spans="1:13" s="320" customFormat="1" hidden="1" outlineLevel="1">
      <c r="A365" s="322"/>
      <c r="B365" s="823" t="str">
        <f>'HSSA FGD'!$B$2</f>
        <v>The University of Texas Health Science Center at San Antonio</v>
      </c>
      <c r="C365" s="751"/>
      <c r="D365" s="762">
        <f>'HSSA FGD'!$D$38</f>
        <v>0</v>
      </c>
      <c r="E365" s="762">
        <f>'HSSA FGD'!$E$38</f>
        <v>0</v>
      </c>
      <c r="F365" s="762">
        <f>'HSSA FGD'!$F$38</f>
        <v>0</v>
      </c>
      <c r="G365" s="762">
        <f>'HSSA FGD'!$G$38</f>
        <v>0</v>
      </c>
      <c r="H365" s="762">
        <f>'HSSA FGD'!$H$38</f>
        <v>0</v>
      </c>
      <c r="I365" s="762">
        <f>'HSSA FGD'!$I$38</f>
        <v>0</v>
      </c>
      <c r="J365" s="762">
        <f>'HSSA FGD'!$J$38</f>
        <v>0</v>
      </c>
      <c r="K365" s="762">
        <f>'HSSA FGD'!$K$38</f>
        <v>0</v>
      </c>
      <c r="L365" s="762">
        <f>'HSSA FGD'!$L$38</f>
        <v>0</v>
      </c>
      <c r="M365" s="650">
        <f>'HSSA FGD'!$M$38</f>
        <v>0</v>
      </c>
    </row>
    <row r="366" spans="1:13" s="320" customFormat="1" hidden="1" outlineLevel="1">
      <c r="A366" s="322"/>
      <c r="B366" s="823" t="str">
        <f>'MBG FGD'!$B$2</f>
        <v>The University of Texas Medical Branch at Galveston</v>
      </c>
      <c r="C366" s="751"/>
      <c r="D366" s="762">
        <f>'MBG FGD'!$D$38</f>
        <v>0</v>
      </c>
      <c r="E366" s="762">
        <f>'MBG FGD'!$E$38</f>
        <v>0</v>
      </c>
      <c r="F366" s="762">
        <f>'MBG FGD'!$F$38</f>
        <v>0</v>
      </c>
      <c r="G366" s="762">
        <f>'MBG FGD'!$G$38</f>
        <v>0</v>
      </c>
      <c r="H366" s="762">
        <f>'MBG FGD'!$H$38</f>
        <v>0</v>
      </c>
      <c r="I366" s="762">
        <f>'MBG FGD'!$I$38</f>
        <v>0</v>
      </c>
      <c r="J366" s="762">
        <f>'MBG FGD'!$J$38</f>
        <v>0</v>
      </c>
      <c r="K366" s="762">
        <f>'MBG FGD'!$K$38</f>
        <v>0</v>
      </c>
      <c r="L366" s="762">
        <f>'MBG FGD'!$L$38</f>
        <v>0</v>
      </c>
      <c r="M366" s="650">
        <f>'MBG FGD'!$M$38</f>
        <v>0</v>
      </c>
    </row>
    <row r="367" spans="1:13" s="320" customFormat="1" hidden="1" outlineLevel="1">
      <c r="A367" s="322"/>
      <c r="B367" s="823" t="str">
        <f>'MDA FGD'!$B$2</f>
        <v>The University of Texas M.D. Anderson Cancer Center</v>
      </c>
      <c r="C367" s="751"/>
      <c r="D367" s="762">
        <f>'MDA FGD'!$D$38</f>
        <v>0</v>
      </c>
      <c r="E367" s="762">
        <f>'MDA FGD'!$E$38</f>
        <v>0</v>
      </c>
      <c r="F367" s="762">
        <f>'MDA FGD'!$F$38</f>
        <v>0</v>
      </c>
      <c r="G367" s="762">
        <f>'MDA FGD'!$G$38</f>
        <v>0</v>
      </c>
      <c r="H367" s="762">
        <f>'MDA FGD'!$H$38</f>
        <v>0</v>
      </c>
      <c r="I367" s="762">
        <f>'MDA FGD'!$I$38</f>
        <v>0</v>
      </c>
      <c r="J367" s="762">
        <f>'MDA FGD'!$J$38</f>
        <v>0</v>
      </c>
      <c r="K367" s="762">
        <f>'MDA FGD'!$K$38</f>
        <v>0</v>
      </c>
      <c r="L367" s="762">
        <f>'MDA FGD'!$L$38</f>
        <v>0</v>
      </c>
      <c r="M367" s="650">
        <f>'MDA FGD'!$M$38</f>
        <v>0</v>
      </c>
    </row>
    <row r="368" spans="1:13" s="320" customFormat="1" hidden="1" outlineLevel="1">
      <c r="A368" s="322"/>
      <c r="B368" s="823" t="str">
        <f>'RGVM FGD'!$B$2</f>
        <v>The University of Texas Rio Grande Valley Medical School (M)</v>
      </c>
      <c r="C368" s="751"/>
      <c r="D368" s="762">
        <f>'RGVM FGD'!$D$38</f>
        <v>0</v>
      </c>
      <c r="E368" s="762">
        <f>'RGVM FGD'!$E$38</f>
        <v>0</v>
      </c>
      <c r="F368" s="762">
        <f>'RGVM FGD'!$F$38</f>
        <v>0</v>
      </c>
      <c r="G368" s="762">
        <f>'RGVM FGD'!$G$38</f>
        <v>0</v>
      </c>
      <c r="H368" s="762">
        <f>'RGVM FGD'!$H$38</f>
        <v>0</v>
      </c>
      <c r="I368" s="762">
        <f>'RGVM FGD'!$I$38</f>
        <v>0</v>
      </c>
      <c r="J368" s="762">
        <f>'RGVM FGD'!$J$38</f>
        <v>0</v>
      </c>
      <c r="K368" s="762">
        <f>'RGVM FGD'!$K$38</f>
        <v>0</v>
      </c>
      <c r="L368" s="762">
        <f>'RGVM FGD'!$L$38</f>
        <v>0</v>
      </c>
      <c r="M368" s="650">
        <f>'RGVM FGD'!$M$38</f>
        <v>0</v>
      </c>
    </row>
    <row r="369" spans="1:13" s="320" customFormat="1" hidden="1" outlineLevel="1">
      <c r="A369" s="322"/>
      <c r="B369" s="823" t="str">
        <f>'SWM FGD'!$B$2</f>
        <v>The University of Texas Southwestern Medical Center</v>
      </c>
      <c r="C369" s="751"/>
      <c r="D369" s="762">
        <f>'SWM FGD'!$D$38</f>
        <v>0</v>
      </c>
      <c r="E369" s="762">
        <f>'SWM FGD'!$E$38</f>
        <v>0</v>
      </c>
      <c r="F369" s="762">
        <f>'SWM FGD'!$F$38</f>
        <v>0</v>
      </c>
      <c r="G369" s="762">
        <f>'SWM FGD'!$G$38</f>
        <v>0</v>
      </c>
      <c r="H369" s="762">
        <f>'SWM FGD'!$H$38</f>
        <v>0</v>
      </c>
      <c r="I369" s="762">
        <f>'SWM FGD'!$I$38</f>
        <v>0</v>
      </c>
      <c r="J369" s="762">
        <f>'SWM FGD'!$J$38</f>
        <v>0</v>
      </c>
      <c r="K369" s="762">
        <f>'SWM FGD'!$K$38</f>
        <v>0</v>
      </c>
      <c r="L369" s="762">
        <f>'SWM FGD'!$L$38</f>
        <v>0</v>
      </c>
      <c r="M369" s="650">
        <f>'SWM FGD'!$M$38</f>
        <v>0</v>
      </c>
    </row>
    <row r="370" spans="1:13" s="320" customFormat="1" hidden="1" outlineLevel="1">
      <c r="A370" s="322"/>
      <c r="B370" s="823" t="str">
        <f>'TAMHSC FGD'!$B$2</f>
        <v>Texas A&amp;M University System Health Science Center</v>
      </c>
      <c r="C370" s="751"/>
      <c r="D370" s="762">
        <f>'TAMHSC FGD'!$D$38</f>
        <v>0</v>
      </c>
      <c r="E370" s="762">
        <f>'TAMHSC FGD'!$E$38</f>
        <v>0</v>
      </c>
      <c r="F370" s="762">
        <f>'TAMHSC FGD'!$F$38</f>
        <v>0</v>
      </c>
      <c r="G370" s="762">
        <f>'TAMHSC FGD'!$G$38</f>
        <v>0</v>
      </c>
      <c r="H370" s="762">
        <f>'TAMHSC FGD'!$H$38</f>
        <v>0</v>
      </c>
      <c r="I370" s="762">
        <f>'TAMHSC FGD'!$I$38</f>
        <v>0</v>
      </c>
      <c r="J370" s="762">
        <f>'TAMHSC FGD'!$J$38</f>
        <v>0</v>
      </c>
      <c r="K370" s="762">
        <f>'TAMHSC FGD'!$K$38</f>
        <v>0</v>
      </c>
      <c r="L370" s="762">
        <f>'TAMHSC FGD'!$L$38</f>
        <v>0</v>
      </c>
      <c r="M370" s="650">
        <f>'TAMHSC FGD'!$M$38</f>
        <v>0</v>
      </c>
    </row>
    <row r="371" spans="1:13" s="320" customFormat="1" hidden="1" outlineLevel="1">
      <c r="A371" s="322"/>
      <c r="B371" s="823" t="str">
        <f>'THC FGD'!$B$2</f>
        <v>The University of Texas Health Science Center at Tyler</v>
      </c>
      <c r="C371" s="751"/>
      <c r="D371" s="762">
        <f>'THC FGD'!$D$38</f>
        <v>0</v>
      </c>
      <c r="E371" s="762">
        <f>'THC FGD'!$E$38</f>
        <v>0</v>
      </c>
      <c r="F371" s="762">
        <f>'THC FGD'!$F$38</f>
        <v>0</v>
      </c>
      <c r="G371" s="762">
        <f>'THC FGD'!$G$38</f>
        <v>0</v>
      </c>
      <c r="H371" s="762">
        <f>'THC FGD'!$H$38</f>
        <v>0</v>
      </c>
      <c r="I371" s="762">
        <f>'THC FGD'!$I$38</f>
        <v>0</v>
      </c>
      <c r="J371" s="762">
        <f>'THC FGD'!$J$38</f>
        <v>0</v>
      </c>
      <c r="K371" s="762">
        <f>'THC FGD'!$K$38</f>
        <v>0</v>
      </c>
      <c r="L371" s="762">
        <f>'THC FGD'!$L$38</f>
        <v>0</v>
      </c>
      <c r="M371" s="650">
        <f>'THC FGD'!$M$38</f>
        <v>0</v>
      </c>
    </row>
    <row r="372" spans="1:13" s="320" customFormat="1" hidden="1" outlineLevel="1">
      <c r="A372" s="322"/>
      <c r="B372" s="823" t="str">
        <f>'TTUHSC FGD'!$B$2</f>
        <v>Texas Tech University Health Sciences Center</v>
      </c>
      <c r="C372" s="751"/>
      <c r="D372" s="762">
        <f>'TTUHSC FGD'!$D$38</f>
        <v>0</v>
      </c>
      <c r="E372" s="762">
        <f>'TTUHSC FGD'!$E$38</f>
        <v>0</v>
      </c>
      <c r="F372" s="762">
        <f>'TTUHSC FGD'!$F$38</f>
        <v>0</v>
      </c>
      <c r="G372" s="762">
        <f>'TTUHSC FGD'!$G$38</f>
        <v>0</v>
      </c>
      <c r="H372" s="762">
        <f>'TTUHSC FGD'!$H$38</f>
        <v>0</v>
      </c>
      <c r="I372" s="762">
        <f>'TTUHSC FGD'!$I$38</f>
        <v>0</v>
      </c>
      <c r="J372" s="762">
        <f>'TTUHSC FGD'!$J$38</f>
        <v>0</v>
      </c>
      <c r="K372" s="762">
        <f>'TTUHSC FGD'!$K$38</f>
        <v>0</v>
      </c>
      <c r="L372" s="762">
        <f>'TTUHSC FGD'!$L$38</f>
        <v>0</v>
      </c>
      <c r="M372" s="650">
        <f>'TTUHSC FGD'!$M$38</f>
        <v>0</v>
      </c>
    </row>
    <row r="373" spans="1:13" s="320" customFormat="1" hidden="1" outlineLevel="1">
      <c r="A373" s="322"/>
      <c r="B373" s="823" t="str">
        <f>'TTUHSCEP FGD'!$B$2</f>
        <v>Texas Tech University Health Sciences Center at El Paso</v>
      </c>
      <c r="C373" s="751"/>
      <c r="D373" s="762">
        <f>'TTUHSCEP FGD'!$D$38</f>
        <v>0</v>
      </c>
      <c r="E373" s="762">
        <f>'TTUHSCEP FGD'!$E$38</f>
        <v>0</v>
      </c>
      <c r="F373" s="762">
        <f>'TTUHSCEP FGD'!$F$38</f>
        <v>0</v>
      </c>
      <c r="G373" s="762">
        <f>'TTUHSCEP FGD'!$G$38</f>
        <v>0</v>
      </c>
      <c r="H373" s="762">
        <f>'TTUHSCEP FGD'!$H$38</f>
        <v>0</v>
      </c>
      <c r="I373" s="762">
        <f>'TTUHSCEP FGD'!$I$38</f>
        <v>0</v>
      </c>
      <c r="J373" s="762">
        <f>'TTUHSCEP FGD'!$J$38</f>
        <v>0</v>
      </c>
      <c r="K373" s="762">
        <f>'TTUHSCEP FGD'!$K$38</f>
        <v>0</v>
      </c>
      <c r="L373" s="762">
        <f>'TTUHSCEP FGD'!$L$38</f>
        <v>0</v>
      </c>
      <c r="M373" s="650">
        <f>'TTUHSCEP FGD'!$M$38</f>
        <v>0</v>
      </c>
    </row>
    <row r="374" spans="1:13" s="320" customFormat="1" hidden="1" outlineLevel="1">
      <c r="A374" s="322"/>
      <c r="B374" s="823" t="str">
        <f>'UHM FGD'!$B$2</f>
        <v>University of Houston Medical School (M)</v>
      </c>
      <c r="C374" s="751"/>
      <c r="D374" s="762">
        <f>'UHM FGD'!$D$38</f>
        <v>0</v>
      </c>
      <c r="E374" s="762">
        <f>'UHM FGD'!$E$38</f>
        <v>0</v>
      </c>
      <c r="F374" s="762">
        <f>'UHM FGD'!$F$38</f>
        <v>0</v>
      </c>
      <c r="G374" s="762">
        <f>'UHM FGD'!$G$38</f>
        <v>0</v>
      </c>
      <c r="H374" s="762">
        <f>'UHM FGD'!$H$38</f>
        <v>0</v>
      </c>
      <c r="I374" s="762">
        <f>'UHM FGD'!$I$38</f>
        <v>0</v>
      </c>
      <c r="J374" s="762">
        <f>'UHM FGD'!$J$38</f>
        <v>0</v>
      </c>
      <c r="K374" s="762">
        <f>'UHM FGD'!$K$38</f>
        <v>0</v>
      </c>
      <c r="L374" s="762">
        <f>'UHM FGD'!$L$38</f>
        <v>0</v>
      </c>
      <c r="M374" s="650">
        <f>'UHM FGD'!$M$38</f>
        <v>0</v>
      </c>
    </row>
    <row r="375" spans="1:13" s="320" customFormat="1" hidden="1" outlineLevel="1">
      <c r="A375" s="322"/>
      <c r="B375" s="823" t="str">
        <f>'UNTHSC1 FGD'!$B$2</f>
        <v>University of North Texas Health Science Center at Fort Worth (Public Medical)</v>
      </c>
      <c r="C375" s="751"/>
      <c r="D375" s="762">
        <f>'UNTHSC1 FGD'!$D$38</f>
        <v>0</v>
      </c>
      <c r="E375" s="762">
        <f>'UNTHSC1 FGD'!$E$38</f>
        <v>0</v>
      </c>
      <c r="F375" s="762">
        <f>'UNTHSC1 FGD'!$F$38</f>
        <v>0</v>
      </c>
      <c r="G375" s="762">
        <f>'UNTHSC1 FGD'!$G$38</f>
        <v>0</v>
      </c>
      <c r="H375" s="762">
        <f>'UNTHSC1 FGD'!$H$38</f>
        <v>0</v>
      </c>
      <c r="I375" s="762">
        <f>'UNTHSC1 FGD'!$I$38</f>
        <v>0</v>
      </c>
      <c r="J375" s="762">
        <f>'UNTHSC1 FGD'!$J$38</f>
        <v>0</v>
      </c>
      <c r="K375" s="762">
        <f>'UNTHSC1 FGD'!$K$38</f>
        <v>0</v>
      </c>
      <c r="L375" s="762">
        <f>'UNTHSC1 FGD'!$L$38</f>
        <v>0</v>
      </c>
      <c r="M375" s="650">
        <f>'UNTHSC1 FGD'!$M$38</f>
        <v>0</v>
      </c>
    </row>
    <row r="376" spans="1:13" s="320" customFormat="1" collapsed="1">
      <c r="A376" s="322"/>
      <c r="B376" s="320" t="s">
        <v>597</v>
      </c>
      <c r="C376" s="751"/>
      <c r="D376" s="762">
        <f t="shared" ref="D376:M376" si="25">SUM(D363:D375)</f>
        <v>0</v>
      </c>
      <c r="E376" s="762">
        <f t="shared" si="25"/>
        <v>0</v>
      </c>
      <c r="F376" s="762">
        <f t="shared" si="25"/>
        <v>0</v>
      </c>
      <c r="G376" s="762">
        <f t="shared" si="25"/>
        <v>0</v>
      </c>
      <c r="H376" s="762">
        <f t="shared" si="25"/>
        <v>0</v>
      </c>
      <c r="I376" s="762">
        <f t="shared" si="25"/>
        <v>0</v>
      </c>
      <c r="J376" s="762">
        <f t="shared" si="25"/>
        <v>0</v>
      </c>
      <c r="K376" s="762">
        <f t="shared" si="25"/>
        <v>0</v>
      </c>
      <c r="L376" s="762">
        <f t="shared" si="25"/>
        <v>0</v>
      </c>
      <c r="M376" s="650">
        <f t="shared" si="25"/>
        <v>0</v>
      </c>
    </row>
    <row r="377" spans="1:13" s="320" customFormat="1" hidden="1" outlineLevel="1">
      <c r="A377" s="322"/>
      <c r="B377" s="823" t="str">
        <f>'AUSM FGD'!$B$2</f>
        <v>The University of Texas at Austin Medical School (M)</v>
      </c>
      <c r="C377" s="751"/>
      <c r="D377" s="762">
        <f>'AUSM FGD'!$D$39</f>
        <v>0</v>
      </c>
      <c r="E377" s="762">
        <f>'AUSM FGD'!$E$39</f>
        <v>0</v>
      </c>
      <c r="F377" s="762">
        <f>'AUSM FGD'!$F$39</f>
        <v>0</v>
      </c>
      <c r="G377" s="762">
        <f>'AUSM FGD'!$G$39</f>
        <v>0</v>
      </c>
      <c r="H377" s="762">
        <f>'AUSM FGD'!$H$39</f>
        <v>0</v>
      </c>
      <c r="I377" s="762">
        <f>'AUSM FGD'!$I$39</f>
        <v>0</v>
      </c>
      <c r="J377" s="762">
        <f>'AUSM FGD'!$J$39</f>
        <v>0</v>
      </c>
      <c r="K377" s="762">
        <f>'AUSM FGD'!$K$39</f>
        <v>0</v>
      </c>
      <c r="L377" s="762">
        <f>'AUSM FGD'!$L$39</f>
        <v>0</v>
      </c>
      <c r="M377" s="650">
        <f>'AUSM FGD'!$M$39</f>
        <v>0</v>
      </c>
    </row>
    <row r="378" spans="1:13" s="320" customFormat="1" hidden="1" outlineLevel="1">
      <c r="A378" s="322"/>
      <c r="B378" s="823" t="str">
        <f>'HSH FGD'!$B$2</f>
        <v>The University of Texas Health Science Center at Houston</v>
      </c>
      <c r="C378" s="751"/>
      <c r="D378" s="762">
        <f>'HSH FGD'!$D$39</f>
        <v>0</v>
      </c>
      <c r="E378" s="762">
        <f>'HSH FGD'!$E$39</f>
        <v>-220692</v>
      </c>
      <c r="F378" s="762">
        <f>'HSH FGD'!$F$39</f>
        <v>-40078</v>
      </c>
      <c r="G378" s="762">
        <f>'HSH FGD'!$G$39</f>
        <v>0</v>
      </c>
      <c r="H378" s="762">
        <f>'HSH FGD'!$H$39</f>
        <v>0</v>
      </c>
      <c r="I378" s="762">
        <f>'HSH FGD'!$I$39</f>
        <v>0</v>
      </c>
      <c r="J378" s="762">
        <f>'HSH FGD'!$J$39</f>
        <v>0</v>
      </c>
      <c r="K378" s="762">
        <f>'HSH FGD'!$K$39</f>
        <v>0</v>
      </c>
      <c r="L378" s="762">
        <f>'HSH FGD'!$L$39</f>
        <v>0</v>
      </c>
      <c r="M378" s="650">
        <f>'HSH FGD'!$M$39</f>
        <v>-260770</v>
      </c>
    </row>
    <row r="379" spans="1:13" s="320" customFormat="1" hidden="1" outlineLevel="1">
      <c r="A379" s="322"/>
      <c r="B379" s="823" t="str">
        <f>'HSSA FGD'!$B$2</f>
        <v>The University of Texas Health Science Center at San Antonio</v>
      </c>
      <c r="C379" s="751"/>
      <c r="D379" s="762">
        <f>'HSSA FGD'!$D$39</f>
        <v>-159738</v>
      </c>
      <c r="E379" s="762">
        <f>'HSSA FGD'!$E$39</f>
        <v>0</v>
      </c>
      <c r="F379" s="762">
        <f>'HSSA FGD'!$F$39</f>
        <v>0</v>
      </c>
      <c r="G379" s="762">
        <f>'HSSA FGD'!$G$39</f>
        <v>0</v>
      </c>
      <c r="H379" s="762">
        <f>'HSSA FGD'!$H$39</f>
        <v>0</v>
      </c>
      <c r="I379" s="762">
        <f>'HSSA FGD'!$I$39</f>
        <v>0</v>
      </c>
      <c r="J379" s="762">
        <f>'HSSA FGD'!$J$39</f>
        <v>0</v>
      </c>
      <c r="K379" s="762">
        <f>'HSSA FGD'!$K$39</f>
        <v>0</v>
      </c>
      <c r="L379" s="762">
        <f>'HSSA FGD'!$L$39</f>
        <v>0</v>
      </c>
      <c r="M379" s="650">
        <f>'HSSA FGD'!$M$39</f>
        <v>-159738</v>
      </c>
    </row>
    <row r="380" spans="1:13" s="320" customFormat="1" hidden="1" outlineLevel="1">
      <c r="A380" s="322"/>
      <c r="B380" s="823" t="str">
        <f>'MBG FGD'!$B$2</f>
        <v>The University of Texas Medical Branch at Galveston</v>
      </c>
      <c r="C380" s="751"/>
      <c r="D380" s="762">
        <f>'MBG FGD'!$D$39</f>
        <v>0</v>
      </c>
      <c r="E380" s="762">
        <f>'MBG FGD'!$E$39</f>
        <v>0</v>
      </c>
      <c r="F380" s="762">
        <f>'MBG FGD'!$F$39</f>
        <v>0</v>
      </c>
      <c r="G380" s="762">
        <f>'MBG FGD'!$G$39</f>
        <v>0</v>
      </c>
      <c r="H380" s="762">
        <f>'MBG FGD'!$H$39</f>
        <v>0</v>
      </c>
      <c r="I380" s="762">
        <f>'MBG FGD'!$I$39</f>
        <v>0</v>
      </c>
      <c r="J380" s="762">
        <f>'MBG FGD'!$J$39</f>
        <v>0</v>
      </c>
      <c r="K380" s="762">
        <f>'MBG FGD'!$K$39</f>
        <v>0</v>
      </c>
      <c r="L380" s="762">
        <f>'MBG FGD'!$L$39</f>
        <v>0</v>
      </c>
      <c r="M380" s="650">
        <f>'MBG FGD'!$M$39</f>
        <v>0</v>
      </c>
    </row>
    <row r="381" spans="1:13" s="320" customFormat="1" hidden="1" outlineLevel="1">
      <c r="A381" s="322"/>
      <c r="B381" s="823" t="str">
        <f>'MDA FGD'!$B$2</f>
        <v>The University of Texas M.D. Anderson Cancer Center</v>
      </c>
      <c r="C381" s="751"/>
      <c r="D381" s="762">
        <f>'MDA FGD'!$D$39</f>
        <v>0</v>
      </c>
      <c r="E381" s="762">
        <f>'MDA FGD'!$E$39</f>
        <v>0</v>
      </c>
      <c r="F381" s="762">
        <f>'MDA FGD'!$F$39</f>
        <v>0</v>
      </c>
      <c r="G381" s="762">
        <f>'MDA FGD'!$G$39</f>
        <v>0</v>
      </c>
      <c r="H381" s="762">
        <f>'MDA FGD'!$H$39</f>
        <v>0</v>
      </c>
      <c r="I381" s="762">
        <f>'MDA FGD'!$I$39</f>
        <v>0</v>
      </c>
      <c r="J381" s="762">
        <f>'MDA FGD'!$J$39</f>
        <v>0</v>
      </c>
      <c r="K381" s="762">
        <f>'MDA FGD'!$K$39</f>
        <v>0</v>
      </c>
      <c r="L381" s="762">
        <f>'MDA FGD'!$L$39</f>
        <v>0</v>
      </c>
      <c r="M381" s="650">
        <f>'MDA FGD'!$M$39</f>
        <v>0</v>
      </c>
    </row>
    <row r="382" spans="1:13" s="320" customFormat="1" hidden="1" outlineLevel="1">
      <c r="A382" s="322"/>
      <c r="B382" s="823" t="str">
        <f>'RGVM FGD'!$B$2</f>
        <v>The University of Texas Rio Grande Valley Medical School (M)</v>
      </c>
      <c r="C382" s="751"/>
      <c r="D382" s="762">
        <f>'RGVM FGD'!$D$39</f>
        <v>0</v>
      </c>
      <c r="E382" s="762">
        <f>'RGVM FGD'!$E$39</f>
        <v>0</v>
      </c>
      <c r="F382" s="762">
        <f>'RGVM FGD'!$F$39</f>
        <v>0</v>
      </c>
      <c r="G382" s="762">
        <f>'RGVM FGD'!$G$39</f>
        <v>0</v>
      </c>
      <c r="H382" s="762">
        <f>'RGVM FGD'!$H$39</f>
        <v>0</v>
      </c>
      <c r="I382" s="762">
        <f>'RGVM FGD'!$I$39</f>
        <v>0</v>
      </c>
      <c r="J382" s="762">
        <f>'RGVM FGD'!$J$39</f>
        <v>0</v>
      </c>
      <c r="K382" s="762">
        <f>'RGVM FGD'!$K$39</f>
        <v>0</v>
      </c>
      <c r="L382" s="762">
        <f>'RGVM FGD'!$L$39</f>
        <v>0</v>
      </c>
      <c r="M382" s="650">
        <f>'RGVM FGD'!$M$39</f>
        <v>0</v>
      </c>
    </row>
    <row r="383" spans="1:13" s="320" customFormat="1" hidden="1" outlineLevel="1">
      <c r="A383" s="322"/>
      <c r="B383" s="823" t="str">
        <f>'SWM FGD'!$B$2</f>
        <v>The University of Texas Southwestern Medical Center</v>
      </c>
      <c r="C383" s="751"/>
      <c r="D383" s="762">
        <f>'SWM FGD'!$D$39</f>
        <v>0</v>
      </c>
      <c r="E383" s="762">
        <f>'SWM FGD'!$E$39</f>
        <v>0</v>
      </c>
      <c r="F383" s="762">
        <f>'SWM FGD'!$F$39</f>
        <v>0</v>
      </c>
      <c r="G383" s="762">
        <f>'SWM FGD'!$G$39</f>
        <v>0</v>
      </c>
      <c r="H383" s="762">
        <f>'SWM FGD'!$H$39</f>
        <v>0</v>
      </c>
      <c r="I383" s="762">
        <f>'SWM FGD'!$I$39</f>
        <v>0</v>
      </c>
      <c r="J383" s="762">
        <f>'SWM FGD'!$J$39</f>
        <v>0</v>
      </c>
      <c r="K383" s="762">
        <f>'SWM FGD'!$K$39</f>
        <v>0</v>
      </c>
      <c r="L383" s="762">
        <f>'SWM FGD'!$L$39</f>
        <v>0</v>
      </c>
      <c r="M383" s="650">
        <f>'SWM FGD'!$M$39</f>
        <v>0</v>
      </c>
    </row>
    <row r="384" spans="1:13" s="320" customFormat="1" hidden="1" outlineLevel="1">
      <c r="A384" s="322"/>
      <c r="B384" s="823" t="str">
        <f>'TAMHSC FGD'!$B$2</f>
        <v>Texas A&amp;M University System Health Science Center</v>
      </c>
      <c r="C384" s="751"/>
      <c r="D384" s="762">
        <f>'TAMHSC FGD'!$D$39</f>
        <v>-780</v>
      </c>
      <c r="E384" s="762">
        <f>'TAMHSC FGD'!$E$39</f>
        <v>-368243</v>
      </c>
      <c r="F384" s="762">
        <f>'TAMHSC FGD'!$F$39</f>
        <v>-50797</v>
      </c>
      <c r="G384" s="762">
        <f>'TAMHSC FGD'!$G$39</f>
        <v>0</v>
      </c>
      <c r="H384" s="762">
        <f>'TAMHSC FGD'!$H$39</f>
        <v>0</v>
      </c>
      <c r="I384" s="762">
        <f>'TAMHSC FGD'!$I$39</f>
        <v>0</v>
      </c>
      <c r="J384" s="762">
        <f>'TAMHSC FGD'!$J$39</f>
        <v>0</v>
      </c>
      <c r="K384" s="762">
        <f>'TAMHSC FGD'!$K$39</f>
        <v>0</v>
      </c>
      <c r="L384" s="762">
        <f>'TAMHSC FGD'!$L$39</f>
        <v>0</v>
      </c>
      <c r="M384" s="650">
        <f>'TAMHSC FGD'!$M$39</f>
        <v>-419820</v>
      </c>
    </row>
    <row r="385" spans="1:13" s="320" customFormat="1" hidden="1" outlineLevel="1">
      <c r="A385" s="322"/>
      <c r="B385" s="823" t="str">
        <f>'THC FGD'!$B$2</f>
        <v>The University of Texas Health Science Center at Tyler</v>
      </c>
      <c r="C385" s="751"/>
      <c r="D385" s="762">
        <f>'THC FGD'!$D$39</f>
        <v>0</v>
      </c>
      <c r="E385" s="762">
        <f>'THC FGD'!$E$39</f>
        <v>0</v>
      </c>
      <c r="F385" s="762">
        <f>'THC FGD'!$F$39</f>
        <v>0</v>
      </c>
      <c r="G385" s="762">
        <f>'THC FGD'!$G$39</f>
        <v>0</v>
      </c>
      <c r="H385" s="762">
        <f>'THC FGD'!$H$39</f>
        <v>0</v>
      </c>
      <c r="I385" s="762">
        <f>'THC FGD'!$I$39</f>
        <v>0</v>
      </c>
      <c r="J385" s="762">
        <f>'THC FGD'!$J$39</f>
        <v>0</v>
      </c>
      <c r="K385" s="762">
        <f>'THC FGD'!$K$39</f>
        <v>0</v>
      </c>
      <c r="L385" s="762">
        <f>'THC FGD'!$L$39</f>
        <v>0</v>
      </c>
      <c r="M385" s="650">
        <f>'THC FGD'!$M$39</f>
        <v>0</v>
      </c>
    </row>
    <row r="386" spans="1:13" s="320" customFormat="1" hidden="1" outlineLevel="1">
      <c r="A386" s="322"/>
      <c r="B386" s="823" t="str">
        <f>'TTUHSC FGD'!$B$2</f>
        <v>Texas Tech University Health Sciences Center</v>
      </c>
      <c r="C386" s="751"/>
      <c r="D386" s="762">
        <f>'TTUHSC FGD'!$D$39</f>
        <v>0</v>
      </c>
      <c r="E386" s="762">
        <f>'TTUHSC FGD'!$E$39</f>
        <v>-2040556</v>
      </c>
      <c r="F386" s="762">
        <f>'TTUHSC FGD'!$F$39</f>
        <v>0</v>
      </c>
      <c r="G386" s="762">
        <f>'TTUHSC FGD'!$G$39</f>
        <v>0</v>
      </c>
      <c r="H386" s="762">
        <f>'TTUHSC FGD'!$H$39</f>
        <v>0</v>
      </c>
      <c r="I386" s="762">
        <f>'TTUHSC FGD'!$I$39</f>
        <v>0</v>
      </c>
      <c r="J386" s="762">
        <f>'TTUHSC FGD'!$J$39</f>
        <v>0</v>
      </c>
      <c r="K386" s="762">
        <f>'TTUHSC FGD'!$K$39</f>
        <v>0</v>
      </c>
      <c r="L386" s="762">
        <f>'TTUHSC FGD'!$L$39</f>
        <v>0</v>
      </c>
      <c r="M386" s="650">
        <f>'TTUHSC FGD'!$M$39</f>
        <v>-2040556</v>
      </c>
    </row>
    <row r="387" spans="1:13" s="320" customFormat="1" hidden="1" outlineLevel="1">
      <c r="A387" s="322"/>
      <c r="B387" s="823" t="str">
        <f>'TTUHSCEP FGD'!$B$2</f>
        <v>Texas Tech University Health Sciences Center at El Paso</v>
      </c>
      <c r="C387" s="751"/>
      <c r="D387" s="762">
        <f>'TTUHSCEP FGD'!$D$39</f>
        <v>0</v>
      </c>
      <c r="E387" s="762">
        <f>'TTUHSCEP FGD'!$E$39</f>
        <v>-128175</v>
      </c>
      <c r="F387" s="762">
        <f>'TTUHSCEP FGD'!$F$39</f>
        <v>0</v>
      </c>
      <c r="G387" s="762">
        <f>'TTUHSCEP FGD'!$G$39</f>
        <v>0</v>
      </c>
      <c r="H387" s="762">
        <f>'TTUHSCEP FGD'!$H$39</f>
        <v>0</v>
      </c>
      <c r="I387" s="762">
        <f>'TTUHSCEP FGD'!$I$39</f>
        <v>0</v>
      </c>
      <c r="J387" s="762">
        <f>'TTUHSCEP FGD'!$J$39</f>
        <v>0</v>
      </c>
      <c r="K387" s="762">
        <f>'TTUHSCEP FGD'!$K$39</f>
        <v>0</v>
      </c>
      <c r="L387" s="762">
        <f>'TTUHSCEP FGD'!$L$39</f>
        <v>0</v>
      </c>
      <c r="M387" s="650">
        <f>'TTUHSCEP FGD'!$M$39</f>
        <v>-128175</v>
      </c>
    </row>
    <row r="388" spans="1:13" s="320" customFormat="1" hidden="1" outlineLevel="1">
      <c r="A388" s="322"/>
      <c r="B388" s="823" t="str">
        <f>'UHM FGD'!$B$2</f>
        <v>University of Houston Medical School (M)</v>
      </c>
      <c r="C388" s="751"/>
      <c r="D388" s="762">
        <f>'UHM FGD'!$D$39</f>
        <v>0</v>
      </c>
      <c r="E388" s="762">
        <f>'UHM FGD'!$E$39</f>
        <v>0</v>
      </c>
      <c r="F388" s="762">
        <f>'UHM FGD'!$F$39</f>
        <v>0</v>
      </c>
      <c r="G388" s="762">
        <f>'UHM FGD'!$G$39</f>
        <v>0</v>
      </c>
      <c r="H388" s="762">
        <f>'UHM FGD'!$H$39</f>
        <v>0</v>
      </c>
      <c r="I388" s="762">
        <f>'UHM FGD'!$I$39</f>
        <v>0</v>
      </c>
      <c r="J388" s="762">
        <f>'UHM FGD'!$J$39</f>
        <v>0</v>
      </c>
      <c r="K388" s="762">
        <f>'UHM FGD'!$K$39</f>
        <v>0</v>
      </c>
      <c r="L388" s="762">
        <f>'UHM FGD'!$L$39</f>
        <v>0</v>
      </c>
      <c r="M388" s="650">
        <f>'UHM FGD'!$M$39</f>
        <v>0</v>
      </c>
    </row>
    <row r="389" spans="1:13" s="320" customFormat="1" hidden="1" outlineLevel="1">
      <c r="A389" s="322"/>
      <c r="B389" s="823" t="str">
        <f>'UNTHSC1 FGD'!$B$2</f>
        <v>University of North Texas Health Science Center at Fort Worth (Public Medical)</v>
      </c>
      <c r="C389" s="751"/>
      <c r="D389" s="762">
        <f>'UNTHSC1 FGD'!$D$39</f>
        <v>0</v>
      </c>
      <c r="E389" s="762">
        <f>'UNTHSC1 FGD'!$E$39</f>
        <v>0</v>
      </c>
      <c r="F389" s="762">
        <f>'UNTHSC1 FGD'!$F$39</f>
        <v>0</v>
      </c>
      <c r="G389" s="762">
        <f>'UNTHSC1 FGD'!$G$39</f>
        <v>0</v>
      </c>
      <c r="H389" s="762">
        <f>'UNTHSC1 FGD'!$H$39</f>
        <v>0</v>
      </c>
      <c r="I389" s="762">
        <f>'UNTHSC1 FGD'!$I$39</f>
        <v>0</v>
      </c>
      <c r="J389" s="762">
        <f>'UNTHSC1 FGD'!$J$39</f>
        <v>0</v>
      </c>
      <c r="K389" s="762">
        <f>'UNTHSC1 FGD'!$K$39</f>
        <v>0</v>
      </c>
      <c r="L389" s="762">
        <f>'UNTHSC1 FGD'!$L$39</f>
        <v>0</v>
      </c>
      <c r="M389" s="650">
        <f>'UNTHSC1 FGD'!$M$39</f>
        <v>0</v>
      </c>
    </row>
    <row r="390" spans="1:13" s="320" customFormat="1" collapsed="1">
      <c r="A390" s="322"/>
      <c r="B390" s="320" t="s">
        <v>598</v>
      </c>
      <c r="C390" s="751"/>
      <c r="D390" s="762">
        <f t="shared" ref="D390:M390" si="26">SUM(D377:D389)</f>
        <v>-160518</v>
      </c>
      <c r="E390" s="762">
        <f t="shared" si="26"/>
        <v>-2757666</v>
      </c>
      <c r="F390" s="762">
        <f t="shared" si="26"/>
        <v>-90875</v>
      </c>
      <c r="G390" s="762">
        <f t="shared" si="26"/>
        <v>0</v>
      </c>
      <c r="H390" s="762">
        <f t="shared" si="26"/>
        <v>0</v>
      </c>
      <c r="I390" s="762">
        <f t="shared" si="26"/>
        <v>0</v>
      </c>
      <c r="J390" s="762">
        <f t="shared" si="26"/>
        <v>0</v>
      </c>
      <c r="K390" s="762">
        <f t="shared" si="26"/>
        <v>0</v>
      </c>
      <c r="L390" s="762">
        <f t="shared" si="26"/>
        <v>0</v>
      </c>
      <c r="M390" s="650">
        <f t="shared" si="26"/>
        <v>-3009059</v>
      </c>
    </row>
    <row r="391" spans="1:13" s="320" customFormat="1" hidden="1" outlineLevel="1">
      <c r="A391" s="322"/>
      <c r="B391" s="823" t="str">
        <f>'AUSM FGD'!$B$2</f>
        <v>The University of Texas at Austin Medical School (M)</v>
      </c>
      <c r="C391" s="751"/>
      <c r="D391" s="762">
        <f>'AUSM FGD'!$D$40</f>
        <v>0</v>
      </c>
      <c r="E391" s="762">
        <f>'AUSM FGD'!$E$40</f>
        <v>0</v>
      </c>
      <c r="F391" s="762">
        <f>'AUSM FGD'!$F$40</f>
        <v>0</v>
      </c>
      <c r="G391" s="762">
        <f>'AUSM FGD'!$G$40</f>
        <v>0</v>
      </c>
      <c r="H391" s="762">
        <f>'AUSM FGD'!$H$40</f>
        <v>0</v>
      </c>
      <c r="I391" s="762">
        <f>'AUSM FGD'!$I$40</f>
        <v>0</v>
      </c>
      <c r="J391" s="762">
        <f>'AUSM FGD'!$J$40</f>
        <v>0</v>
      </c>
      <c r="K391" s="762">
        <f>'AUSM FGD'!$K$40</f>
        <v>0</v>
      </c>
      <c r="L391" s="762">
        <f>'AUSM FGD'!$L$40</f>
        <v>0</v>
      </c>
      <c r="M391" s="650">
        <f>'AUSM FGD'!$M$40</f>
        <v>0</v>
      </c>
    </row>
    <row r="392" spans="1:13" s="320" customFormat="1" hidden="1" outlineLevel="1">
      <c r="A392" s="322"/>
      <c r="B392" s="823" t="str">
        <f>'HSH FGD'!$B$2</f>
        <v>The University of Texas Health Science Center at Houston</v>
      </c>
      <c r="C392" s="751"/>
      <c r="D392" s="762">
        <f>'HSH FGD'!$D$40</f>
        <v>0</v>
      </c>
      <c r="E392" s="762">
        <f>'HSH FGD'!$E$40</f>
        <v>0</v>
      </c>
      <c r="F392" s="762">
        <f>'HSH FGD'!$F$40</f>
        <v>0</v>
      </c>
      <c r="G392" s="762">
        <f>'HSH FGD'!$G$40</f>
        <v>0</v>
      </c>
      <c r="H392" s="762">
        <f>'HSH FGD'!$H$40</f>
        <v>0</v>
      </c>
      <c r="I392" s="762">
        <f>'HSH FGD'!$I$40</f>
        <v>0</v>
      </c>
      <c r="J392" s="762">
        <f>'HSH FGD'!$J$40</f>
        <v>0</v>
      </c>
      <c r="K392" s="762">
        <f>'HSH FGD'!$K$40</f>
        <v>0</v>
      </c>
      <c r="L392" s="762">
        <f>'HSH FGD'!$L$40</f>
        <v>0</v>
      </c>
      <c r="M392" s="650">
        <f>'HSH FGD'!$M$40</f>
        <v>0</v>
      </c>
    </row>
    <row r="393" spans="1:13" s="320" customFormat="1" hidden="1" outlineLevel="1">
      <c r="A393" s="322"/>
      <c r="B393" s="823" t="str">
        <f>'HSSA FGD'!$B$2</f>
        <v>The University of Texas Health Science Center at San Antonio</v>
      </c>
      <c r="C393" s="751"/>
      <c r="D393" s="762">
        <f>'HSSA FGD'!$D$40</f>
        <v>0</v>
      </c>
      <c r="E393" s="762">
        <f>'HSSA FGD'!$E$40</f>
        <v>0</v>
      </c>
      <c r="F393" s="762">
        <f>'HSSA FGD'!$F$40</f>
        <v>0</v>
      </c>
      <c r="G393" s="762">
        <f>'HSSA FGD'!$G$40</f>
        <v>0</v>
      </c>
      <c r="H393" s="762">
        <f>'HSSA FGD'!$H$40</f>
        <v>0</v>
      </c>
      <c r="I393" s="762">
        <f>'HSSA FGD'!$I$40</f>
        <v>0</v>
      </c>
      <c r="J393" s="762">
        <f>'HSSA FGD'!$J$40</f>
        <v>0</v>
      </c>
      <c r="K393" s="762">
        <f>'HSSA FGD'!$K$40</f>
        <v>0</v>
      </c>
      <c r="L393" s="762">
        <f>'HSSA FGD'!$L$40</f>
        <v>0</v>
      </c>
      <c r="M393" s="650">
        <f>'HSSA FGD'!$M$40</f>
        <v>0</v>
      </c>
    </row>
    <row r="394" spans="1:13" s="320" customFormat="1" hidden="1" outlineLevel="1">
      <c r="A394" s="322"/>
      <c r="B394" s="823" t="str">
        <f>'MBG FGD'!$B$2</f>
        <v>The University of Texas Medical Branch at Galveston</v>
      </c>
      <c r="C394" s="751"/>
      <c r="D394" s="762">
        <f>'MBG FGD'!$D$40</f>
        <v>0</v>
      </c>
      <c r="E394" s="762">
        <f>'MBG FGD'!$E$40</f>
        <v>0</v>
      </c>
      <c r="F394" s="762">
        <f>'MBG FGD'!$F$40</f>
        <v>0</v>
      </c>
      <c r="G394" s="762">
        <f>'MBG FGD'!$G$40</f>
        <v>0</v>
      </c>
      <c r="H394" s="762">
        <f>'MBG FGD'!$H$40</f>
        <v>0</v>
      </c>
      <c r="I394" s="762">
        <f>'MBG FGD'!$I$40</f>
        <v>0</v>
      </c>
      <c r="J394" s="762">
        <f>'MBG FGD'!$J$40</f>
        <v>0</v>
      </c>
      <c r="K394" s="762">
        <f>'MBG FGD'!$K$40</f>
        <v>0</v>
      </c>
      <c r="L394" s="762">
        <f>'MBG FGD'!$L$40</f>
        <v>0</v>
      </c>
      <c r="M394" s="650">
        <f>'MBG FGD'!$M$40</f>
        <v>0</v>
      </c>
    </row>
    <row r="395" spans="1:13" s="320" customFormat="1" hidden="1" outlineLevel="1">
      <c r="A395" s="322"/>
      <c r="B395" s="823" t="str">
        <f>'MDA FGD'!$B$2</f>
        <v>The University of Texas M.D. Anderson Cancer Center</v>
      </c>
      <c r="C395" s="751"/>
      <c r="D395" s="762">
        <f>'MDA FGD'!$D$40</f>
        <v>0</v>
      </c>
      <c r="E395" s="762">
        <f>'MDA FGD'!$E$40</f>
        <v>-838</v>
      </c>
      <c r="F395" s="762">
        <f>'MDA FGD'!$F$40</f>
        <v>0</v>
      </c>
      <c r="G395" s="762">
        <f>'MDA FGD'!$G$40</f>
        <v>0</v>
      </c>
      <c r="H395" s="762">
        <f>'MDA FGD'!$H$40</f>
        <v>0</v>
      </c>
      <c r="I395" s="762">
        <f>'MDA FGD'!$I$40</f>
        <v>0</v>
      </c>
      <c r="J395" s="762">
        <f>'MDA FGD'!$J$40</f>
        <v>0</v>
      </c>
      <c r="K395" s="762">
        <f>'MDA FGD'!$K$40</f>
        <v>0</v>
      </c>
      <c r="L395" s="762">
        <f>'MDA FGD'!$L$40</f>
        <v>0</v>
      </c>
      <c r="M395" s="650">
        <f>'MDA FGD'!$M$40</f>
        <v>-838</v>
      </c>
    </row>
    <row r="396" spans="1:13" s="320" customFormat="1" hidden="1" outlineLevel="1">
      <c r="A396" s="322"/>
      <c r="B396" s="823" t="str">
        <f>'RGVM FGD'!$B$2</f>
        <v>The University of Texas Rio Grande Valley Medical School (M)</v>
      </c>
      <c r="C396" s="751"/>
      <c r="D396" s="762">
        <f>'RGVM FGD'!$D$40</f>
        <v>0</v>
      </c>
      <c r="E396" s="762">
        <f>'RGVM FGD'!$E$40</f>
        <v>0</v>
      </c>
      <c r="F396" s="762">
        <f>'RGVM FGD'!$F$40</f>
        <v>0</v>
      </c>
      <c r="G396" s="762">
        <f>'RGVM FGD'!$G$40</f>
        <v>0</v>
      </c>
      <c r="H396" s="762">
        <f>'RGVM FGD'!$H$40</f>
        <v>0</v>
      </c>
      <c r="I396" s="762">
        <f>'RGVM FGD'!$I$40</f>
        <v>0</v>
      </c>
      <c r="J396" s="762">
        <f>'RGVM FGD'!$J$40</f>
        <v>0</v>
      </c>
      <c r="K396" s="762">
        <f>'RGVM FGD'!$K$40</f>
        <v>0</v>
      </c>
      <c r="L396" s="762">
        <f>'RGVM FGD'!$L$40</f>
        <v>0</v>
      </c>
      <c r="M396" s="650">
        <f>'RGVM FGD'!$M$40</f>
        <v>0</v>
      </c>
    </row>
    <row r="397" spans="1:13" s="320" customFormat="1" hidden="1" outlineLevel="1">
      <c r="A397" s="322"/>
      <c r="B397" s="823" t="str">
        <f>'SWM FGD'!$B$2</f>
        <v>The University of Texas Southwestern Medical Center</v>
      </c>
      <c r="C397" s="751"/>
      <c r="D397" s="762">
        <f>'SWM FGD'!$D$40</f>
        <v>0</v>
      </c>
      <c r="E397" s="762">
        <f>'SWM FGD'!$E$40</f>
        <v>0</v>
      </c>
      <c r="F397" s="762">
        <f>'SWM FGD'!$F$40</f>
        <v>0</v>
      </c>
      <c r="G397" s="762">
        <f>'SWM FGD'!$G$40</f>
        <v>0</v>
      </c>
      <c r="H397" s="762">
        <f>'SWM FGD'!$H$40</f>
        <v>0</v>
      </c>
      <c r="I397" s="762">
        <f>'SWM FGD'!$I$40</f>
        <v>0</v>
      </c>
      <c r="J397" s="762">
        <f>'SWM FGD'!$J$40</f>
        <v>0</v>
      </c>
      <c r="K397" s="762">
        <f>'SWM FGD'!$K$40</f>
        <v>0</v>
      </c>
      <c r="L397" s="762">
        <f>'SWM FGD'!$L$40</f>
        <v>0</v>
      </c>
      <c r="M397" s="650">
        <f>'SWM FGD'!$M$40</f>
        <v>0</v>
      </c>
    </row>
    <row r="398" spans="1:13" s="320" customFormat="1" hidden="1" outlineLevel="1">
      <c r="A398" s="322"/>
      <c r="B398" s="823" t="str">
        <f>'TAMHSC FGD'!$B$2</f>
        <v>Texas A&amp;M University System Health Science Center</v>
      </c>
      <c r="C398" s="751"/>
      <c r="D398" s="762">
        <f>'TAMHSC FGD'!$D$40</f>
        <v>0</v>
      </c>
      <c r="E398" s="762">
        <f>'TAMHSC FGD'!$E$40</f>
        <v>0</v>
      </c>
      <c r="F398" s="762">
        <f>'TAMHSC FGD'!$F$40</f>
        <v>0</v>
      </c>
      <c r="G398" s="762">
        <f>'TAMHSC FGD'!$G$40</f>
        <v>0</v>
      </c>
      <c r="H398" s="762">
        <f>'TAMHSC FGD'!$H$40</f>
        <v>0</v>
      </c>
      <c r="I398" s="762">
        <f>'TAMHSC FGD'!$I$40</f>
        <v>0</v>
      </c>
      <c r="J398" s="762">
        <f>'TAMHSC FGD'!$J$40</f>
        <v>0</v>
      </c>
      <c r="K398" s="762">
        <f>'TAMHSC FGD'!$K$40</f>
        <v>0</v>
      </c>
      <c r="L398" s="762">
        <f>'TAMHSC FGD'!$L$40</f>
        <v>0</v>
      </c>
      <c r="M398" s="650">
        <f>'TAMHSC FGD'!$M$40</f>
        <v>0</v>
      </c>
    </row>
    <row r="399" spans="1:13" s="320" customFormat="1" hidden="1" outlineLevel="1">
      <c r="A399" s="322"/>
      <c r="B399" s="823" t="str">
        <f>'THC FGD'!$B$2</f>
        <v>The University of Texas Health Science Center at Tyler</v>
      </c>
      <c r="C399" s="751"/>
      <c r="D399" s="762">
        <f>'THC FGD'!$D$40</f>
        <v>0</v>
      </c>
      <c r="E399" s="762">
        <f>'THC FGD'!$E$40</f>
        <v>0</v>
      </c>
      <c r="F399" s="762">
        <f>'THC FGD'!$F$40</f>
        <v>0</v>
      </c>
      <c r="G399" s="762">
        <f>'THC FGD'!$G$40</f>
        <v>0</v>
      </c>
      <c r="H399" s="762">
        <f>'THC FGD'!$H$40</f>
        <v>0</v>
      </c>
      <c r="I399" s="762">
        <f>'THC FGD'!$I$40</f>
        <v>0</v>
      </c>
      <c r="J399" s="762">
        <f>'THC FGD'!$J$40</f>
        <v>0</v>
      </c>
      <c r="K399" s="762">
        <f>'THC FGD'!$K$40</f>
        <v>0</v>
      </c>
      <c r="L399" s="762">
        <f>'THC FGD'!$L$40</f>
        <v>0</v>
      </c>
      <c r="M399" s="650">
        <f>'THC FGD'!$M$40</f>
        <v>0</v>
      </c>
    </row>
    <row r="400" spans="1:13" s="320" customFormat="1" hidden="1" outlineLevel="1">
      <c r="A400" s="322"/>
      <c r="B400" s="823" t="str">
        <f>'TTUHSC FGD'!$B$2</f>
        <v>Texas Tech University Health Sciences Center</v>
      </c>
      <c r="C400" s="751"/>
      <c r="D400" s="762">
        <f>'TTUHSC FGD'!$D$40</f>
        <v>0</v>
      </c>
      <c r="E400" s="762">
        <f>'TTUHSC FGD'!$E$40</f>
        <v>0</v>
      </c>
      <c r="F400" s="762">
        <f>'TTUHSC FGD'!$F$40</f>
        <v>0</v>
      </c>
      <c r="G400" s="762">
        <f>'TTUHSC FGD'!$G$40</f>
        <v>0</v>
      </c>
      <c r="H400" s="762">
        <f>'TTUHSC FGD'!$H$40</f>
        <v>0</v>
      </c>
      <c r="I400" s="762">
        <f>'TTUHSC FGD'!$I$40</f>
        <v>0</v>
      </c>
      <c r="J400" s="762">
        <f>'TTUHSC FGD'!$J$40</f>
        <v>0</v>
      </c>
      <c r="K400" s="762">
        <f>'TTUHSC FGD'!$K$40</f>
        <v>0</v>
      </c>
      <c r="L400" s="762">
        <f>'TTUHSC FGD'!$L$40</f>
        <v>0</v>
      </c>
      <c r="M400" s="650">
        <f>'TTUHSC FGD'!$M$40</f>
        <v>0</v>
      </c>
    </row>
    <row r="401" spans="1:13" s="320" customFormat="1" hidden="1" outlineLevel="1">
      <c r="A401" s="322"/>
      <c r="B401" s="823" t="str">
        <f>'TTUHSCEP FGD'!$B$2</f>
        <v>Texas Tech University Health Sciences Center at El Paso</v>
      </c>
      <c r="C401" s="751"/>
      <c r="D401" s="762">
        <f>'TTUHSCEP FGD'!$D$40</f>
        <v>0</v>
      </c>
      <c r="E401" s="762">
        <f>'TTUHSCEP FGD'!$E$40</f>
        <v>0</v>
      </c>
      <c r="F401" s="762">
        <f>'TTUHSCEP FGD'!$F$40</f>
        <v>0</v>
      </c>
      <c r="G401" s="762">
        <f>'TTUHSCEP FGD'!$G$40</f>
        <v>0</v>
      </c>
      <c r="H401" s="762">
        <f>'TTUHSCEP FGD'!$H$40</f>
        <v>0</v>
      </c>
      <c r="I401" s="762">
        <f>'TTUHSCEP FGD'!$I$40</f>
        <v>0</v>
      </c>
      <c r="J401" s="762">
        <f>'TTUHSCEP FGD'!$J$40</f>
        <v>0</v>
      </c>
      <c r="K401" s="762">
        <f>'TTUHSCEP FGD'!$K$40</f>
        <v>0</v>
      </c>
      <c r="L401" s="762">
        <f>'TTUHSCEP FGD'!$L$40</f>
        <v>0</v>
      </c>
      <c r="M401" s="650">
        <f>'TTUHSCEP FGD'!$M$40</f>
        <v>0</v>
      </c>
    </row>
    <row r="402" spans="1:13" s="320" customFormat="1" hidden="1" outlineLevel="1">
      <c r="A402" s="322"/>
      <c r="B402" s="823" t="str">
        <f>'UHM FGD'!$B$2</f>
        <v>University of Houston Medical School (M)</v>
      </c>
      <c r="C402" s="751"/>
      <c r="D402" s="762">
        <f>'UHM FGD'!$D$40</f>
        <v>0</v>
      </c>
      <c r="E402" s="762">
        <f>'UHM FGD'!$E$40</f>
        <v>0</v>
      </c>
      <c r="F402" s="762">
        <f>'UHM FGD'!$F$40</f>
        <v>0</v>
      </c>
      <c r="G402" s="762">
        <f>'UHM FGD'!$G$40</f>
        <v>0</v>
      </c>
      <c r="H402" s="762">
        <f>'UHM FGD'!$H$40</f>
        <v>0</v>
      </c>
      <c r="I402" s="762">
        <f>'UHM FGD'!$I$40</f>
        <v>0</v>
      </c>
      <c r="J402" s="762">
        <f>'UHM FGD'!$J$40</f>
        <v>0</v>
      </c>
      <c r="K402" s="762">
        <f>'UHM FGD'!$K$40</f>
        <v>0</v>
      </c>
      <c r="L402" s="762">
        <f>'UHM FGD'!$L$40</f>
        <v>0</v>
      </c>
      <c r="M402" s="650">
        <f>'UHM FGD'!$M$40</f>
        <v>0</v>
      </c>
    </row>
    <row r="403" spans="1:13" s="320" customFormat="1" hidden="1" outlineLevel="1">
      <c r="A403" s="322"/>
      <c r="B403" s="823" t="str">
        <f>'UNTHSC1 FGD'!$B$2</f>
        <v>University of North Texas Health Science Center at Fort Worth (Public Medical)</v>
      </c>
      <c r="C403" s="751"/>
      <c r="D403" s="762">
        <f>'UNTHSC1 FGD'!$D$40</f>
        <v>0</v>
      </c>
      <c r="E403" s="762">
        <f>'UNTHSC1 FGD'!$E$40</f>
        <v>0</v>
      </c>
      <c r="F403" s="762">
        <f>'UNTHSC1 FGD'!$F$40</f>
        <v>0</v>
      </c>
      <c r="G403" s="762">
        <f>'UNTHSC1 FGD'!$G$40</f>
        <v>0</v>
      </c>
      <c r="H403" s="762">
        <f>'UNTHSC1 FGD'!$H$40</f>
        <v>0</v>
      </c>
      <c r="I403" s="762">
        <f>'UNTHSC1 FGD'!$I$40</f>
        <v>0</v>
      </c>
      <c r="J403" s="762">
        <f>'UNTHSC1 FGD'!$J$40</f>
        <v>0</v>
      </c>
      <c r="K403" s="762">
        <f>'UNTHSC1 FGD'!$K$40</f>
        <v>0</v>
      </c>
      <c r="L403" s="762">
        <f>'UNTHSC1 FGD'!$L$40</f>
        <v>0</v>
      </c>
      <c r="M403" s="650">
        <f>'UNTHSC1 FGD'!$M$40</f>
        <v>0</v>
      </c>
    </row>
    <row r="404" spans="1:13" s="320" customFormat="1" collapsed="1">
      <c r="A404" s="322"/>
      <c r="B404" s="320" t="s">
        <v>599</v>
      </c>
      <c r="C404" s="751"/>
      <c r="D404" s="762">
        <f t="shared" ref="D404:M404" si="27">SUM(D391:D403)</f>
        <v>0</v>
      </c>
      <c r="E404" s="762">
        <f t="shared" si="27"/>
        <v>-838</v>
      </c>
      <c r="F404" s="762">
        <f t="shared" si="27"/>
        <v>0</v>
      </c>
      <c r="G404" s="762">
        <f t="shared" si="27"/>
        <v>0</v>
      </c>
      <c r="H404" s="762">
        <f t="shared" si="27"/>
        <v>0</v>
      </c>
      <c r="I404" s="762">
        <f t="shared" si="27"/>
        <v>0</v>
      </c>
      <c r="J404" s="762">
        <f t="shared" si="27"/>
        <v>0</v>
      </c>
      <c r="K404" s="762">
        <f t="shared" si="27"/>
        <v>0</v>
      </c>
      <c r="L404" s="762">
        <f t="shared" si="27"/>
        <v>0</v>
      </c>
      <c r="M404" s="650">
        <f t="shared" si="27"/>
        <v>-838</v>
      </c>
    </row>
    <row r="405" spans="1:13" s="320" customFormat="1" hidden="1" outlineLevel="1">
      <c r="A405" s="322"/>
      <c r="B405" s="823" t="str">
        <f>'AUSM FGD'!$B$2</f>
        <v>The University of Texas at Austin Medical School (M)</v>
      </c>
      <c r="C405" s="751"/>
      <c r="D405" s="762">
        <f>'AUSM FGD'!$D$41</f>
        <v>0</v>
      </c>
      <c r="E405" s="762">
        <f>'AUSM FGD'!$E$41</f>
        <v>-1091432</v>
      </c>
      <c r="F405" s="762">
        <f>'AUSM FGD'!$F$41</f>
        <v>0</v>
      </c>
      <c r="G405" s="762">
        <f>'AUSM FGD'!$G$41</f>
        <v>0</v>
      </c>
      <c r="H405" s="762">
        <f>'AUSM FGD'!$H$41</f>
        <v>0</v>
      </c>
      <c r="I405" s="762">
        <f>'AUSM FGD'!$I$41</f>
        <v>0</v>
      </c>
      <c r="J405" s="762">
        <f>'AUSM FGD'!$J$41</f>
        <v>0</v>
      </c>
      <c r="K405" s="762">
        <f>'AUSM FGD'!$K$41</f>
        <v>0</v>
      </c>
      <c r="L405" s="762">
        <f>'AUSM FGD'!$L$41</f>
        <v>0</v>
      </c>
      <c r="M405" s="650">
        <f>'AUSM FGD'!$M$41</f>
        <v>-1091432</v>
      </c>
    </row>
    <row r="406" spans="1:13" s="320" customFormat="1" hidden="1" outlineLevel="1">
      <c r="A406" s="322"/>
      <c r="B406" s="823" t="str">
        <f>'HSH FGD'!$B$2</f>
        <v>The University of Texas Health Science Center at Houston</v>
      </c>
      <c r="C406" s="751"/>
      <c r="D406" s="762">
        <f>'HSH FGD'!$D$41</f>
        <v>0</v>
      </c>
      <c r="E406" s="762">
        <f>'HSH FGD'!$E$41</f>
        <v>0</v>
      </c>
      <c r="F406" s="762">
        <f>'HSH FGD'!$F$41</f>
        <v>-20579</v>
      </c>
      <c r="G406" s="762">
        <f>'HSH FGD'!$G$41</f>
        <v>0</v>
      </c>
      <c r="H406" s="762">
        <f>'HSH FGD'!$H$41</f>
        <v>0</v>
      </c>
      <c r="I406" s="762">
        <f>'HSH FGD'!$I$41</f>
        <v>0</v>
      </c>
      <c r="J406" s="762">
        <f>'HSH FGD'!$J$41</f>
        <v>0</v>
      </c>
      <c r="K406" s="762">
        <f>'HSH FGD'!$K$41</f>
        <v>0</v>
      </c>
      <c r="L406" s="762">
        <f>'HSH FGD'!$L$41</f>
        <v>0</v>
      </c>
      <c r="M406" s="650">
        <f>'HSH FGD'!$M$41</f>
        <v>-20579</v>
      </c>
    </row>
    <row r="407" spans="1:13" s="320" customFormat="1" hidden="1" outlineLevel="1">
      <c r="A407" s="322"/>
      <c r="B407" s="823" t="str">
        <f>'HSSA FGD'!$B$2</f>
        <v>The University of Texas Health Science Center at San Antonio</v>
      </c>
      <c r="C407" s="751"/>
      <c r="D407" s="762">
        <f>'HSSA FGD'!$D$41</f>
        <v>-187940</v>
      </c>
      <c r="E407" s="762">
        <f>'HSSA FGD'!$E$41</f>
        <v>0</v>
      </c>
      <c r="F407" s="762">
        <f>'HSSA FGD'!$F$41</f>
        <v>0</v>
      </c>
      <c r="G407" s="762">
        <f>'HSSA FGD'!$G$41</f>
        <v>0</v>
      </c>
      <c r="H407" s="762">
        <f>'HSSA FGD'!$H$41</f>
        <v>0</v>
      </c>
      <c r="I407" s="762">
        <f>'HSSA FGD'!$I$41</f>
        <v>0</v>
      </c>
      <c r="J407" s="762">
        <f>'HSSA FGD'!$J$41</f>
        <v>0</v>
      </c>
      <c r="K407" s="762">
        <f>'HSSA FGD'!$K$41</f>
        <v>0</v>
      </c>
      <c r="L407" s="762">
        <f>'HSSA FGD'!$L$41</f>
        <v>0</v>
      </c>
      <c r="M407" s="650">
        <f>'HSSA FGD'!$M$41</f>
        <v>-187940</v>
      </c>
    </row>
    <row r="408" spans="1:13" s="320" customFormat="1" hidden="1" outlineLevel="1">
      <c r="A408" s="322"/>
      <c r="B408" s="823" t="str">
        <f>'MBG FGD'!$B$2</f>
        <v>The University of Texas Medical Branch at Galveston</v>
      </c>
      <c r="C408" s="751"/>
      <c r="D408" s="762">
        <f>'MBG FGD'!$D$41</f>
        <v>-343188</v>
      </c>
      <c r="E408" s="762">
        <f>'MBG FGD'!$E$41</f>
        <v>-657217</v>
      </c>
      <c r="F408" s="762">
        <f>'MBG FGD'!$F$41</f>
        <v>-13048</v>
      </c>
      <c r="G408" s="762">
        <f>'MBG FGD'!$G$41</f>
        <v>0</v>
      </c>
      <c r="H408" s="762">
        <f>'MBG FGD'!$H$41</f>
        <v>0</v>
      </c>
      <c r="I408" s="762">
        <f>'MBG FGD'!$I$41</f>
        <v>0</v>
      </c>
      <c r="J408" s="762">
        <f>'MBG FGD'!$J$41</f>
        <v>0</v>
      </c>
      <c r="K408" s="762">
        <f>'MBG FGD'!$K$41</f>
        <v>0</v>
      </c>
      <c r="L408" s="762">
        <f>'MBG FGD'!$L$41</f>
        <v>0</v>
      </c>
      <c r="M408" s="650">
        <f>'MBG FGD'!$M$41</f>
        <v>-1013453</v>
      </c>
    </row>
    <row r="409" spans="1:13" s="320" customFormat="1" hidden="1" outlineLevel="1">
      <c r="A409" s="322"/>
      <c r="B409" s="823" t="str">
        <f>'MDA FGD'!$B$2</f>
        <v>The University of Texas M.D. Anderson Cancer Center</v>
      </c>
      <c r="C409" s="751"/>
      <c r="D409" s="762">
        <f>'MDA FGD'!$D$41</f>
        <v>0</v>
      </c>
      <c r="E409" s="762">
        <f>'MDA FGD'!$E$41</f>
        <v>0</v>
      </c>
      <c r="F409" s="762">
        <f>'MDA FGD'!$F$41</f>
        <v>0</v>
      </c>
      <c r="G409" s="762">
        <f>'MDA FGD'!$G$41</f>
        <v>0</v>
      </c>
      <c r="H409" s="762">
        <f>'MDA FGD'!$H$41</f>
        <v>0</v>
      </c>
      <c r="I409" s="762">
        <f>'MDA FGD'!$I$41</f>
        <v>0</v>
      </c>
      <c r="J409" s="762">
        <f>'MDA FGD'!$J$41</f>
        <v>0</v>
      </c>
      <c r="K409" s="762">
        <f>'MDA FGD'!$K$41</f>
        <v>0</v>
      </c>
      <c r="L409" s="762">
        <f>'MDA FGD'!$L$41</f>
        <v>0</v>
      </c>
      <c r="M409" s="650">
        <f>'MDA FGD'!$M$41</f>
        <v>0</v>
      </c>
    </row>
    <row r="410" spans="1:13" s="320" customFormat="1" hidden="1" outlineLevel="1">
      <c r="A410" s="322"/>
      <c r="B410" s="823" t="str">
        <f>'RGVM FGD'!$B$2</f>
        <v>The University of Texas Rio Grande Valley Medical School (M)</v>
      </c>
      <c r="C410" s="751"/>
      <c r="D410" s="762">
        <f>'RGVM FGD'!$D$41</f>
        <v>0</v>
      </c>
      <c r="E410" s="762">
        <f>'RGVM FGD'!$E$41</f>
        <v>0</v>
      </c>
      <c r="F410" s="762">
        <f>'RGVM FGD'!$F$41</f>
        <v>-4133</v>
      </c>
      <c r="G410" s="762">
        <f>'RGVM FGD'!$G$41</f>
        <v>0</v>
      </c>
      <c r="H410" s="762">
        <f>'RGVM FGD'!$H$41</f>
        <v>0</v>
      </c>
      <c r="I410" s="762">
        <f>'RGVM FGD'!$I$41</f>
        <v>0</v>
      </c>
      <c r="J410" s="762">
        <f>'RGVM FGD'!$J$41</f>
        <v>0</v>
      </c>
      <c r="K410" s="762">
        <f>'RGVM FGD'!$K$41</f>
        <v>0</v>
      </c>
      <c r="L410" s="762">
        <f>'RGVM FGD'!$L$41</f>
        <v>0</v>
      </c>
      <c r="M410" s="650">
        <f>'RGVM FGD'!$M$41</f>
        <v>-4133</v>
      </c>
    </row>
    <row r="411" spans="1:13" s="320" customFormat="1" hidden="1" outlineLevel="1">
      <c r="A411" s="322"/>
      <c r="B411" s="823" t="str">
        <f>'SWM FGD'!$B$2</f>
        <v>The University of Texas Southwestern Medical Center</v>
      </c>
      <c r="C411" s="751"/>
      <c r="D411" s="762">
        <f>'SWM FGD'!$D$41</f>
        <v>-5460</v>
      </c>
      <c r="E411" s="762">
        <f>'SWM FGD'!$E$41</f>
        <v>-61420</v>
      </c>
      <c r="F411" s="762">
        <f>'SWM FGD'!$F$41</f>
        <v>-631724</v>
      </c>
      <c r="G411" s="762">
        <f>'SWM FGD'!$G$41</f>
        <v>0</v>
      </c>
      <c r="H411" s="762">
        <f>'SWM FGD'!$H$41</f>
        <v>0</v>
      </c>
      <c r="I411" s="762">
        <f>'SWM FGD'!$I$41</f>
        <v>0</v>
      </c>
      <c r="J411" s="762">
        <f>'SWM FGD'!$J$41</f>
        <v>0</v>
      </c>
      <c r="K411" s="762">
        <f>'SWM FGD'!$K$41</f>
        <v>0</v>
      </c>
      <c r="L411" s="762">
        <f>'SWM FGD'!$L$41</f>
        <v>0</v>
      </c>
      <c r="M411" s="650">
        <f>'SWM FGD'!$M$41</f>
        <v>-698604</v>
      </c>
    </row>
    <row r="412" spans="1:13" s="320" customFormat="1" hidden="1" outlineLevel="1">
      <c r="A412" s="322"/>
      <c r="B412" s="823" t="str">
        <f>'TAMHSC FGD'!$B$2</f>
        <v>Texas A&amp;M University System Health Science Center</v>
      </c>
      <c r="C412" s="751"/>
      <c r="D412" s="762">
        <f>'TAMHSC FGD'!$D$41</f>
        <v>-4784</v>
      </c>
      <c r="E412" s="762">
        <f>'TAMHSC FGD'!$E$41</f>
        <v>-1212803</v>
      </c>
      <c r="F412" s="762">
        <f>'TAMHSC FGD'!$F$41</f>
        <v>-88582</v>
      </c>
      <c r="G412" s="762">
        <f>'TAMHSC FGD'!$G$41</f>
        <v>0</v>
      </c>
      <c r="H412" s="762">
        <f>'TAMHSC FGD'!$H$41</f>
        <v>0</v>
      </c>
      <c r="I412" s="762">
        <f>'TAMHSC FGD'!$I$41</f>
        <v>0</v>
      </c>
      <c r="J412" s="762">
        <f>'TAMHSC FGD'!$J$41</f>
        <v>0</v>
      </c>
      <c r="K412" s="762">
        <f>'TAMHSC FGD'!$K$41</f>
        <v>0</v>
      </c>
      <c r="L412" s="762">
        <f>'TAMHSC FGD'!$L$41</f>
        <v>0</v>
      </c>
      <c r="M412" s="650">
        <f>'TAMHSC FGD'!$M$41</f>
        <v>-1306169</v>
      </c>
    </row>
    <row r="413" spans="1:13" s="320" customFormat="1" hidden="1" outlineLevel="1">
      <c r="A413" s="322"/>
      <c r="B413" s="823" t="str">
        <f>'THC FGD'!$B$2</f>
        <v>The University of Texas Health Science Center at Tyler</v>
      </c>
      <c r="C413" s="751"/>
      <c r="D413" s="762">
        <f>'THC FGD'!$D$41</f>
        <v>0</v>
      </c>
      <c r="E413" s="762">
        <f>'THC FGD'!$E$41</f>
        <v>0</v>
      </c>
      <c r="F413" s="762">
        <f>'THC FGD'!$F$41</f>
        <v>0</v>
      </c>
      <c r="G413" s="762">
        <f>'THC FGD'!$G$41</f>
        <v>0</v>
      </c>
      <c r="H413" s="762">
        <f>'THC FGD'!$H$41</f>
        <v>0</v>
      </c>
      <c r="I413" s="762">
        <f>'THC FGD'!$I$41</f>
        <v>0</v>
      </c>
      <c r="J413" s="762">
        <f>'THC FGD'!$J$41</f>
        <v>0</v>
      </c>
      <c r="K413" s="762">
        <f>'THC FGD'!$K$41</f>
        <v>0</v>
      </c>
      <c r="L413" s="762">
        <f>'THC FGD'!$L$41</f>
        <v>0</v>
      </c>
      <c r="M413" s="650">
        <f>'THC FGD'!$M$41</f>
        <v>0</v>
      </c>
    </row>
    <row r="414" spans="1:13" s="320" customFormat="1" hidden="1" outlineLevel="1">
      <c r="A414" s="322"/>
      <c r="B414" s="823" t="str">
        <f>'TTUHSC FGD'!$B$2</f>
        <v>Texas Tech University Health Sciences Center</v>
      </c>
      <c r="C414" s="751"/>
      <c r="D414" s="762">
        <f>'TTUHSC FGD'!$D$41</f>
        <v>0</v>
      </c>
      <c r="E414" s="762">
        <f>'TTUHSC FGD'!$E$41</f>
        <v>0</v>
      </c>
      <c r="F414" s="762">
        <f>'TTUHSC FGD'!$F$41</f>
        <v>0</v>
      </c>
      <c r="G414" s="762">
        <f>'TTUHSC FGD'!$G$41</f>
        <v>0</v>
      </c>
      <c r="H414" s="762">
        <f>'TTUHSC FGD'!$H$41</f>
        <v>0</v>
      </c>
      <c r="I414" s="762">
        <f>'TTUHSC FGD'!$I$41</f>
        <v>0</v>
      </c>
      <c r="J414" s="762">
        <f>'TTUHSC FGD'!$J$41</f>
        <v>0</v>
      </c>
      <c r="K414" s="762">
        <f>'TTUHSC FGD'!$K$41</f>
        <v>0</v>
      </c>
      <c r="L414" s="762">
        <f>'TTUHSC FGD'!$L$41</f>
        <v>0</v>
      </c>
      <c r="M414" s="650">
        <f>'TTUHSC FGD'!$M$41</f>
        <v>0</v>
      </c>
    </row>
    <row r="415" spans="1:13" s="320" customFormat="1" hidden="1" outlineLevel="1">
      <c r="A415" s="322"/>
      <c r="B415" s="823" t="str">
        <f>'TTUHSCEP FGD'!$B$2</f>
        <v>Texas Tech University Health Sciences Center at El Paso</v>
      </c>
      <c r="C415" s="751"/>
      <c r="D415" s="762">
        <f>'TTUHSCEP FGD'!$D$41</f>
        <v>0</v>
      </c>
      <c r="E415" s="762">
        <f>'TTUHSCEP FGD'!$E$41</f>
        <v>0</v>
      </c>
      <c r="F415" s="762">
        <f>'TTUHSCEP FGD'!$F$41</f>
        <v>0</v>
      </c>
      <c r="G415" s="762">
        <f>'TTUHSCEP FGD'!$G$41</f>
        <v>0</v>
      </c>
      <c r="H415" s="762">
        <f>'TTUHSCEP FGD'!$H$41</f>
        <v>0</v>
      </c>
      <c r="I415" s="762">
        <f>'TTUHSCEP FGD'!$I$41</f>
        <v>0</v>
      </c>
      <c r="J415" s="762">
        <f>'TTUHSCEP FGD'!$J$41</f>
        <v>0</v>
      </c>
      <c r="K415" s="762">
        <f>'TTUHSCEP FGD'!$K$41</f>
        <v>0</v>
      </c>
      <c r="L415" s="762">
        <f>'TTUHSCEP FGD'!$L$41</f>
        <v>0</v>
      </c>
      <c r="M415" s="650">
        <f>'TTUHSCEP FGD'!$M$41</f>
        <v>0</v>
      </c>
    </row>
    <row r="416" spans="1:13" s="320" customFormat="1" hidden="1" outlineLevel="1">
      <c r="A416" s="322"/>
      <c r="B416" s="823" t="str">
        <f>'UHM FGD'!$B$2</f>
        <v>University of Houston Medical School (M)</v>
      </c>
      <c r="C416" s="751"/>
      <c r="D416" s="762">
        <f>'UHM FGD'!$D$41</f>
        <v>0</v>
      </c>
      <c r="E416" s="762">
        <f>'UHM FGD'!$E$41</f>
        <v>-123744</v>
      </c>
      <c r="F416" s="762">
        <f>'UHM FGD'!$F$41</f>
        <v>-24426</v>
      </c>
      <c r="G416" s="762">
        <f>'UHM FGD'!$G$41</f>
        <v>0</v>
      </c>
      <c r="H416" s="762">
        <f>'UHM FGD'!$H$41</f>
        <v>0</v>
      </c>
      <c r="I416" s="762">
        <f>'UHM FGD'!$I$41</f>
        <v>0</v>
      </c>
      <c r="J416" s="762">
        <f>'UHM FGD'!$J$41</f>
        <v>0</v>
      </c>
      <c r="K416" s="762">
        <f>'UHM FGD'!$K$41</f>
        <v>0</v>
      </c>
      <c r="L416" s="762">
        <f>'UHM FGD'!$L$41</f>
        <v>0</v>
      </c>
      <c r="M416" s="650">
        <f>'UHM FGD'!$M$41</f>
        <v>-148170</v>
      </c>
    </row>
    <row r="417" spans="1:15" s="320" customFormat="1" hidden="1" outlineLevel="1">
      <c r="A417" s="322"/>
      <c r="B417" s="823" t="str">
        <f>'UNTHSC1 FGD'!$B$2</f>
        <v>University of North Texas Health Science Center at Fort Worth (Public Medical)</v>
      </c>
      <c r="C417" s="751"/>
      <c r="D417" s="762">
        <f>'UNTHSC1 FGD'!$D$41</f>
        <v>0</v>
      </c>
      <c r="E417" s="762">
        <f>'UNTHSC1 FGD'!$E$41</f>
        <v>-588832</v>
      </c>
      <c r="F417" s="762">
        <f>'UNTHSC1 FGD'!$F$41</f>
        <v>0</v>
      </c>
      <c r="G417" s="762">
        <f>'UNTHSC1 FGD'!$G$41</f>
        <v>0</v>
      </c>
      <c r="H417" s="762">
        <f>'UNTHSC1 FGD'!$H$41</f>
        <v>0</v>
      </c>
      <c r="I417" s="762">
        <f>'UNTHSC1 FGD'!$I$41</f>
        <v>0</v>
      </c>
      <c r="J417" s="762">
        <f>'UNTHSC1 FGD'!$J$41</f>
        <v>0</v>
      </c>
      <c r="K417" s="762">
        <f>'UNTHSC1 FGD'!$K$41</f>
        <v>0</v>
      </c>
      <c r="L417" s="762">
        <f>'UNTHSC1 FGD'!$L$41</f>
        <v>0</v>
      </c>
      <c r="M417" s="650">
        <f>'UNTHSC1 FGD'!$M$41</f>
        <v>-588832</v>
      </c>
    </row>
    <row r="418" spans="1:15" s="320" customFormat="1" collapsed="1">
      <c r="A418" s="322"/>
      <c r="B418" s="320" t="s">
        <v>600</v>
      </c>
      <c r="C418" s="751"/>
      <c r="D418" s="762">
        <f t="shared" ref="D418:M418" si="28">SUM(D405:D417)</f>
        <v>-541372</v>
      </c>
      <c r="E418" s="762">
        <f t="shared" si="28"/>
        <v>-3735448</v>
      </c>
      <c r="F418" s="762">
        <f t="shared" si="28"/>
        <v>-782492</v>
      </c>
      <c r="G418" s="762">
        <f t="shared" si="28"/>
        <v>0</v>
      </c>
      <c r="H418" s="762">
        <f t="shared" si="28"/>
        <v>0</v>
      </c>
      <c r="I418" s="762">
        <f t="shared" si="28"/>
        <v>0</v>
      </c>
      <c r="J418" s="762">
        <f t="shared" si="28"/>
        <v>0</v>
      </c>
      <c r="K418" s="762">
        <f t="shared" si="28"/>
        <v>0</v>
      </c>
      <c r="L418" s="762">
        <f t="shared" si="28"/>
        <v>0</v>
      </c>
      <c r="M418" s="650">
        <f t="shared" si="28"/>
        <v>-5059312</v>
      </c>
    </row>
    <row r="419" spans="1:15" s="320" customFormat="1" hidden="1" outlineLevel="1">
      <c r="A419" s="322"/>
      <c r="B419" s="823" t="str">
        <f>'AUSM FGD'!$B$2</f>
        <v>The University of Texas at Austin Medical School (M)</v>
      </c>
      <c r="C419" s="751"/>
      <c r="D419" s="762">
        <f>'AUSM FGD'!$D$42</f>
        <v>0</v>
      </c>
      <c r="E419" s="762">
        <f>'AUSM FGD'!$E$42</f>
        <v>66065</v>
      </c>
      <c r="F419" s="762">
        <f>'AUSM FGD'!$F$42</f>
        <v>0</v>
      </c>
      <c r="G419" s="762">
        <f>'AUSM FGD'!$G$42</f>
        <v>0</v>
      </c>
      <c r="H419" s="762">
        <f>'AUSM FGD'!$H$42</f>
        <v>0</v>
      </c>
      <c r="I419" s="762">
        <f>'AUSM FGD'!$I$42</f>
        <v>0</v>
      </c>
      <c r="J419" s="762">
        <f>'AUSM FGD'!$J$42</f>
        <v>0</v>
      </c>
      <c r="K419" s="762">
        <f>'AUSM FGD'!$K$42</f>
        <v>0</v>
      </c>
      <c r="L419" s="762">
        <f>'AUSM FGD'!$L$42</f>
        <v>0</v>
      </c>
      <c r="M419" s="650">
        <f>'AUSM FGD'!$M$42</f>
        <v>66065</v>
      </c>
    </row>
    <row r="420" spans="1:15" s="320" customFormat="1" hidden="1" outlineLevel="1">
      <c r="A420" s="322"/>
      <c r="B420" s="823" t="str">
        <f>'HSH FGD'!$B$2</f>
        <v>The University of Texas Health Science Center at Houston</v>
      </c>
      <c r="C420" s="751"/>
      <c r="D420" s="762">
        <f>'HSH FGD'!$D$42</f>
        <v>169664</v>
      </c>
      <c r="E420" s="762">
        <f>'HSH FGD'!$E$42</f>
        <v>11978154</v>
      </c>
      <c r="F420" s="762">
        <f>'HSH FGD'!$F$42</f>
        <v>2431906</v>
      </c>
      <c r="G420" s="762">
        <f>'HSH FGD'!$G$42</f>
        <v>0</v>
      </c>
      <c r="H420" s="762">
        <f>'HSH FGD'!$H$42</f>
        <v>0</v>
      </c>
      <c r="I420" s="762">
        <f>'HSH FGD'!$I$42</f>
        <v>0</v>
      </c>
      <c r="J420" s="762">
        <f>'HSH FGD'!$J$42</f>
        <v>0</v>
      </c>
      <c r="K420" s="762">
        <f>'HSH FGD'!$K$42</f>
        <v>0</v>
      </c>
      <c r="L420" s="762">
        <f>'HSH FGD'!$L$42</f>
        <v>0</v>
      </c>
      <c r="M420" s="650">
        <f>'HSH FGD'!$M$42</f>
        <v>14579724</v>
      </c>
    </row>
    <row r="421" spans="1:15" s="320" customFormat="1" hidden="1" outlineLevel="1">
      <c r="A421" s="322"/>
      <c r="B421" s="823" t="str">
        <f>'HSSA FGD'!$B$2</f>
        <v>The University of Texas Health Science Center at San Antonio</v>
      </c>
      <c r="C421" s="751"/>
      <c r="D421" s="762">
        <f>'HSSA FGD'!$D$42</f>
        <v>-347678</v>
      </c>
      <c r="E421" s="762">
        <f>'HSSA FGD'!$E$42</f>
        <v>0</v>
      </c>
      <c r="F421" s="762">
        <f>'HSSA FGD'!$F$42</f>
        <v>3100750</v>
      </c>
      <c r="G421" s="762">
        <f>'HSSA FGD'!$G$42</f>
        <v>0</v>
      </c>
      <c r="H421" s="762">
        <f>'HSSA FGD'!$H$42</f>
        <v>0</v>
      </c>
      <c r="I421" s="762">
        <f>'HSSA FGD'!$I$42</f>
        <v>0</v>
      </c>
      <c r="J421" s="762">
        <f>'HSSA FGD'!$J$42</f>
        <v>0</v>
      </c>
      <c r="K421" s="762">
        <f>'HSSA FGD'!$K$42</f>
        <v>0</v>
      </c>
      <c r="L421" s="762">
        <f>'HSSA FGD'!$L$42</f>
        <v>0</v>
      </c>
      <c r="M421" s="650">
        <f>'HSSA FGD'!$M$42</f>
        <v>2753072</v>
      </c>
    </row>
    <row r="422" spans="1:15" s="320" customFormat="1" hidden="1" outlineLevel="1">
      <c r="A422" s="322"/>
      <c r="B422" s="823" t="str">
        <f>'MBG FGD'!$B$2</f>
        <v>The University of Texas Medical Branch at Galveston</v>
      </c>
      <c r="C422" s="751"/>
      <c r="D422" s="762">
        <f>'MBG FGD'!$D$42</f>
        <v>3120486</v>
      </c>
      <c r="E422" s="762">
        <f>'MBG FGD'!$E$42</f>
        <v>10157159</v>
      </c>
      <c r="F422" s="762">
        <f>'MBG FGD'!$F$42</f>
        <v>799159</v>
      </c>
      <c r="G422" s="762">
        <f>'MBG FGD'!$G$42</f>
        <v>0</v>
      </c>
      <c r="H422" s="762">
        <f>'MBG FGD'!$H$42</f>
        <v>0</v>
      </c>
      <c r="I422" s="762">
        <f>'MBG FGD'!$I$42</f>
        <v>0</v>
      </c>
      <c r="J422" s="762">
        <f>'MBG FGD'!$J$42</f>
        <v>0</v>
      </c>
      <c r="K422" s="762">
        <f>'MBG FGD'!$K$42</f>
        <v>0</v>
      </c>
      <c r="L422" s="762">
        <f>'MBG FGD'!$L$42</f>
        <v>0</v>
      </c>
      <c r="M422" s="650">
        <f>'MBG FGD'!$M$42</f>
        <v>14076804</v>
      </c>
    </row>
    <row r="423" spans="1:15" s="320" customFormat="1" hidden="1" outlineLevel="1">
      <c r="A423" s="322"/>
      <c r="B423" s="823" t="str">
        <f>'MDA FGD'!$B$2</f>
        <v>The University of Texas M.D. Anderson Cancer Center</v>
      </c>
      <c r="C423" s="751"/>
      <c r="D423" s="762">
        <f>'MDA FGD'!$D$42</f>
        <v>0</v>
      </c>
      <c r="E423" s="762">
        <f>'MDA FGD'!$E$42</f>
        <v>345621</v>
      </c>
      <c r="F423" s="762">
        <f>'MDA FGD'!$F$42</f>
        <v>0</v>
      </c>
      <c r="G423" s="762">
        <f>'MDA FGD'!$G$42</f>
        <v>0</v>
      </c>
      <c r="H423" s="762">
        <f>'MDA FGD'!$H$42</f>
        <v>0</v>
      </c>
      <c r="I423" s="762">
        <f>'MDA FGD'!$I$42</f>
        <v>0</v>
      </c>
      <c r="J423" s="762">
        <f>'MDA FGD'!$J$42</f>
        <v>0</v>
      </c>
      <c r="K423" s="762">
        <f>'MDA FGD'!$K$42</f>
        <v>0</v>
      </c>
      <c r="L423" s="762">
        <f>'MDA FGD'!$L$42</f>
        <v>0</v>
      </c>
      <c r="M423" s="650">
        <f>'MDA FGD'!$M$42</f>
        <v>345621</v>
      </c>
    </row>
    <row r="424" spans="1:15" s="320" customFormat="1" hidden="1" outlineLevel="1">
      <c r="A424" s="322"/>
      <c r="B424" s="823" t="str">
        <f>'RGVM FGD'!$B$2</f>
        <v>The University of Texas Rio Grande Valley Medical School (M)</v>
      </c>
      <c r="C424" s="751"/>
      <c r="D424" s="762">
        <f>'RGVM FGD'!$D$42</f>
        <v>13196</v>
      </c>
      <c r="E424" s="762">
        <f>'RGVM FGD'!$E$42</f>
        <v>831798</v>
      </c>
      <c r="F424" s="762">
        <f>'RGVM FGD'!$F$42</f>
        <v>194886</v>
      </c>
      <c r="G424" s="762">
        <f>'RGVM FGD'!$G$42</f>
        <v>0</v>
      </c>
      <c r="H424" s="762">
        <f>'RGVM FGD'!$H$42</f>
        <v>0</v>
      </c>
      <c r="I424" s="762">
        <f>'RGVM FGD'!$I$42</f>
        <v>0</v>
      </c>
      <c r="J424" s="762">
        <f>'RGVM FGD'!$J$42</f>
        <v>0</v>
      </c>
      <c r="K424" s="762">
        <f>'RGVM FGD'!$K$42</f>
        <v>0</v>
      </c>
      <c r="L424" s="762">
        <f>'RGVM FGD'!$L$42</f>
        <v>0</v>
      </c>
      <c r="M424" s="650">
        <f>'RGVM FGD'!$M$42</f>
        <v>1039880</v>
      </c>
    </row>
    <row r="425" spans="1:15" s="320" customFormat="1" hidden="1" outlineLevel="1">
      <c r="A425" s="322"/>
      <c r="B425" s="823" t="str">
        <f>'SWM FGD'!$B$2</f>
        <v>The University of Texas Southwestern Medical Center</v>
      </c>
      <c r="C425" s="751"/>
      <c r="D425" s="762">
        <f>'SWM FGD'!$D$42</f>
        <v>48255</v>
      </c>
      <c r="E425" s="762">
        <f>'SWM FGD'!$E$42</f>
        <v>861683</v>
      </c>
      <c r="F425" s="762">
        <f>'SWM FGD'!$F$42</f>
        <v>1214623</v>
      </c>
      <c r="G425" s="762">
        <f>'SWM FGD'!$G$42</f>
        <v>0</v>
      </c>
      <c r="H425" s="762">
        <f>'SWM FGD'!$H$42</f>
        <v>0</v>
      </c>
      <c r="I425" s="762">
        <f>'SWM FGD'!$I$42</f>
        <v>0</v>
      </c>
      <c r="J425" s="762">
        <f>'SWM FGD'!$J$42</f>
        <v>0</v>
      </c>
      <c r="K425" s="762">
        <f>'SWM FGD'!$K$42</f>
        <v>0</v>
      </c>
      <c r="L425" s="762">
        <f>'SWM FGD'!$L$42</f>
        <v>0</v>
      </c>
      <c r="M425" s="650">
        <f>'SWM FGD'!$M$42</f>
        <v>2124561</v>
      </c>
    </row>
    <row r="426" spans="1:15" s="320" customFormat="1" hidden="1" outlineLevel="1">
      <c r="A426" s="322"/>
      <c r="B426" s="823" t="str">
        <f>'TAMHSC FGD'!$B$2</f>
        <v>Texas A&amp;M University System Health Science Center</v>
      </c>
      <c r="C426" s="751"/>
      <c r="D426" s="762">
        <f>'TAMHSC FGD'!$D$42</f>
        <v>58935</v>
      </c>
      <c r="E426" s="762">
        <f>'TAMHSC FGD'!$E$42</f>
        <v>16748224</v>
      </c>
      <c r="F426" s="762">
        <f>'TAMHSC FGD'!$F$42</f>
        <v>1476459</v>
      </c>
      <c r="G426" s="762">
        <f>'TAMHSC FGD'!$G$42</f>
        <v>0</v>
      </c>
      <c r="H426" s="762">
        <f>'TAMHSC FGD'!$H$42</f>
        <v>0</v>
      </c>
      <c r="I426" s="762">
        <f>'TAMHSC FGD'!$I$42</f>
        <v>0</v>
      </c>
      <c r="J426" s="762">
        <f>'TAMHSC FGD'!$J$42</f>
        <v>0</v>
      </c>
      <c r="K426" s="762">
        <f>'TAMHSC FGD'!$K$42</f>
        <v>0</v>
      </c>
      <c r="L426" s="762">
        <f>'TAMHSC FGD'!$L$42</f>
        <v>0</v>
      </c>
      <c r="M426" s="650">
        <f>'TAMHSC FGD'!$M$42</f>
        <v>18283618</v>
      </c>
    </row>
    <row r="427" spans="1:15" s="320" customFormat="1" hidden="1" outlineLevel="1">
      <c r="A427" s="322"/>
      <c r="B427" s="823" t="str">
        <f>'THC FGD'!$B$2</f>
        <v>The University of Texas Health Science Center at Tyler</v>
      </c>
      <c r="C427" s="751"/>
      <c r="D427" s="762">
        <f>'THC FGD'!$D$42</f>
        <v>1350</v>
      </c>
      <c r="E427" s="762">
        <f>'THC FGD'!$E$42</f>
        <v>95752</v>
      </c>
      <c r="F427" s="762">
        <f>'THC FGD'!$F$42</f>
        <v>0</v>
      </c>
      <c r="G427" s="762">
        <f>'THC FGD'!$G$42</f>
        <v>0</v>
      </c>
      <c r="H427" s="762">
        <f>'THC FGD'!$H$42</f>
        <v>0</v>
      </c>
      <c r="I427" s="762">
        <f>'THC FGD'!$I$42</f>
        <v>0</v>
      </c>
      <c r="J427" s="762">
        <f>'THC FGD'!$J$42</f>
        <v>0</v>
      </c>
      <c r="K427" s="762">
        <f>'THC FGD'!$K$42</f>
        <v>0</v>
      </c>
      <c r="L427" s="762">
        <f>'THC FGD'!$L$42</f>
        <v>0</v>
      </c>
      <c r="M427" s="650">
        <f>'THC FGD'!$M$42</f>
        <v>97102</v>
      </c>
    </row>
    <row r="428" spans="1:15" s="320" customFormat="1" hidden="1" outlineLevel="1">
      <c r="A428" s="322"/>
      <c r="B428" s="823" t="str">
        <f>'TTUHSC FGD'!$B$2</f>
        <v>Texas Tech University Health Sciences Center</v>
      </c>
      <c r="C428" s="751"/>
      <c r="D428" s="762">
        <f>'TTUHSC FGD'!$D$42</f>
        <v>0</v>
      </c>
      <c r="E428" s="762">
        <f>'TTUHSC FGD'!$E$42</f>
        <v>27066447</v>
      </c>
      <c r="F428" s="762">
        <f>'TTUHSC FGD'!$F$42</f>
        <v>0</v>
      </c>
      <c r="G428" s="762">
        <f>'TTUHSC FGD'!$G$42</f>
        <v>0</v>
      </c>
      <c r="H428" s="762">
        <f>'TTUHSC FGD'!$H$42</f>
        <v>0</v>
      </c>
      <c r="I428" s="762">
        <f>'TTUHSC FGD'!$I$42</f>
        <v>0</v>
      </c>
      <c r="J428" s="762">
        <f>'TTUHSC FGD'!$J$42</f>
        <v>0</v>
      </c>
      <c r="K428" s="762">
        <f>'TTUHSC FGD'!$K$42</f>
        <v>0</v>
      </c>
      <c r="L428" s="762">
        <f>'TTUHSC FGD'!$L$42</f>
        <v>0</v>
      </c>
      <c r="M428" s="650">
        <f>'TTUHSC FGD'!$M$42</f>
        <v>27066447</v>
      </c>
    </row>
    <row r="429" spans="1:15" s="320" customFormat="1" hidden="1" outlineLevel="1">
      <c r="A429" s="322"/>
      <c r="B429" s="823" t="str">
        <f>'TTUHSCEP FGD'!$B$2</f>
        <v>Texas Tech University Health Sciences Center at El Paso</v>
      </c>
      <c r="C429" s="751"/>
      <c r="D429" s="762">
        <f>'TTUHSCEP FGD'!$D$42</f>
        <v>0</v>
      </c>
      <c r="E429" s="762">
        <f>'TTUHSCEP FGD'!$E$42</f>
        <v>4825961</v>
      </c>
      <c r="F429" s="762">
        <f>'TTUHSCEP FGD'!$F$42</f>
        <v>0</v>
      </c>
      <c r="G429" s="762">
        <f>'TTUHSCEP FGD'!$G$42</f>
        <v>0</v>
      </c>
      <c r="H429" s="762">
        <f>'TTUHSCEP FGD'!$H$42</f>
        <v>0</v>
      </c>
      <c r="I429" s="762">
        <f>'TTUHSCEP FGD'!$I$42</f>
        <v>0</v>
      </c>
      <c r="J429" s="762">
        <f>'TTUHSCEP FGD'!$J$42</f>
        <v>0</v>
      </c>
      <c r="K429" s="762">
        <f>'TTUHSCEP FGD'!$K$42</f>
        <v>0</v>
      </c>
      <c r="L429" s="762">
        <f>'TTUHSCEP FGD'!$L$42</f>
        <v>0</v>
      </c>
      <c r="M429" s="650">
        <f>'TTUHSCEP FGD'!$M$42</f>
        <v>4825961</v>
      </c>
    </row>
    <row r="430" spans="1:15" s="320" customFormat="1" hidden="1" outlineLevel="1">
      <c r="A430" s="322"/>
      <c r="B430" s="823" t="str">
        <f>'UHM FGD'!$B$2</f>
        <v>University of Houston Medical School (M)</v>
      </c>
      <c r="C430" s="751"/>
      <c r="D430" s="762">
        <f>'UHM FGD'!$D$42</f>
        <v>0</v>
      </c>
      <c r="E430" s="762">
        <f>'UHM FGD'!$E$42</f>
        <v>258052</v>
      </c>
      <c r="F430" s="762">
        <f>'UHM FGD'!$F$42</f>
        <v>50940</v>
      </c>
      <c r="G430" s="762">
        <f>'UHM FGD'!$G$42</f>
        <v>0</v>
      </c>
      <c r="H430" s="762">
        <f>'UHM FGD'!$H$42</f>
        <v>0</v>
      </c>
      <c r="I430" s="762">
        <f>'UHM FGD'!$I$42</f>
        <v>0</v>
      </c>
      <c r="J430" s="762">
        <f>'UHM FGD'!$J$42</f>
        <v>0</v>
      </c>
      <c r="K430" s="762">
        <f>'UHM FGD'!$K$42</f>
        <v>0</v>
      </c>
      <c r="L430" s="762">
        <f>'UHM FGD'!$L$42</f>
        <v>0</v>
      </c>
      <c r="M430" s="650">
        <f>'UHM FGD'!$M$42</f>
        <v>308992</v>
      </c>
    </row>
    <row r="431" spans="1:15" s="320" customFormat="1" hidden="1" outlineLevel="1">
      <c r="A431" s="322"/>
      <c r="B431" s="823" t="str">
        <f>'UNTHSC1 FGD'!$B$2</f>
        <v>University of North Texas Health Science Center at Fort Worth (Public Medical)</v>
      </c>
      <c r="C431" s="751"/>
      <c r="D431" s="762">
        <f>'UNTHSC1 FGD'!$D$42</f>
        <v>24149</v>
      </c>
      <c r="E431" s="762">
        <f>'UNTHSC1 FGD'!$E$42</f>
        <v>11283226</v>
      </c>
      <c r="F431" s="762">
        <f>'UNTHSC1 FGD'!$F$42</f>
        <v>0</v>
      </c>
      <c r="G431" s="762">
        <f>'UNTHSC1 FGD'!$G$42</f>
        <v>0</v>
      </c>
      <c r="H431" s="762">
        <f>'UNTHSC1 FGD'!$H$42</f>
        <v>0</v>
      </c>
      <c r="I431" s="762">
        <f>'UNTHSC1 FGD'!$I$42</f>
        <v>0</v>
      </c>
      <c r="J431" s="762">
        <f>'UNTHSC1 FGD'!$J$42</f>
        <v>0</v>
      </c>
      <c r="K431" s="762">
        <f>'UNTHSC1 FGD'!$K$42</f>
        <v>0</v>
      </c>
      <c r="L431" s="762">
        <f>'UNTHSC1 FGD'!$L$42</f>
        <v>0</v>
      </c>
      <c r="M431" s="650">
        <f>'UNTHSC1 FGD'!$M$42</f>
        <v>11307375</v>
      </c>
    </row>
    <row r="432" spans="1:15" s="320" customFormat="1" collapsed="1">
      <c r="A432" s="322"/>
      <c r="B432" s="795" t="s">
        <v>166</v>
      </c>
      <c r="C432" s="784"/>
      <c r="D432" s="769">
        <f t="shared" ref="D432:M432" si="29">SUM(D419:D431)</f>
        <v>3088357</v>
      </c>
      <c r="E432" s="769">
        <f t="shared" si="29"/>
        <v>84518142</v>
      </c>
      <c r="F432" s="769">
        <f t="shared" si="29"/>
        <v>9268723</v>
      </c>
      <c r="G432" s="769">
        <f t="shared" si="29"/>
        <v>0</v>
      </c>
      <c r="H432" s="769">
        <f t="shared" si="29"/>
        <v>0</v>
      </c>
      <c r="I432" s="769">
        <f t="shared" si="29"/>
        <v>0</v>
      </c>
      <c r="J432" s="769">
        <f t="shared" si="29"/>
        <v>0</v>
      </c>
      <c r="K432" s="769">
        <f t="shared" si="29"/>
        <v>0</v>
      </c>
      <c r="L432" s="769">
        <f t="shared" si="29"/>
        <v>0</v>
      </c>
      <c r="M432" s="769">
        <f t="shared" si="29"/>
        <v>96875222</v>
      </c>
      <c r="O432" s="322" t="str">
        <f>IF(M432&lt;&gt;M1086,"Error","OK")</f>
        <v>OK</v>
      </c>
    </row>
    <row r="433" spans="1:15" s="320" customFormat="1">
      <c r="A433" s="322"/>
      <c r="C433" s="751"/>
      <c r="D433" s="751"/>
      <c r="E433" s="751"/>
      <c r="F433" s="751"/>
      <c r="G433" s="751"/>
      <c r="H433" s="751"/>
      <c r="I433" s="751"/>
      <c r="J433" s="751"/>
      <c r="K433" s="751"/>
      <c r="L433" s="751"/>
      <c r="M433" s="650"/>
    </row>
    <row r="434" spans="1:15" s="320" customFormat="1" hidden="1" outlineLevel="1">
      <c r="A434" s="322"/>
      <c r="B434" s="823" t="str">
        <f>'AUSM FGD'!$B$2</f>
        <v>The University of Texas at Austin Medical School (M)</v>
      </c>
      <c r="C434" s="751"/>
      <c r="D434" s="724">
        <f>'AUSM FGD'!$D$44</f>
        <v>985842</v>
      </c>
      <c r="E434" s="724">
        <f>'AUSM FGD'!$E$44</f>
        <v>2503371</v>
      </c>
      <c r="F434" s="724">
        <f>'AUSM FGD'!$F$44</f>
        <v>0</v>
      </c>
      <c r="G434" s="724">
        <f>'AUSM FGD'!$G$44</f>
        <v>0</v>
      </c>
      <c r="H434" s="724">
        <f>'AUSM FGD'!$H$44</f>
        <v>0</v>
      </c>
      <c r="I434" s="724">
        <f>'AUSM FGD'!$I$44</f>
        <v>0</v>
      </c>
      <c r="J434" s="724">
        <f>'AUSM FGD'!$J$44</f>
        <v>0</v>
      </c>
      <c r="K434" s="724">
        <f>'AUSM FGD'!$K$44</f>
        <v>0</v>
      </c>
      <c r="L434" s="724">
        <f>'AUSM FGD'!$L$44</f>
        <v>0</v>
      </c>
      <c r="M434" s="650">
        <f>'AUSM FGD'!$M$44</f>
        <v>3489213</v>
      </c>
    </row>
    <row r="435" spans="1:15" s="320" customFormat="1" hidden="1" outlineLevel="1">
      <c r="A435" s="322"/>
      <c r="B435" s="823" t="str">
        <f>'HSH FGD'!$B$2</f>
        <v>The University of Texas Health Science Center at Houston</v>
      </c>
      <c r="C435" s="751"/>
      <c r="D435" s="724">
        <f>'HSH FGD'!$D$44</f>
        <v>26656110</v>
      </c>
      <c r="E435" s="724">
        <f>'HSH FGD'!$E$44</f>
        <v>42708356</v>
      </c>
      <c r="F435" s="724">
        <f>'HSH FGD'!$F$44</f>
        <v>2431906</v>
      </c>
      <c r="G435" s="724">
        <f>'HSH FGD'!$G$44</f>
        <v>0</v>
      </c>
      <c r="H435" s="724">
        <f>'HSH FGD'!$H$44</f>
        <v>0</v>
      </c>
      <c r="I435" s="724">
        <f>'HSH FGD'!$I$44</f>
        <v>0</v>
      </c>
      <c r="J435" s="724">
        <f>'HSH FGD'!$J$44</f>
        <v>0</v>
      </c>
      <c r="K435" s="724">
        <f>'HSH FGD'!$K$44</f>
        <v>0</v>
      </c>
      <c r="L435" s="724">
        <f>'HSH FGD'!$L$44</f>
        <v>0</v>
      </c>
      <c r="M435" s="650">
        <f>'HSH FGD'!$M$44</f>
        <v>71796372</v>
      </c>
    </row>
    <row r="436" spans="1:15" s="320" customFormat="1" hidden="1" outlineLevel="1">
      <c r="A436" s="322"/>
      <c r="B436" s="823" t="str">
        <f>'HSSA FGD'!$B$2</f>
        <v>The University of Texas Health Science Center at San Antonio</v>
      </c>
      <c r="C436" s="751"/>
      <c r="D436" s="724">
        <f>'HSSA FGD'!$D$44</f>
        <v>14069293</v>
      </c>
      <c r="E436" s="724">
        <f>'HSSA FGD'!$E$44</f>
        <v>38469051</v>
      </c>
      <c r="F436" s="724">
        <f>'HSSA FGD'!$F$44</f>
        <v>3100750</v>
      </c>
      <c r="G436" s="724">
        <f>'HSSA FGD'!$G$44</f>
        <v>0</v>
      </c>
      <c r="H436" s="724">
        <f>'HSSA FGD'!$H$44</f>
        <v>0</v>
      </c>
      <c r="I436" s="724">
        <f>'HSSA FGD'!$I$44</f>
        <v>0</v>
      </c>
      <c r="J436" s="724">
        <f>'HSSA FGD'!$J$44</f>
        <v>0</v>
      </c>
      <c r="K436" s="724">
        <f>'HSSA FGD'!$K$44</f>
        <v>0</v>
      </c>
      <c r="L436" s="724">
        <f>'HSSA FGD'!$L$44</f>
        <v>0</v>
      </c>
      <c r="M436" s="650">
        <f>'HSSA FGD'!$M$44</f>
        <v>55639094</v>
      </c>
    </row>
    <row r="437" spans="1:15" s="320" customFormat="1" hidden="1" outlineLevel="1">
      <c r="A437" s="322"/>
      <c r="B437" s="823" t="str">
        <f>'MBG FGD'!$B$2</f>
        <v>The University of Texas Medical Branch at Galveston</v>
      </c>
      <c r="C437" s="751"/>
      <c r="D437" s="724">
        <f>'MBG FGD'!$D$44</f>
        <v>14714519</v>
      </c>
      <c r="E437" s="724">
        <f>'MBG FGD'!$E$44</f>
        <v>35677749</v>
      </c>
      <c r="F437" s="724">
        <f>'MBG FGD'!$F$44</f>
        <v>799159</v>
      </c>
      <c r="G437" s="724">
        <f>'MBG FGD'!$G$44</f>
        <v>0</v>
      </c>
      <c r="H437" s="724">
        <f>'MBG FGD'!$H$44</f>
        <v>0</v>
      </c>
      <c r="I437" s="724">
        <f>'MBG FGD'!$I$44</f>
        <v>0</v>
      </c>
      <c r="J437" s="724">
        <f>'MBG FGD'!$J$44</f>
        <v>0</v>
      </c>
      <c r="K437" s="724">
        <f>'MBG FGD'!$K$44</f>
        <v>0</v>
      </c>
      <c r="L437" s="724">
        <f>'MBG FGD'!$L$44</f>
        <v>0</v>
      </c>
      <c r="M437" s="650">
        <f>'MBG FGD'!$M$44</f>
        <v>51191427</v>
      </c>
    </row>
    <row r="438" spans="1:15" s="320" customFormat="1" hidden="1" outlineLevel="1">
      <c r="A438" s="322"/>
      <c r="B438" s="823" t="str">
        <f>'MDA FGD'!$B$2</f>
        <v>The University of Texas M.D. Anderson Cancer Center</v>
      </c>
      <c r="C438" s="751"/>
      <c r="D438" s="724">
        <f>'MDA FGD'!$D$44</f>
        <v>769032</v>
      </c>
      <c r="E438" s="724">
        <f>'MDA FGD'!$E$44</f>
        <v>1064828</v>
      </c>
      <c r="F438" s="724">
        <f>'MDA FGD'!$F$44</f>
        <v>0</v>
      </c>
      <c r="G438" s="724">
        <f>'MDA FGD'!$G$44</f>
        <v>0</v>
      </c>
      <c r="H438" s="724">
        <f>'MDA FGD'!$H$44</f>
        <v>0</v>
      </c>
      <c r="I438" s="724">
        <f>'MDA FGD'!$I$44</f>
        <v>0</v>
      </c>
      <c r="J438" s="724">
        <f>'MDA FGD'!$J$44</f>
        <v>0</v>
      </c>
      <c r="K438" s="724">
        <f>'MDA FGD'!$K$44</f>
        <v>0</v>
      </c>
      <c r="L438" s="724">
        <f>'MDA FGD'!$L$44</f>
        <v>0</v>
      </c>
      <c r="M438" s="650">
        <f>'MDA FGD'!$M$44</f>
        <v>1833860</v>
      </c>
    </row>
    <row r="439" spans="1:15" s="320" customFormat="1" hidden="1" outlineLevel="1">
      <c r="A439" s="322"/>
      <c r="B439" s="823" t="str">
        <f>'RGVM FGD'!$B$2</f>
        <v>The University of Texas Rio Grande Valley Medical School (M)</v>
      </c>
      <c r="C439" s="751"/>
      <c r="D439" s="724">
        <f>'RGVM FGD'!$D$44</f>
        <v>1467996</v>
      </c>
      <c r="E439" s="724">
        <f>'RGVM FGD'!$E$44</f>
        <v>3180803</v>
      </c>
      <c r="F439" s="724">
        <f>'RGVM FGD'!$F$44</f>
        <v>194886</v>
      </c>
      <c r="G439" s="724">
        <f>'RGVM FGD'!$G$44</f>
        <v>0</v>
      </c>
      <c r="H439" s="724">
        <f>'RGVM FGD'!$H$44</f>
        <v>0</v>
      </c>
      <c r="I439" s="724">
        <f>'RGVM FGD'!$I$44</f>
        <v>0</v>
      </c>
      <c r="J439" s="724">
        <f>'RGVM FGD'!$J$44</f>
        <v>0</v>
      </c>
      <c r="K439" s="724">
        <f>'RGVM FGD'!$K$44</f>
        <v>0</v>
      </c>
      <c r="L439" s="724">
        <f>'RGVM FGD'!$L$44</f>
        <v>0</v>
      </c>
      <c r="M439" s="650">
        <f>'RGVM FGD'!$M$44</f>
        <v>4843685</v>
      </c>
    </row>
    <row r="440" spans="1:15" s="320" customFormat="1" hidden="1" outlineLevel="1">
      <c r="A440" s="322"/>
      <c r="B440" s="823" t="str">
        <f>'SWM FGD'!$B$2</f>
        <v>The University of Texas Southwestern Medical Center</v>
      </c>
      <c r="C440" s="751"/>
      <c r="D440" s="724">
        <f>'SWM FGD'!$D$44</f>
        <v>8120743</v>
      </c>
      <c r="E440" s="724">
        <f>'SWM FGD'!$E$44</f>
        <v>18924497</v>
      </c>
      <c r="F440" s="724">
        <f>'SWM FGD'!$F$44</f>
        <v>1214623</v>
      </c>
      <c r="G440" s="724">
        <f>'SWM FGD'!$G$44</f>
        <v>0</v>
      </c>
      <c r="H440" s="724">
        <f>'SWM FGD'!$H$44</f>
        <v>0</v>
      </c>
      <c r="I440" s="724">
        <f>'SWM FGD'!$I$44</f>
        <v>0</v>
      </c>
      <c r="J440" s="724">
        <f>'SWM FGD'!$J$44</f>
        <v>0</v>
      </c>
      <c r="K440" s="724">
        <f>'SWM FGD'!$K$44</f>
        <v>0</v>
      </c>
      <c r="L440" s="724">
        <f>'SWM FGD'!$L$44</f>
        <v>0</v>
      </c>
      <c r="M440" s="650">
        <f>'SWM FGD'!$M$44</f>
        <v>28259863</v>
      </c>
    </row>
    <row r="441" spans="1:15" s="320" customFormat="1" hidden="1" outlineLevel="1">
      <c r="A441" s="322"/>
      <c r="B441" s="823" t="str">
        <f>'TAMHSC FGD'!$B$2</f>
        <v>Texas A&amp;M University System Health Science Center</v>
      </c>
      <c r="C441" s="751"/>
      <c r="D441" s="724">
        <f>'TAMHSC FGD'!$D$44</f>
        <v>18507684</v>
      </c>
      <c r="E441" s="724">
        <f>'TAMHSC FGD'!$E$44</f>
        <v>34071640</v>
      </c>
      <c r="F441" s="724">
        <f>'TAMHSC FGD'!$F$44</f>
        <v>1476459</v>
      </c>
      <c r="G441" s="724">
        <f>'TAMHSC FGD'!$G$44</f>
        <v>0</v>
      </c>
      <c r="H441" s="724">
        <f>'TAMHSC FGD'!$H$44</f>
        <v>0</v>
      </c>
      <c r="I441" s="724">
        <f>'TAMHSC FGD'!$I$44</f>
        <v>0</v>
      </c>
      <c r="J441" s="724">
        <f>'TAMHSC FGD'!$J$44</f>
        <v>0</v>
      </c>
      <c r="K441" s="724">
        <f>'TAMHSC FGD'!$K$44</f>
        <v>0</v>
      </c>
      <c r="L441" s="724">
        <f>'TAMHSC FGD'!$L$44</f>
        <v>0</v>
      </c>
      <c r="M441" s="650">
        <f>'TAMHSC FGD'!$M$44</f>
        <v>54055783</v>
      </c>
    </row>
    <row r="442" spans="1:15" s="320" customFormat="1" hidden="1" outlineLevel="1">
      <c r="A442" s="322"/>
      <c r="B442" s="823" t="str">
        <f>'THC FGD'!$B$2</f>
        <v>The University of Texas Health Science Center at Tyler</v>
      </c>
      <c r="C442" s="751"/>
      <c r="D442" s="724">
        <f>'THC FGD'!$D$44</f>
        <v>238070</v>
      </c>
      <c r="E442" s="724">
        <f>'THC FGD'!$E$44</f>
        <v>407242</v>
      </c>
      <c r="F442" s="724">
        <f>'THC FGD'!$F$44</f>
        <v>0</v>
      </c>
      <c r="G442" s="724">
        <f>'THC FGD'!$G$44</f>
        <v>0</v>
      </c>
      <c r="H442" s="724">
        <f>'THC FGD'!$H$44</f>
        <v>0</v>
      </c>
      <c r="I442" s="724">
        <f>'THC FGD'!$I$44</f>
        <v>0</v>
      </c>
      <c r="J442" s="724">
        <f>'THC FGD'!$J$44</f>
        <v>0</v>
      </c>
      <c r="K442" s="724">
        <f>'THC FGD'!$K$44</f>
        <v>0</v>
      </c>
      <c r="L442" s="724">
        <f>'THC FGD'!$L$44</f>
        <v>0</v>
      </c>
      <c r="M442" s="650">
        <f>'THC FGD'!$M$44</f>
        <v>645312</v>
      </c>
    </row>
    <row r="443" spans="1:15" s="320" customFormat="1" hidden="1" outlineLevel="1">
      <c r="A443" s="322"/>
      <c r="B443" s="823" t="str">
        <f>'TTUHSC FGD'!$B$2</f>
        <v>Texas Tech University Health Sciences Center</v>
      </c>
      <c r="C443" s="751"/>
      <c r="D443" s="724">
        <f>'TTUHSC FGD'!$D$44</f>
        <v>16718856</v>
      </c>
      <c r="E443" s="724">
        <f>'TTUHSC FGD'!$E$44</f>
        <v>54801009</v>
      </c>
      <c r="F443" s="724">
        <f>'TTUHSC FGD'!$F$44</f>
        <v>0</v>
      </c>
      <c r="G443" s="724">
        <f>'TTUHSC FGD'!$G$44</f>
        <v>0</v>
      </c>
      <c r="H443" s="724">
        <f>'TTUHSC FGD'!$H$44</f>
        <v>0</v>
      </c>
      <c r="I443" s="724">
        <f>'TTUHSC FGD'!$I$44</f>
        <v>0</v>
      </c>
      <c r="J443" s="724">
        <f>'TTUHSC FGD'!$J$44</f>
        <v>0</v>
      </c>
      <c r="K443" s="724">
        <f>'TTUHSC FGD'!$K$44</f>
        <v>0</v>
      </c>
      <c r="L443" s="724">
        <f>'TTUHSC FGD'!$L$44</f>
        <v>0</v>
      </c>
      <c r="M443" s="650">
        <f>'TTUHSC FGD'!$M$44</f>
        <v>71519865</v>
      </c>
    </row>
    <row r="444" spans="1:15" s="320" customFormat="1" hidden="1" outlineLevel="1">
      <c r="A444" s="322"/>
      <c r="B444" s="823" t="str">
        <f>'TTUHSCEP FGD'!$B$2</f>
        <v>Texas Tech University Health Sciences Center at El Paso</v>
      </c>
      <c r="C444" s="751"/>
      <c r="D444" s="724">
        <f>'TTUHSCEP FGD'!$D$44</f>
        <v>3329454</v>
      </c>
      <c r="E444" s="724">
        <f>'TTUHSCEP FGD'!$E$44</f>
        <v>9927538</v>
      </c>
      <c r="F444" s="724">
        <f>'TTUHSCEP FGD'!$F$44</f>
        <v>0</v>
      </c>
      <c r="G444" s="724">
        <f>'TTUHSCEP FGD'!$G$44</f>
        <v>0</v>
      </c>
      <c r="H444" s="724">
        <f>'TTUHSCEP FGD'!$H$44</f>
        <v>0</v>
      </c>
      <c r="I444" s="724">
        <f>'TTUHSCEP FGD'!$I$44</f>
        <v>0</v>
      </c>
      <c r="J444" s="724">
        <f>'TTUHSCEP FGD'!$J$44</f>
        <v>0</v>
      </c>
      <c r="K444" s="724">
        <f>'TTUHSCEP FGD'!$K$44</f>
        <v>0</v>
      </c>
      <c r="L444" s="724">
        <f>'TTUHSCEP FGD'!$L$44</f>
        <v>0</v>
      </c>
      <c r="M444" s="650">
        <f>'TTUHSCEP FGD'!$M$44</f>
        <v>13256992</v>
      </c>
    </row>
    <row r="445" spans="1:15" s="320" customFormat="1" hidden="1" outlineLevel="1">
      <c r="A445" s="322"/>
      <c r="B445" s="823" t="str">
        <f>'UHM FGD'!$B$2</f>
        <v>University of Houston Medical School (M)</v>
      </c>
      <c r="C445" s="751"/>
      <c r="D445" s="724">
        <f>'UHM FGD'!$D$44</f>
        <v>526471</v>
      </c>
      <c r="E445" s="724">
        <f>'UHM FGD'!$E$44</f>
        <v>515264</v>
      </c>
      <c r="F445" s="724">
        <f>'UHM FGD'!$F$44</f>
        <v>50940</v>
      </c>
      <c r="G445" s="724">
        <f>'UHM FGD'!$G$44</f>
        <v>0</v>
      </c>
      <c r="H445" s="724">
        <f>'UHM FGD'!$H$44</f>
        <v>0</v>
      </c>
      <c r="I445" s="724">
        <f>'UHM FGD'!$I$44</f>
        <v>0</v>
      </c>
      <c r="J445" s="724">
        <f>'UHM FGD'!$J$44</f>
        <v>0</v>
      </c>
      <c r="K445" s="724">
        <f>'UHM FGD'!$K$44</f>
        <v>0</v>
      </c>
      <c r="L445" s="724">
        <f>'UHM FGD'!$L$44</f>
        <v>0</v>
      </c>
      <c r="M445" s="650">
        <f>'UHM FGD'!$M$44</f>
        <v>1092675</v>
      </c>
    </row>
    <row r="446" spans="1:15" s="320" customFormat="1" hidden="1" outlineLevel="1">
      <c r="A446" s="322"/>
      <c r="B446" s="823" t="str">
        <f>'UNTHSC1 FGD'!$B$2</f>
        <v>University of North Texas Health Science Center at Fort Worth (Public Medical)</v>
      </c>
      <c r="C446" s="751"/>
      <c r="D446" s="724">
        <f>'UNTHSC1 FGD'!$D$44</f>
        <v>11736937</v>
      </c>
      <c r="E446" s="724">
        <f>'UNTHSC1 FGD'!$E$44</f>
        <v>22740875</v>
      </c>
      <c r="F446" s="724">
        <f>'UNTHSC1 FGD'!$F$44</f>
        <v>0</v>
      </c>
      <c r="G446" s="724">
        <f>'UNTHSC1 FGD'!$G$44</f>
        <v>0</v>
      </c>
      <c r="H446" s="724">
        <f>'UNTHSC1 FGD'!$H$44</f>
        <v>0</v>
      </c>
      <c r="I446" s="724">
        <f>'UNTHSC1 FGD'!$I$44</f>
        <v>0</v>
      </c>
      <c r="J446" s="724">
        <f>'UNTHSC1 FGD'!$J$44</f>
        <v>0</v>
      </c>
      <c r="K446" s="724">
        <f>'UNTHSC1 FGD'!$K$44</f>
        <v>0</v>
      </c>
      <c r="L446" s="724">
        <f>'UNTHSC1 FGD'!$L$44</f>
        <v>0</v>
      </c>
      <c r="M446" s="650">
        <f>'UNTHSC1 FGD'!$M$44</f>
        <v>34477812</v>
      </c>
    </row>
    <row r="447" spans="1:15" s="320" customFormat="1" ht="13.5" customHeight="1" collapsed="1">
      <c r="A447" s="322"/>
      <c r="B447" s="795" t="s">
        <v>242</v>
      </c>
      <c r="C447" s="784"/>
      <c r="D447" s="769">
        <f t="shared" ref="D447:M447" si="30">SUM(D434:D446)</f>
        <v>117841007</v>
      </c>
      <c r="E447" s="769">
        <f t="shared" si="30"/>
        <v>264992223</v>
      </c>
      <c r="F447" s="769">
        <f t="shared" si="30"/>
        <v>9268723</v>
      </c>
      <c r="G447" s="769">
        <f t="shared" si="30"/>
        <v>0</v>
      </c>
      <c r="H447" s="769">
        <f t="shared" si="30"/>
        <v>0</v>
      </c>
      <c r="I447" s="769">
        <f t="shared" si="30"/>
        <v>0</v>
      </c>
      <c r="J447" s="769">
        <f t="shared" si="30"/>
        <v>0</v>
      </c>
      <c r="K447" s="769">
        <f t="shared" si="30"/>
        <v>0</v>
      </c>
      <c r="L447" s="769">
        <f t="shared" si="30"/>
        <v>0</v>
      </c>
      <c r="M447" s="769">
        <f t="shared" si="30"/>
        <v>392101953</v>
      </c>
      <c r="O447" s="322" t="str">
        <f>IF(M447&lt;&gt;M1088,"Error","OK")</f>
        <v>OK</v>
      </c>
    </row>
    <row r="448" spans="1:15">
      <c r="A448" s="460">
        <v>28</v>
      </c>
      <c r="D448" s="723"/>
      <c r="E448" s="723"/>
      <c r="F448" s="723"/>
      <c r="G448" s="723"/>
      <c r="H448" s="723"/>
      <c r="I448" s="723"/>
      <c r="J448" s="723"/>
      <c r="K448" s="723"/>
      <c r="L448" s="723"/>
      <c r="M448" s="723"/>
      <c r="N448" s="320"/>
      <c r="O448" s="752"/>
    </row>
    <row r="449" spans="1:15">
      <c r="A449" s="460">
        <v>29</v>
      </c>
      <c r="B449" s="771" t="s">
        <v>162</v>
      </c>
      <c r="C449" s="771"/>
      <c r="D449" s="723"/>
      <c r="E449" s="723"/>
      <c r="F449" s="723"/>
      <c r="G449" s="723"/>
      <c r="H449" s="723"/>
      <c r="I449" s="723"/>
      <c r="J449" s="723"/>
      <c r="K449" s="723"/>
      <c r="L449" s="723"/>
      <c r="M449" s="723"/>
      <c r="N449" s="320"/>
      <c r="O449" s="752"/>
    </row>
    <row r="450" spans="1:15" hidden="1" outlineLevel="1">
      <c r="B450" s="823" t="str">
        <f>'AUSM FGD'!$B$2</f>
        <v>The University of Texas at Austin Medical School (M)</v>
      </c>
      <c r="C450" s="771"/>
      <c r="D450" s="723">
        <f>'AUSM FGD'!$D$47</f>
        <v>0</v>
      </c>
      <c r="E450" s="723">
        <f>'AUSM FGD'!$E$47</f>
        <v>0</v>
      </c>
      <c r="F450" s="723">
        <f>'AUSM FGD'!$F$47</f>
        <v>0</v>
      </c>
      <c r="G450" s="723">
        <f>'AUSM FGD'!$G$47</f>
        <v>12717100</v>
      </c>
      <c r="H450" s="723">
        <f>'AUSM FGD'!$H$47</f>
        <v>0</v>
      </c>
      <c r="I450" s="723">
        <f>'AUSM FGD'!$I$47</f>
        <v>0</v>
      </c>
      <c r="J450" s="723">
        <f>'AUSM FGD'!$J$47</f>
        <v>0</v>
      </c>
      <c r="K450" s="723">
        <f>'AUSM FGD'!$K$47</f>
        <v>0</v>
      </c>
      <c r="L450" s="723">
        <f>'AUSM FGD'!$L$47</f>
        <v>0</v>
      </c>
      <c r="M450" s="723">
        <f>'AUSM FGD'!$M$47</f>
        <v>12717100</v>
      </c>
      <c r="N450" s="320"/>
      <c r="O450" s="752"/>
    </row>
    <row r="451" spans="1:15" hidden="1" outlineLevel="1">
      <c r="B451" s="823" t="str">
        <f>'HSH FGD'!$B$2</f>
        <v>The University of Texas Health Science Center at Houston</v>
      </c>
      <c r="C451" s="771"/>
      <c r="D451" s="723">
        <f>'HSH FGD'!$D$47</f>
        <v>0</v>
      </c>
      <c r="E451" s="723">
        <f>'HSH FGD'!$E$47</f>
        <v>64550252</v>
      </c>
      <c r="F451" s="723">
        <f>'HSH FGD'!$F$47</f>
        <v>0</v>
      </c>
      <c r="G451" s="723">
        <f>'HSH FGD'!$G$47</f>
        <v>184674116</v>
      </c>
      <c r="H451" s="723">
        <f>'HSH FGD'!$H$47</f>
        <v>0</v>
      </c>
      <c r="I451" s="723">
        <f>'HSH FGD'!$I$47</f>
        <v>0</v>
      </c>
      <c r="J451" s="723">
        <f>'HSH FGD'!$J$47</f>
        <v>0</v>
      </c>
      <c r="K451" s="723">
        <f>'HSH FGD'!$K$47</f>
        <v>0</v>
      </c>
      <c r="L451" s="723">
        <f>'HSH FGD'!$L$47</f>
        <v>0</v>
      </c>
      <c r="M451" s="723">
        <f>'HSH FGD'!$M$47</f>
        <v>249224368</v>
      </c>
      <c r="N451" s="320"/>
      <c r="O451" s="752"/>
    </row>
    <row r="452" spans="1:15" hidden="1" outlineLevel="1">
      <c r="B452" s="823" t="str">
        <f>'HSSA FGD'!$B$2</f>
        <v>The University of Texas Health Science Center at San Antonio</v>
      </c>
      <c r="C452" s="771"/>
      <c r="D452" s="723">
        <f>'HSSA FGD'!$D$47</f>
        <v>0</v>
      </c>
      <c r="E452" s="723">
        <f>'HSSA FGD'!$E$47</f>
        <v>52619580</v>
      </c>
      <c r="F452" s="723">
        <f>'HSSA FGD'!$F$47</f>
        <v>0</v>
      </c>
      <c r="G452" s="723">
        <f>'HSSA FGD'!$G$47</f>
        <v>155376901</v>
      </c>
      <c r="H452" s="723">
        <f>'HSSA FGD'!$H$47</f>
        <v>0</v>
      </c>
      <c r="I452" s="723">
        <f>'HSSA FGD'!$I$47</f>
        <v>0</v>
      </c>
      <c r="J452" s="723">
        <f>'HSSA FGD'!$J$47</f>
        <v>0</v>
      </c>
      <c r="K452" s="723">
        <f>'HSSA FGD'!$K$47</f>
        <v>0</v>
      </c>
      <c r="L452" s="723">
        <f>'HSSA FGD'!$L$47</f>
        <v>0</v>
      </c>
      <c r="M452" s="723">
        <f>'HSSA FGD'!$M$47</f>
        <v>207996481</v>
      </c>
      <c r="N452" s="320"/>
      <c r="O452" s="752"/>
    </row>
    <row r="453" spans="1:15" hidden="1" outlineLevel="1">
      <c r="B453" s="823" t="str">
        <f>'MBG FGD'!$B$2</f>
        <v>The University of Texas Medical Branch at Galveston</v>
      </c>
      <c r="C453" s="771"/>
      <c r="D453" s="723">
        <f>'MBG FGD'!$D$47</f>
        <v>305060</v>
      </c>
      <c r="E453" s="723">
        <f>'MBG FGD'!$E$47</f>
        <v>52886270</v>
      </c>
      <c r="F453" s="723">
        <f>'MBG FGD'!$F$47</f>
        <v>0</v>
      </c>
      <c r="G453" s="723">
        <f>'MBG FGD'!$G$47</f>
        <v>118165667</v>
      </c>
      <c r="H453" s="723">
        <f>'MBG FGD'!$H$47</f>
        <v>0</v>
      </c>
      <c r="I453" s="723">
        <f>'MBG FGD'!$I$47</f>
        <v>0</v>
      </c>
      <c r="J453" s="723">
        <f>'MBG FGD'!$J$47</f>
        <v>7816762</v>
      </c>
      <c r="K453" s="723">
        <f>'MBG FGD'!$K$47</f>
        <v>0</v>
      </c>
      <c r="L453" s="723">
        <f>'MBG FGD'!$L$47</f>
        <v>0</v>
      </c>
      <c r="M453" s="723">
        <f>'MBG FGD'!$M$47</f>
        <v>179173759</v>
      </c>
      <c r="N453" s="320"/>
      <c r="O453" s="752"/>
    </row>
    <row r="454" spans="1:15" hidden="1" outlineLevel="1">
      <c r="B454" s="823" t="str">
        <f>'MDA FGD'!$B$2</f>
        <v>The University of Texas M.D. Anderson Cancer Center</v>
      </c>
      <c r="C454" s="771"/>
      <c r="D454" s="723">
        <f>'MDA FGD'!$D$47</f>
        <v>468024</v>
      </c>
      <c r="E454" s="723">
        <f>'MDA FGD'!$E$47</f>
        <v>110405429</v>
      </c>
      <c r="F454" s="723">
        <f>'MDA FGD'!$F$47</f>
        <v>0</v>
      </c>
      <c r="G454" s="723">
        <f>'MDA FGD'!$G$47</f>
        <v>196031648</v>
      </c>
      <c r="H454" s="723">
        <f>'MDA FGD'!$H$47</f>
        <v>0</v>
      </c>
      <c r="I454" s="723">
        <f>'MDA FGD'!$I$47</f>
        <v>0</v>
      </c>
      <c r="J454" s="723">
        <f>'MDA FGD'!$J$47</f>
        <v>0</v>
      </c>
      <c r="K454" s="723">
        <f>'MDA FGD'!$K$47</f>
        <v>0</v>
      </c>
      <c r="L454" s="723">
        <f>'MDA FGD'!$L$47</f>
        <v>0</v>
      </c>
      <c r="M454" s="723">
        <f>'MDA FGD'!$M$47</f>
        <v>306905101</v>
      </c>
      <c r="N454" s="320"/>
      <c r="O454" s="752"/>
    </row>
    <row r="455" spans="1:15" hidden="1" outlineLevel="1">
      <c r="B455" s="823" t="str">
        <f>'RGVM FGD'!$B$2</f>
        <v>The University of Texas Rio Grande Valley Medical School (M)</v>
      </c>
      <c r="C455" s="771"/>
      <c r="D455" s="723">
        <f>'RGVM FGD'!$D$47</f>
        <v>0</v>
      </c>
      <c r="E455" s="723">
        <f>'RGVM FGD'!$E$47</f>
        <v>0</v>
      </c>
      <c r="F455" s="723">
        <f>'RGVM FGD'!$F$47</f>
        <v>0</v>
      </c>
      <c r="G455" s="723">
        <f>'RGVM FGD'!$G$47</f>
        <v>7981482</v>
      </c>
      <c r="H455" s="723">
        <f>'RGVM FGD'!$H$47</f>
        <v>0</v>
      </c>
      <c r="I455" s="723">
        <f>'RGVM FGD'!$I$47</f>
        <v>0</v>
      </c>
      <c r="J455" s="723">
        <f>'RGVM FGD'!$J$47</f>
        <v>0</v>
      </c>
      <c r="K455" s="723">
        <f>'RGVM FGD'!$K$47</f>
        <v>0</v>
      </c>
      <c r="L455" s="723">
        <f>'RGVM FGD'!$L$47</f>
        <v>0</v>
      </c>
      <c r="M455" s="723">
        <f>'RGVM FGD'!$M$47</f>
        <v>7981482</v>
      </c>
      <c r="N455" s="320"/>
      <c r="O455" s="752"/>
    </row>
    <row r="456" spans="1:15" hidden="1" outlineLevel="1">
      <c r="B456" s="823" t="str">
        <f>'SWM FGD'!$B$2</f>
        <v>The University of Texas Southwestern Medical Center</v>
      </c>
      <c r="C456" s="771"/>
      <c r="D456" s="723">
        <f>'SWM FGD'!$D$47</f>
        <v>0</v>
      </c>
      <c r="E456" s="723">
        <f>'SWM FGD'!$E$47</f>
        <v>117467663</v>
      </c>
      <c r="F456" s="723">
        <f>'SWM FGD'!$F$47</f>
        <v>0</v>
      </c>
      <c r="G456" s="723">
        <f>'SWM FGD'!$G$47</f>
        <v>204993958</v>
      </c>
      <c r="H456" s="723">
        <f>'SWM FGD'!$H$47</f>
        <v>0</v>
      </c>
      <c r="I456" s="723">
        <f>'SWM FGD'!$I$47</f>
        <v>0</v>
      </c>
      <c r="J456" s="723">
        <f>'SWM FGD'!$J$47</f>
        <v>0</v>
      </c>
      <c r="K456" s="723">
        <f>'SWM FGD'!$K$47</f>
        <v>0</v>
      </c>
      <c r="L456" s="723">
        <f>'SWM FGD'!$L$47</f>
        <v>0</v>
      </c>
      <c r="M456" s="723">
        <f>'SWM FGD'!$M$47</f>
        <v>322461621</v>
      </c>
      <c r="N456" s="320"/>
      <c r="O456" s="752"/>
    </row>
    <row r="457" spans="1:15" hidden="1" outlineLevel="1">
      <c r="B457" s="823" t="str">
        <f>'TAMHSC FGD'!$B$2</f>
        <v>Texas A&amp;M University System Health Science Center</v>
      </c>
      <c r="C457" s="771"/>
      <c r="D457" s="723">
        <f>'TAMHSC FGD'!$D$47</f>
        <v>0</v>
      </c>
      <c r="E457" s="723">
        <f>'TAMHSC FGD'!$E$47</f>
        <v>12343413</v>
      </c>
      <c r="F457" s="723">
        <f>'TAMHSC FGD'!$F$47</f>
        <v>0</v>
      </c>
      <c r="G457" s="723">
        <f>'TAMHSC FGD'!$G$47</f>
        <v>72798043</v>
      </c>
      <c r="H457" s="723">
        <f>'TAMHSC FGD'!$H$47</f>
        <v>0</v>
      </c>
      <c r="I457" s="723">
        <f>'TAMHSC FGD'!$I$47</f>
        <v>0</v>
      </c>
      <c r="J457" s="723">
        <f>'TAMHSC FGD'!$J$47</f>
        <v>0</v>
      </c>
      <c r="K457" s="723">
        <f>'TAMHSC FGD'!$K$47</f>
        <v>0</v>
      </c>
      <c r="L457" s="723">
        <f>'TAMHSC FGD'!$L$47</f>
        <v>0</v>
      </c>
      <c r="M457" s="723">
        <f>'TAMHSC FGD'!$M$47</f>
        <v>85141456</v>
      </c>
      <c r="N457" s="320"/>
      <c r="O457" s="752"/>
    </row>
    <row r="458" spans="1:15" hidden="1" outlineLevel="1">
      <c r="B458" s="823" t="str">
        <f>'THC FGD'!$B$2</f>
        <v>The University of Texas Health Science Center at Tyler</v>
      </c>
      <c r="C458" s="771"/>
      <c r="D458" s="723">
        <f>'THC FGD'!$D$47</f>
        <v>0</v>
      </c>
      <c r="E458" s="723">
        <f>'THC FGD'!$E$47</f>
        <v>3005076</v>
      </c>
      <c r="F458" s="723">
        <f>'THC FGD'!$F$47</f>
        <v>0</v>
      </c>
      <c r="G458" s="723">
        <f>'THC FGD'!$G$47</f>
        <v>18485420</v>
      </c>
      <c r="H458" s="723">
        <f>'THC FGD'!$H$47</f>
        <v>0</v>
      </c>
      <c r="I458" s="723">
        <f>'THC FGD'!$I$47</f>
        <v>0</v>
      </c>
      <c r="J458" s="723">
        <f>'THC FGD'!$J$47</f>
        <v>0</v>
      </c>
      <c r="K458" s="723">
        <f>'THC FGD'!$K$47</f>
        <v>0</v>
      </c>
      <c r="L458" s="723">
        <f>'THC FGD'!$L$47</f>
        <v>0</v>
      </c>
      <c r="M458" s="723">
        <f>'THC FGD'!$M$47</f>
        <v>21490496</v>
      </c>
      <c r="N458" s="320"/>
      <c r="O458" s="752"/>
    </row>
    <row r="459" spans="1:15" hidden="1" outlineLevel="1">
      <c r="B459" s="823" t="str">
        <f>'TTUHSC FGD'!$B$2</f>
        <v>Texas Tech University Health Sciences Center</v>
      </c>
      <c r="C459" s="771"/>
      <c r="D459" s="723">
        <f>'TTUHSC FGD'!$D$47</f>
        <v>59479</v>
      </c>
      <c r="E459" s="723">
        <f>'TTUHSC FGD'!$E$47</f>
        <v>914538</v>
      </c>
      <c r="F459" s="723">
        <f>'TTUHSC FGD'!$F$47</f>
        <v>0</v>
      </c>
      <c r="G459" s="723">
        <f>'TTUHSC FGD'!$G$47</f>
        <v>33730160</v>
      </c>
      <c r="H459" s="723">
        <f>'TTUHSC FGD'!$H$47</f>
        <v>0</v>
      </c>
      <c r="I459" s="723">
        <f>'TTUHSC FGD'!$I$47</f>
        <v>0</v>
      </c>
      <c r="J459" s="723">
        <f>'TTUHSC FGD'!$J$47</f>
        <v>0</v>
      </c>
      <c r="K459" s="723">
        <f>'TTUHSC FGD'!$K$47</f>
        <v>0</v>
      </c>
      <c r="L459" s="723">
        <f>'TTUHSC FGD'!$L$47</f>
        <v>0</v>
      </c>
      <c r="M459" s="723">
        <f>'TTUHSC FGD'!$M$47</f>
        <v>34704177</v>
      </c>
      <c r="N459" s="320"/>
      <c r="O459" s="752"/>
    </row>
    <row r="460" spans="1:15" hidden="1" outlineLevel="1">
      <c r="B460" s="823" t="str">
        <f>'TTUHSCEP FGD'!$B$2</f>
        <v>Texas Tech University Health Sciences Center at El Paso</v>
      </c>
      <c r="C460" s="771"/>
      <c r="D460" s="723">
        <f>'TTUHSCEP FGD'!$D$47</f>
        <v>126788</v>
      </c>
      <c r="E460" s="723">
        <f>'TTUHSCEP FGD'!$E$47</f>
        <v>0</v>
      </c>
      <c r="F460" s="723">
        <f>'TTUHSCEP FGD'!$F$47</f>
        <v>0</v>
      </c>
      <c r="G460" s="723">
        <f>'TTUHSCEP FGD'!$G$47</f>
        <v>4270649</v>
      </c>
      <c r="H460" s="723">
        <f>'TTUHSCEP FGD'!$H$47</f>
        <v>0</v>
      </c>
      <c r="I460" s="723">
        <f>'TTUHSCEP FGD'!$I$47</f>
        <v>0</v>
      </c>
      <c r="J460" s="723">
        <f>'TTUHSCEP FGD'!$J$47</f>
        <v>0</v>
      </c>
      <c r="K460" s="723">
        <f>'TTUHSCEP FGD'!$K$47</f>
        <v>0</v>
      </c>
      <c r="L460" s="723">
        <f>'TTUHSCEP FGD'!$L$47</f>
        <v>0</v>
      </c>
      <c r="M460" s="723">
        <f>'TTUHSCEP FGD'!$M$47</f>
        <v>4397437</v>
      </c>
      <c r="N460" s="320"/>
      <c r="O460" s="752"/>
    </row>
    <row r="461" spans="1:15" hidden="1" outlineLevel="1">
      <c r="B461" s="823" t="str">
        <f>'UHM FGD'!$B$2</f>
        <v>University of Houston Medical School (M)</v>
      </c>
      <c r="C461" s="771"/>
      <c r="D461" s="723">
        <f>'UHM FGD'!$D$47</f>
        <v>0</v>
      </c>
      <c r="E461" s="723">
        <f>'UHM FGD'!$E$47</f>
        <v>0</v>
      </c>
      <c r="F461" s="723">
        <f>'UHM FGD'!$F$47</f>
        <v>0</v>
      </c>
      <c r="G461" s="723">
        <f>'UHM FGD'!$G$47</f>
        <v>531356</v>
      </c>
      <c r="H461" s="723">
        <f>'UHM FGD'!$H$47</f>
        <v>0</v>
      </c>
      <c r="I461" s="723">
        <f>'UHM FGD'!$I$47</f>
        <v>0</v>
      </c>
      <c r="J461" s="723">
        <f>'UHM FGD'!$J$47</f>
        <v>0</v>
      </c>
      <c r="K461" s="723">
        <f>'UHM FGD'!$K$47</f>
        <v>0</v>
      </c>
      <c r="L461" s="723">
        <f>'UHM FGD'!$L$47</f>
        <v>0</v>
      </c>
      <c r="M461" s="723">
        <f>'UHM FGD'!$M$47</f>
        <v>531356</v>
      </c>
      <c r="N461" s="320"/>
      <c r="O461" s="752"/>
    </row>
    <row r="462" spans="1:15" hidden="1" outlineLevel="1">
      <c r="B462" s="823" t="str">
        <f>'UNTHSC1 FGD'!$B$2</f>
        <v>University of North Texas Health Science Center at Fort Worth (Public Medical)</v>
      </c>
      <c r="C462" s="771"/>
      <c r="D462" s="723">
        <f>'UNTHSC1 FGD'!$D$47</f>
        <v>0</v>
      </c>
      <c r="E462" s="723">
        <f>'UNTHSC1 FGD'!$E$47</f>
        <v>5131698</v>
      </c>
      <c r="F462" s="723">
        <f>'UNTHSC1 FGD'!$F$47</f>
        <v>0</v>
      </c>
      <c r="G462" s="723">
        <f>'UNTHSC1 FGD'!$G$47</f>
        <v>50130030</v>
      </c>
      <c r="H462" s="723">
        <f>'UNTHSC1 FGD'!$H$47</f>
        <v>0</v>
      </c>
      <c r="I462" s="723">
        <f>'UNTHSC1 FGD'!$I$47</f>
        <v>0</v>
      </c>
      <c r="J462" s="723">
        <f>'UNTHSC1 FGD'!$J$47</f>
        <v>0</v>
      </c>
      <c r="K462" s="723">
        <f>'UNTHSC1 FGD'!$K$47</f>
        <v>0</v>
      </c>
      <c r="L462" s="723">
        <f>'UNTHSC1 FGD'!$L$47</f>
        <v>0</v>
      </c>
      <c r="M462" s="723">
        <f>'UNTHSC1 FGD'!$M$47</f>
        <v>55261728</v>
      </c>
      <c r="N462" s="320"/>
      <c r="O462" s="752"/>
    </row>
    <row r="463" spans="1:15" collapsed="1">
      <c r="A463" s="460">
        <v>30</v>
      </c>
      <c r="B463" s="768" t="s">
        <v>168</v>
      </c>
      <c r="C463" s="768"/>
      <c r="D463" s="815">
        <f t="shared" ref="D463:M463" si="31">SUM(D450:D462)</f>
        <v>959351</v>
      </c>
      <c r="E463" s="815">
        <f t="shared" si="31"/>
        <v>419323919</v>
      </c>
      <c r="F463" s="815">
        <f t="shared" si="31"/>
        <v>0</v>
      </c>
      <c r="G463" s="815">
        <f t="shared" si="31"/>
        <v>1059886530</v>
      </c>
      <c r="H463" s="815">
        <f t="shared" si="31"/>
        <v>0</v>
      </c>
      <c r="I463" s="815">
        <f t="shared" si="31"/>
        <v>0</v>
      </c>
      <c r="J463" s="815">
        <f t="shared" si="31"/>
        <v>7816762</v>
      </c>
      <c r="K463" s="815">
        <f t="shared" si="31"/>
        <v>0</v>
      </c>
      <c r="L463" s="815">
        <f t="shared" si="31"/>
        <v>0</v>
      </c>
      <c r="M463" s="769">
        <f t="shared" si="31"/>
        <v>1487986562</v>
      </c>
      <c r="N463" s="320"/>
      <c r="O463" s="322" t="str">
        <f>IF(M463&lt;&gt;M1091,"Error","OK")</f>
        <v>OK</v>
      </c>
    </row>
    <row r="464" spans="1:15">
      <c r="A464" s="460">
        <v>31</v>
      </c>
      <c r="D464" s="723"/>
      <c r="E464" s="723"/>
      <c r="F464" s="723"/>
      <c r="G464" s="723"/>
      <c r="H464" s="723"/>
      <c r="I464" s="723"/>
      <c r="J464" s="723"/>
      <c r="K464" s="723"/>
      <c r="L464" s="723"/>
      <c r="M464" s="723"/>
    </row>
    <row r="465" spans="1:15">
      <c r="A465" s="460">
        <v>32</v>
      </c>
      <c r="B465" s="771" t="s">
        <v>163</v>
      </c>
      <c r="C465" s="771"/>
      <c r="D465" s="723"/>
      <c r="E465" s="723"/>
      <c r="F465" s="723"/>
      <c r="G465" s="723"/>
      <c r="H465" s="723"/>
      <c r="I465" s="723"/>
      <c r="J465" s="723"/>
      <c r="K465" s="723"/>
      <c r="L465" s="723"/>
      <c r="M465" s="723"/>
    </row>
    <row r="466" spans="1:15" hidden="1" outlineLevel="1">
      <c r="B466" s="823" t="str">
        <f>'AUSM FGD'!$B$2</f>
        <v>The University of Texas at Austin Medical School (M)</v>
      </c>
      <c r="C466" s="771"/>
      <c r="D466" s="723">
        <f>'AUSM FGD'!$D$50</f>
        <v>0</v>
      </c>
      <c r="E466" s="723">
        <f>'AUSM FGD'!$E$50</f>
        <v>12639757</v>
      </c>
      <c r="F466" s="723">
        <f>'AUSM FGD'!$F$50</f>
        <v>0</v>
      </c>
      <c r="G466" s="723">
        <f>'AUSM FGD'!$G$50</f>
        <v>0</v>
      </c>
      <c r="H466" s="723">
        <f>'AUSM FGD'!$H$50</f>
        <v>0</v>
      </c>
      <c r="I466" s="723">
        <f>'AUSM FGD'!$I$50</f>
        <v>0</v>
      </c>
      <c r="J466" s="723">
        <f>'AUSM FGD'!$J$50</f>
        <v>0</v>
      </c>
      <c r="K466" s="723">
        <f>'AUSM FGD'!$K$50</f>
        <v>0</v>
      </c>
      <c r="L466" s="723">
        <f>'AUSM FGD'!$L$50</f>
        <v>0</v>
      </c>
      <c r="M466" s="723">
        <f>'AUSM FGD'!$M$50</f>
        <v>12639757</v>
      </c>
    </row>
    <row r="467" spans="1:15" hidden="1" outlineLevel="1">
      <c r="B467" s="823" t="str">
        <f>'HSH FGD'!$B$2</f>
        <v>The University of Texas Health Science Center at Houston</v>
      </c>
      <c r="C467" s="771"/>
      <c r="D467" s="723">
        <f>'HSH FGD'!$D$50</f>
        <v>0</v>
      </c>
      <c r="E467" s="723">
        <f>'HSH FGD'!$E$50</f>
        <v>456328123</v>
      </c>
      <c r="F467" s="723">
        <f>'HSH FGD'!$F$50</f>
        <v>0</v>
      </c>
      <c r="G467" s="723">
        <f>'HSH FGD'!$G$50</f>
        <v>0</v>
      </c>
      <c r="H467" s="723">
        <f>'HSH FGD'!$H$50</f>
        <v>0</v>
      </c>
      <c r="I467" s="723">
        <f>'HSH FGD'!$I$50</f>
        <v>0</v>
      </c>
      <c r="J467" s="723">
        <f>'HSH FGD'!$J$50</f>
        <v>0</v>
      </c>
      <c r="K467" s="723">
        <f>'HSH FGD'!$K$50</f>
        <v>0</v>
      </c>
      <c r="L467" s="723">
        <f>'HSH FGD'!$L$50</f>
        <v>0</v>
      </c>
      <c r="M467" s="723">
        <f>'HSH FGD'!$M$50</f>
        <v>456328123</v>
      </c>
    </row>
    <row r="468" spans="1:15" hidden="1" outlineLevel="1">
      <c r="B468" s="823" t="str">
        <f>'HSSA FGD'!$B$2</f>
        <v>The University of Texas Health Science Center at San Antonio</v>
      </c>
      <c r="C468" s="771"/>
      <c r="D468" s="723">
        <f>'HSSA FGD'!$D$50</f>
        <v>0</v>
      </c>
      <c r="E468" s="723">
        <f>'HSSA FGD'!$E$50</f>
        <v>332331158</v>
      </c>
      <c r="F468" s="723">
        <f>'HSSA FGD'!$F$50</f>
        <v>0</v>
      </c>
      <c r="G468" s="723">
        <f>'HSSA FGD'!$G$50</f>
        <v>0</v>
      </c>
      <c r="H468" s="723">
        <f>'HSSA FGD'!$H$50</f>
        <v>0</v>
      </c>
      <c r="I468" s="723">
        <f>'HSSA FGD'!$I$50</f>
        <v>0</v>
      </c>
      <c r="J468" s="723">
        <f>'HSSA FGD'!$J$50</f>
        <v>0</v>
      </c>
      <c r="K468" s="723">
        <f>'HSSA FGD'!$K$50</f>
        <v>0</v>
      </c>
      <c r="L468" s="723">
        <f>'HSSA FGD'!$L$50</f>
        <v>0</v>
      </c>
      <c r="M468" s="723">
        <f>'HSSA FGD'!$M$50</f>
        <v>332331158</v>
      </c>
    </row>
    <row r="469" spans="1:15" hidden="1" outlineLevel="1">
      <c r="B469" s="823" t="str">
        <f>'MBG FGD'!$B$2</f>
        <v>The University of Texas Medical Branch at Galveston</v>
      </c>
      <c r="C469" s="771"/>
      <c r="D469" s="723">
        <f>'MBG FGD'!$D$50</f>
        <v>0</v>
      </c>
      <c r="E469" s="723">
        <f>'MBG FGD'!$E$50</f>
        <v>256863176</v>
      </c>
      <c r="F469" s="723">
        <f>'MBG FGD'!$F$50</f>
        <v>0</v>
      </c>
      <c r="G469" s="723">
        <f>'MBG FGD'!$G$50</f>
        <v>0</v>
      </c>
      <c r="H469" s="723">
        <f>'MBG FGD'!$H$50</f>
        <v>0</v>
      </c>
      <c r="I469" s="723">
        <f>'MBG FGD'!$I$50</f>
        <v>0</v>
      </c>
      <c r="J469" s="723">
        <f>'MBG FGD'!$J$50</f>
        <v>0</v>
      </c>
      <c r="K469" s="723">
        <f>'MBG FGD'!$K$50</f>
        <v>0</v>
      </c>
      <c r="L469" s="723">
        <f>'MBG FGD'!$L$50</f>
        <v>0</v>
      </c>
      <c r="M469" s="723">
        <f>'MBG FGD'!$M$50</f>
        <v>256863176</v>
      </c>
    </row>
    <row r="470" spans="1:15" hidden="1" outlineLevel="1">
      <c r="B470" s="823" t="str">
        <f>'MDA FGD'!$B$2</f>
        <v>The University of Texas M.D. Anderson Cancer Center</v>
      </c>
      <c r="C470" s="771"/>
      <c r="D470" s="723">
        <f>'MDA FGD'!$D$50</f>
        <v>0</v>
      </c>
      <c r="E470" s="723">
        <f>'MDA FGD'!$E$50</f>
        <v>446606991</v>
      </c>
      <c r="F470" s="723">
        <f>'MDA FGD'!$F$50</f>
        <v>0</v>
      </c>
      <c r="G470" s="723">
        <f>'MDA FGD'!$G$50</f>
        <v>0</v>
      </c>
      <c r="H470" s="723">
        <f>'MDA FGD'!$H$50</f>
        <v>0</v>
      </c>
      <c r="I470" s="723">
        <f>'MDA FGD'!$I$50</f>
        <v>0</v>
      </c>
      <c r="J470" s="723">
        <f>'MDA FGD'!$J$50</f>
        <v>0</v>
      </c>
      <c r="K470" s="723">
        <f>'MDA FGD'!$K$50</f>
        <v>0</v>
      </c>
      <c r="L470" s="723">
        <f>'MDA FGD'!$L$50</f>
        <v>0</v>
      </c>
      <c r="M470" s="723">
        <f>'MDA FGD'!$M$50</f>
        <v>446606991</v>
      </c>
    </row>
    <row r="471" spans="1:15" hidden="1" outlineLevel="1">
      <c r="B471" s="823" t="str">
        <f>'RGVM FGD'!$B$2</f>
        <v>The University of Texas Rio Grande Valley Medical School (M)</v>
      </c>
      <c r="C471" s="771"/>
      <c r="D471" s="723">
        <f>'RGVM FGD'!$D$50</f>
        <v>0</v>
      </c>
      <c r="E471" s="723">
        <f>'RGVM FGD'!$E$50</f>
        <v>19204472</v>
      </c>
      <c r="F471" s="723">
        <f>'RGVM FGD'!$F$50</f>
        <v>0</v>
      </c>
      <c r="G471" s="723">
        <f>'RGVM FGD'!$G$50</f>
        <v>0</v>
      </c>
      <c r="H471" s="723">
        <f>'RGVM FGD'!$H$50</f>
        <v>0</v>
      </c>
      <c r="I471" s="723">
        <f>'RGVM FGD'!$I$50</f>
        <v>0</v>
      </c>
      <c r="J471" s="723">
        <f>'RGVM FGD'!$J$50</f>
        <v>0</v>
      </c>
      <c r="K471" s="723">
        <f>'RGVM FGD'!$K$50</f>
        <v>0</v>
      </c>
      <c r="L471" s="723">
        <f>'RGVM FGD'!$L$50</f>
        <v>0</v>
      </c>
      <c r="M471" s="723">
        <f>'RGVM FGD'!$M$50</f>
        <v>19204472</v>
      </c>
    </row>
    <row r="472" spans="1:15" hidden="1" outlineLevel="1">
      <c r="B472" s="823" t="str">
        <f>'SWM FGD'!$B$2</f>
        <v>The University of Texas Southwestern Medical Center</v>
      </c>
      <c r="C472" s="771"/>
      <c r="D472" s="723">
        <f>'SWM FGD'!$D$50</f>
        <v>0</v>
      </c>
      <c r="E472" s="723">
        <f>'SWM FGD'!$E$50</f>
        <v>811029427</v>
      </c>
      <c r="F472" s="723">
        <f>'SWM FGD'!$F$50</f>
        <v>0</v>
      </c>
      <c r="G472" s="723">
        <f>'SWM FGD'!$G$50</f>
        <v>0</v>
      </c>
      <c r="H472" s="723">
        <f>'SWM FGD'!$H$50</f>
        <v>0</v>
      </c>
      <c r="I472" s="723">
        <f>'SWM FGD'!$I$50</f>
        <v>0</v>
      </c>
      <c r="J472" s="723">
        <f>'SWM FGD'!$J$50</f>
        <v>0</v>
      </c>
      <c r="K472" s="723">
        <f>'SWM FGD'!$K$50</f>
        <v>0</v>
      </c>
      <c r="L472" s="723">
        <f>'SWM FGD'!$L$50</f>
        <v>0</v>
      </c>
      <c r="M472" s="723">
        <f>'SWM FGD'!$M$50</f>
        <v>811029427</v>
      </c>
    </row>
    <row r="473" spans="1:15" hidden="1" outlineLevel="1">
      <c r="B473" s="823" t="str">
        <f>'TAMHSC FGD'!$B$2</f>
        <v>Texas A&amp;M University System Health Science Center</v>
      </c>
      <c r="C473" s="771"/>
      <c r="D473" s="723">
        <f>'TAMHSC FGD'!$D$50</f>
        <v>0</v>
      </c>
      <c r="E473" s="723">
        <f>'TAMHSC FGD'!$E$50</f>
        <v>1073754</v>
      </c>
      <c r="F473" s="723">
        <f>'TAMHSC FGD'!$F$50</f>
        <v>0</v>
      </c>
      <c r="G473" s="723">
        <f>'TAMHSC FGD'!$G$50</f>
        <v>0</v>
      </c>
      <c r="H473" s="723">
        <f>'TAMHSC FGD'!$H$50</f>
        <v>0</v>
      </c>
      <c r="I473" s="723">
        <f>'TAMHSC FGD'!$I$50</f>
        <v>0</v>
      </c>
      <c r="J473" s="723">
        <f>'TAMHSC FGD'!$J$50</f>
        <v>0</v>
      </c>
      <c r="K473" s="723">
        <f>'TAMHSC FGD'!$K$50</f>
        <v>0</v>
      </c>
      <c r="L473" s="723">
        <f>'TAMHSC FGD'!$L$50</f>
        <v>0</v>
      </c>
      <c r="M473" s="723">
        <f>'TAMHSC FGD'!$M$50</f>
        <v>1073754</v>
      </c>
    </row>
    <row r="474" spans="1:15" hidden="1" outlineLevel="1">
      <c r="B474" s="823" t="str">
        <f>'THC FGD'!$B$2</f>
        <v>The University of Texas Health Science Center at Tyler</v>
      </c>
      <c r="C474" s="771"/>
      <c r="D474" s="723">
        <f>'THC FGD'!$D$50</f>
        <v>0</v>
      </c>
      <c r="E474" s="723">
        <f>'THC FGD'!$E$50</f>
        <v>19660488</v>
      </c>
      <c r="F474" s="723">
        <f>'THC FGD'!$F$50</f>
        <v>0</v>
      </c>
      <c r="G474" s="723">
        <f>'THC FGD'!$G$50</f>
        <v>0</v>
      </c>
      <c r="H474" s="723">
        <f>'THC FGD'!$H$50</f>
        <v>0</v>
      </c>
      <c r="I474" s="723">
        <f>'THC FGD'!$I$50</f>
        <v>0</v>
      </c>
      <c r="J474" s="723">
        <f>'THC FGD'!$J$50</f>
        <v>0</v>
      </c>
      <c r="K474" s="723">
        <f>'THC FGD'!$K$50</f>
        <v>0</v>
      </c>
      <c r="L474" s="723">
        <f>'THC FGD'!$L$50</f>
        <v>0</v>
      </c>
      <c r="M474" s="723">
        <f>'THC FGD'!$M$50</f>
        <v>19660488</v>
      </c>
    </row>
    <row r="475" spans="1:15" hidden="1" outlineLevel="1">
      <c r="B475" s="823" t="str">
        <f>'TTUHSC FGD'!$B$2</f>
        <v>Texas Tech University Health Sciences Center</v>
      </c>
      <c r="C475" s="771"/>
      <c r="D475" s="723">
        <f>'TTUHSC FGD'!$D$50</f>
        <v>0</v>
      </c>
      <c r="E475" s="723">
        <f>'TTUHSC FGD'!$E$50</f>
        <v>128154410</v>
      </c>
      <c r="F475" s="723">
        <f>'TTUHSC FGD'!$F$50</f>
        <v>0</v>
      </c>
      <c r="G475" s="723">
        <f>'TTUHSC FGD'!$G$50</f>
        <v>119656862</v>
      </c>
      <c r="H475" s="723">
        <f>'TTUHSC FGD'!$H$50</f>
        <v>0</v>
      </c>
      <c r="I475" s="723">
        <f>'TTUHSC FGD'!$I$50</f>
        <v>0</v>
      </c>
      <c r="J475" s="723">
        <f>'TTUHSC FGD'!$J$50</f>
        <v>0</v>
      </c>
      <c r="K475" s="723">
        <f>'TTUHSC FGD'!$K$50</f>
        <v>0</v>
      </c>
      <c r="L475" s="723">
        <f>'TTUHSC FGD'!$L$50</f>
        <v>0</v>
      </c>
      <c r="M475" s="723">
        <f>'TTUHSC FGD'!$M$50</f>
        <v>247811272</v>
      </c>
    </row>
    <row r="476" spans="1:15" hidden="1" outlineLevel="1">
      <c r="B476" s="823" t="str">
        <f>'TTUHSCEP FGD'!$B$2</f>
        <v>Texas Tech University Health Sciences Center at El Paso</v>
      </c>
      <c r="C476" s="771"/>
      <c r="D476" s="723">
        <f>'TTUHSCEP FGD'!$D$50</f>
        <v>0</v>
      </c>
      <c r="E476" s="723">
        <f>'TTUHSCEP FGD'!$E$50</f>
        <v>57620664</v>
      </c>
      <c r="F476" s="723">
        <f>'TTUHSCEP FGD'!$F$50</f>
        <v>0</v>
      </c>
      <c r="G476" s="723">
        <f>'TTUHSCEP FGD'!$G$50</f>
        <v>0</v>
      </c>
      <c r="H476" s="723">
        <f>'TTUHSCEP FGD'!$H$50</f>
        <v>0</v>
      </c>
      <c r="I476" s="723">
        <f>'TTUHSCEP FGD'!$I$50</f>
        <v>0</v>
      </c>
      <c r="J476" s="723">
        <f>'TTUHSCEP FGD'!$J$50</f>
        <v>0</v>
      </c>
      <c r="K476" s="723">
        <f>'TTUHSCEP FGD'!$K$50</f>
        <v>0</v>
      </c>
      <c r="L476" s="723">
        <f>'TTUHSCEP FGD'!$L$50</f>
        <v>0</v>
      </c>
      <c r="M476" s="723">
        <f>'TTUHSCEP FGD'!$M$50</f>
        <v>57620664</v>
      </c>
    </row>
    <row r="477" spans="1:15" hidden="1" outlineLevel="1">
      <c r="B477" s="823" t="str">
        <f>'UHM FGD'!$B$2</f>
        <v>University of Houston Medical School (M)</v>
      </c>
      <c r="C477" s="771"/>
      <c r="D477" s="723">
        <f>'UHM FGD'!$D$50</f>
        <v>0</v>
      </c>
      <c r="E477" s="723">
        <f>'UHM FGD'!$E$50</f>
        <v>0</v>
      </c>
      <c r="F477" s="723">
        <f>'UHM FGD'!$F$50</f>
        <v>0</v>
      </c>
      <c r="G477" s="723">
        <f>'UHM FGD'!$G$50</f>
        <v>0</v>
      </c>
      <c r="H477" s="723">
        <f>'UHM FGD'!$H$50</f>
        <v>0</v>
      </c>
      <c r="I477" s="723">
        <f>'UHM FGD'!$I$50</f>
        <v>0</v>
      </c>
      <c r="J477" s="723">
        <f>'UHM FGD'!$J$50</f>
        <v>0</v>
      </c>
      <c r="K477" s="723">
        <f>'UHM FGD'!$K$50</f>
        <v>0</v>
      </c>
      <c r="L477" s="723">
        <f>'UHM FGD'!$L$50</f>
        <v>0</v>
      </c>
      <c r="M477" s="723">
        <f>'UHM FGD'!$M$50</f>
        <v>0</v>
      </c>
    </row>
    <row r="478" spans="1:15" hidden="1" outlineLevel="1">
      <c r="B478" s="823" t="str">
        <f>'UNTHSC1 FGD'!$B$2</f>
        <v>University of North Texas Health Science Center at Fort Worth (Public Medical)</v>
      </c>
      <c r="C478" s="771"/>
      <c r="D478" s="723">
        <f>'UNTHSC1 FGD'!$D$50</f>
        <v>0</v>
      </c>
      <c r="E478" s="723">
        <f>'UNTHSC1 FGD'!$E$50</f>
        <v>12885666</v>
      </c>
      <c r="F478" s="723">
        <f>'UNTHSC1 FGD'!$F$50</f>
        <v>0</v>
      </c>
      <c r="G478" s="723">
        <f>'UNTHSC1 FGD'!$G$50</f>
        <v>0</v>
      </c>
      <c r="H478" s="723">
        <f>'UNTHSC1 FGD'!$H$50</f>
        <v>0</v>
      </c>
      <c r="I478" s="723">
        <f>'UNTHSC1 FGD'!$I$50</f>
        <v>0</v>
      </c>
      <c r="J478" s="723">
        <f>'UNTHSC1 FGD'!$J$50</f>
        <v>0</v>
      </c>
      <c r="K478" s="723">
        <f>'UNTHSC1 FGD'!$K$50</f>
        <v>0</v>
      </c>
      <c r="L478" s="723">
        <f>'UNTHSC1 FGD'!$L$50</f>
        <v>0</v>
      </c>
      <c r="M478" s="723">
        <f>'UNTHSC1 FGD'!$M$50</f>
        <v>12885666</v>
      </c>
    </row>
    <row r="479" spans="1:15" collapsed="1">
      <c r="A479" s="460">
        <v>33</v>
      </c>
      <c r="B479" s="768" t="s">
        <v>200</v>
      </c>
      <c r="C479" s="768"/>
      <c r="D479" s="815">
        <f t="shared" ref="D479:M479" si="32">SUM(D466:D478)</f>
        <v>0</v>
      </c>
      <c r="E479" s="815">
        <f t="shared" si="32"/>
        <v>2554398086</v>
      </c>
      <c r="F479" s="815">
        <f t="shared" si="32"/>
        <v>0</v>
      </c>
      <c r="G479" s="815">
        <f t="shared" si="32"/>
        <v>119656862</v>
      </c>
      <c r="H479" s="815">
        <f t="shared" si="32"/>
        <v>0</v>
      </c>
      <c r="I479" s="815">
        <f t="shared" si="32"/>
        <v>0</v>
      </c>
      <c r="J479" s="815">
        <f t="shared" si="32"/>
        <v>0</v>
      </c>
      <c r="K479" s="815">
        <f t="shared" si="32"/>
        <v>0</v>
      </c>
      <c r="L479" s="815">
        <f t="shared" si="32"/>
        <v>0</v>
      </c>
      <c r="M479" s="769">
        <f t="shared" si="32"/>
        <v>2674054948</v>
      </c>
      <c r="O479" s="322" t="str">
        <f>IF(M479&lt;&gt;M1094,"Error","OK")</f>
        <v>OK</v>
      </c>
    </row>
    <row r="480" spans="1:15">
      <c r="A480" s="460">
        <v>34</v>
      </c>
      <c r="D480" s="723"/>
      <c r="E480" s="723"/>
      <c r="F480" s="723"/>
      <c r="G480" s="723"/>
      <c r="H480" s="723"/>
      <c r="I480" s="723"/>
      <c r="J480" s="723"/>
      <c r="K480" s="723"/>
      <c r="L480" s="723"/>
      <c r="M480" s="723"/>
    </row>
    <row r="481" spans="1:15">
      <c r="A481" s="460">
        <v>35</v>
      </c>
      <c r="B481" s="771" t="s">
        <v>164</v>
      </c>
      <c r="C481" s="771"/>
      <c r="D481" s="723"/>
      <c r="E481" s="723"/>
      <c r="F481" s="723"/>
      <c r="G481" s="723"/>
      <c r="H481" s="723"/>
      <c r="I481" s="723"/>
      <c r="J481" s="723"/>
      <c r="K481" s="723"/>
      <c r="L481" s="723"/>
      <c r="M481" s="723"/>
    </row>
    <row r="482" spans="1:15" hidden="1" outlineLevel="1">
      <c r="B482" s="823" t="str">
        <f>'AUSM FGD'!$B$2</f>
        <v>The University of Texas at Austin Medical School (M)</v>
      </c>
      <c r="C482" s="771"/>
      <c r="D482" s="723">
        <f>'AUSM FGD'!$D$53</f>
        <v>0</v>
      </c>
      <c r="E482" s="723">
        <f>'AUSM FGD'!$E$53</f>
        <v>1459467</v>
      </c>
      <c r="F482" s="723">
        <f>'AUSM FGD'!$F$53</f>
        <v>0</v>
      </c>
      <c r="G482" s="723">
        <f>'AUSM FGD'!$G$53</f>
        <v>0</v>
      </c>
      <c r="H482" s="723">
        <f>'AUSM FGD'!$H$53</f>
        <v>0</v>
      </c>
      <c r="I482" s="723">
        <f>'AUSM FGD'!$I$53</f>
        <v>0</v>
      </c>
      <c r="J482" s="723">
        <f>'AUSM FGD'!$J$53</f>
        <v>0</v>
      </c>
      <c r="K482" s="723">
        <f>'AUSM FGD'!$K$53</f>
        <v>0</v>
      </c>
      <c r="L482" s="723">
        <f>'AUSM FGD'!$L$53</f>
        <v>0</v>
      </c>
      <c r="M482" s="723">
        <f>'AUSM FGD'!$M$53</f>
        <v>1459467</v>
      </c>
    </row>
    <row r="483" spans="1:15" hidden="1" outlineLevel="1">
      <c r="B483" s="823" t="str">
        <f>'HSH FGD'!$B$2</f>
        <v>The University of Texas Health Science Center at Houston</v>
      </c>
      <c r="C483" s="771"/>
      <c r="D483" s="723">
        <f>'HSH FGD'!$D$53</f>
        <v>65848333</v>
      </c>
      <c r="E483" s="723">
        <f>'HSH FGD'!$E$53</f>
        <v>30989328</v>
      </c>
      <c r="F483" s="723">
        <f>'HSH FGD'!$F$53</f>
        <v>0</v>
      </c>
      <c r="G483" s="723">
        <f>'HSH FGD'!$G$53</f>
        <v>0</v>
      </c>
      <c r="H483" s="723">
        <f>'HSH FGD'!$H$53</f>
        <v>0</v>
      </c>
      <c r="I483" s="723">
        <f>'HSH FGD'!$I$53</f>
        <v>0</v>
      </c>
      <c r="J483" s="723">
        <f>'HSH FGD'!$J$53</f>
        <v>0</v>
      </c>
      <c r="K483" s="723">
        <f>'HSH FGD'!$K$53</f>
        <v>0</v>
      </c>
      <c r="L483" s="723">
        <f>'HSH FGD'!$L$53</f>
        <v>0</v>
      </c>
      <c r="M483" s="723">
        <f>'HSH FGD'!$M$53</f>
        <v>96837661</v>
      </c>
    </row>
    <row r="484" spans="1:15" hidden="1" outlineLevel="1">
      <c r="B484" s="823" t="str">
        <f>'HSSA FGD'!$B$2</f>
        <v>The University of Texas Health Science Center at San Antonio</v>
      </c>
      <c r="C484" s="771"/>
      <c r="D484" s="723">
        <f>'HSSA FGD'!$D$53</f>
        <v>0</v>
      </c>
      <c r="E484" s="723">
        <f>'HSSA FGD'!$E$53</f>
        <v>0</v>
      </c>
      <c r="F484" s="723">
        <f>'HSSA FGD'!$F$53</f>
        <v>0</v>
      </c>
      <c r="G484" s="723">
        <f>'HSSA FGD'!$G$53</f>
        <v>0</v>
      </c>
      <c r="H484" s="723">
        <f>'HSSA FGD'!$H$53</f>
        <v>0</v>
      </c>
      <c r="I484" s="723">
        <f>'HSSA FGD'!$I$53</f>
        <v>0</v>
      </c>
      <c r="J484" s="723">
        <f>'HSSA FGD'!$J$53</f>
        <v>0</v>
      </c>
      <c r="K484" s="723">
        <f>'HSSA FGD'!$K$53</f>
        <v>0</v>
      </c>
      <c r="L484" s="723">
        <f>'HSSA FGD'!$L$53</f>
        <v>0</v>
      </c>
      <c r="M484" s="723">
        <f>'HSSA FGD'!$M$53</f>
        <v>0</v>
      </c>
    </row>
    <row r="485" spans="1:15" hidden="1" outlineLevel="1">
      <c r="B485" s="823" t="str">
        <f>'MBG FGD'!$B$2</f>
        <v>The University of Texas Medical Branch at Galveston</v>
      </c>
      <c r="C485" s="771"/>
      <c r="D485" s="723">
        <f>'MBG FGD'!$D$53</f>
        <v>760562421</v>
      </c>
      <c r="E485" s="723">
        <f>'MBG FGD'!$E$53</f>
        <v>778167104</v>
      </c>
      <c r="F485" s="723">
        <f>'MBG FGD'!$F$53</f>
        <v>0</v>
      </c>
      <c r="G485" s="723">
        <f>'MBG FGD'!$G$53</f>
        <v>0</v>
      </c>
      <c r="H485" s="723">
        <f>'MBG FGD'!$H$53</f>
        <v>0</v>
      </c>
      <c r="I485" s="723">
        <f>'MBG FGD'!$I$53</f>
        <v>0</v>
      </c>
      <c r="J485" s="723">
        <f>'MBG FGD'!$J$53</f>
        <v>0</v>
      </c>
      <c r="K485" s="723">
        <f>'MBG FGD'!$K$53</f>
        <v>0</v>
      </c>
      <c r="L485" s="723">
        <f>'MBG FGD'!$L$53</f>
        <v>0</v>
      </c>
      <c r="M485" s="723">
        <f>'MBG FGD'!$M$53</f>
        <v>1538729525</v>
      </c>
    </row>
    <row r="486" spans="1:15" hidden="1" outlineLevel="1">
      <c r="B486" s="823" t="str">
        <f>'MDA FGD'!$B$2</f>
        <v>The University of Texas M.D. Anderson Cancer Center</v>
      </c>
      <c r="C486" s="771"/>
      <c r="D486" s="723">
        <f>'MDA FGD'!$D$53</f>
        <v>4849724589</v>
      </c>
      <c r="E486" s="723">
        <f>'MDA FGD'!$E$53</f>
        <v>0</v>
      </c>
      <c r="F486" s="723">
        <f>'MDA FGD'!$F$53</f>
        <v>0</v>
      </c>
      <c r="G486" s="723">
        <f>'MDA FGD'!$G$53</f>
        <v>0</v>
      </c>
      <c r="H486" s="723">
        <f>'MDA FGD'!$H$53</f>
        <v>0</v>
      </c>
      <c r="I486" s="723">
        <f>'MDA FGD'!$I$53</f>
        <v>0</v>
      </c>
      <c r="J486" s="723">
        <f>'MDA FGD'!$J$53</f>
        <v>0</v>
      </c>
      <c r="K486" s="723">
        <f>'MDA FGD'!$K$53</f>
        <v>0</v>
      </c>
      <c r="L486" s="723">
        <f>'MDA FGD'!$L$53</f>
        <v>0</v>
      </c>
      <c r="M486" s="723">
        <f>'MDA FGD'!$M$53</f>
        <v>4849724589</v>
      </c>
    </row>
    <row r="487" spans="1:15" hidden="1" outlineLevel="1">
      <c r="B487" s="823" t="str">
        <f>'RGVM FGD'!$B$2</f>
        <v>The University of Texas Rio Grande Valley Medical School (M)</v>
      </c>
      <c r="C487" s="771"/>
      <c r="D487" s="723">
        <f>'RGVM FGD'!$D$53</f>
        <v>0</v>
      </c>
      <c r="E487" s="723">
        <f>'RGVM FGD'!$E$53</f>
        <v>0</v>
      </c>
      <c r="F487" s="723">
        <f>'RGVM FGD'!$F$53</f>
        <v>0</v>
      </c>
      <c r="G487" s="723">
        <f>'RGVM FGD'!$G$53</f>
        <v>0</v>
      </c>
      <c r="H487" s="723">
        <f>'RGVM FGD'!$H$53</f>
        <v>0</v>
      </c>
      <c r="I487" s="723">
        <f>'RGVM FGD'!$I$53</f>
        <v>0</v>
      </c>
      <c r="J487" s="723">
        <f>'RGVM FGD'!$J$53</f>
        <v>0</v>
      </c>
      <c r="K487" s="723">
        <f>'RGVM FGD'!$K$53</f>
        <v>0</v>
      </c>
      <c r="L487" s="723">
        <f>'RGVM FGD'!$L$53</f>
        <v>0</v>
      </c>
      <c r="M487" s="723">
        <f>'RGVM FGD'!$M$53</f>
        <v>0</v>
      </c>
    </row>
    <row r="488" spans="1:15" hidden="1" outlineLevel="1">
      <c r="B488" s="823" t="str">
        <f>'SWM FGD'!$B$2</f>
        <v>The University of Texas Southwestern Medical Center</v>
      </c>
      <c r="C488" s="771"/>
      <c r="D488" s="723">
        <f>'SWM FGD'!$D$53</f>
        <v>0</v>
      </c>
      <c r="E488" s="723">
        <f>'SWM FGD'!$E$53</f>
        <v>2096225524</v>
      </c>
      <c r="F488" s="723">
        <f>'SWM FGD'!$F$53</f>
        <v>0</v>
      </c>
      <c r="G488" s="723">
        <f>'SWM FGD'!$G$53</f>
        <v>0</v>
      </c>
      <c r="H488" s="723">
        <f>'SWM FGD'!$H$53</f>
        <v>0</v>
      </c>
      <c r="I488" s="723">
        <f>'SWM FGD'!$I$53</f>
        <v>0</v>
      </c>
      <c r="J488" s="723">
        <f>'SWM FGD'!$J$53</f>
        <v>0</v>
      </c>
      <c r="K488" s="723">
        <f>'SWM FGD'!$K$53</f>
        <v>0</v>
      </c>
      <c r="L488" s="723">
        <f>'SWM FGD'!$L$53</f>
        <v>0</v>
      </c>
      <c r="M488" s="723">
        <f>'SWM FGD'!$M$53</f>
        <v>2096225524</v>
      </c>
    </row>
    <row r="489" spans="1:15" hidden="1" outlineLevel="1">
      <c r="B489" s="823" t="str">
        <f>'TAMHSC FGD'!$B$2</f>
        <v>Texas A&amp;M University System Health Science Center</v>
      </c>
      <c r="C489" s="771"/>
      <c r="D489" s="723">
        <f>'TAMHSC FGD'!$D$53</f>
        <v>0</v>
      </c>
      <c r="E489" s="723">
        <f>'TAMHSC FGD'!$E$53</f>
        <v>0</v>
      </c>
      <c r="F489" s="723">
        <f>'TAMHSC FGD'!$F$53</f>
        <v>0</v>
      </c>
      <c r="G489" s="723">
        <f>'TAMHSC FGD'!$G$53</f>
        <v>0</v>
      </c>
      <c r="H489" s="723">
        <f>'TAMHSC FGD'!$H$53</f>
        <v>0</v>
      </c>
      <c r="I489" s="723">
        <f>'TAMHSC FGD'!$I$53</f>
        <v>0</v>
      </c>
      <c r="J489" s="723">
        <f>'TAMHSC FGD'!$J$53</f>
        <v>0</v>
      </c>
      <c r="K489" s="723">
        <f>'TAMHSC FGD'!$K$53</f>
        <v>0</v>
      </c>
      <c r="L489" s="723">
        <f>'TAMHSC FGD'!$L$53</f>
        <v>0</v>
      </c>
      <c r="M489" s="723">
        <f>'TAMHSC FGD'!$M$53</f>
        <v>0</v>
      </c>
    </row>
    <row r="490" spans="1:15" hidden="1" outlineLevel="1">
      <c r="B490" s="823" t="str">
        <f>'THC FGD'!$B$2</f>
        <v>The University of Texas Health Science Center at Tyler</v>
      </c>
      <c r="C490" s="771"/>
      <c r="D490" s="723">
        <f>'THC FGD'!$D$53</f>
        <v>154142258</v>
      </c>
      <c r="E490" s="723">
        <f>'THC FGD'!$E$53</f>
        <v>0</v>
      </c>
      <c r="F490" s="723">
        <f>'THC FGD'!$F$53</f>
        <v>0</v>
      </c>
      <c r="G490" s="723">
        <f>'THC FGD'!$G$53</f>
        <v>0</v>
      </c>
      <c r="H490" s="723">
        <f>'THC FGD'!$H$53</f>
        <v>0</v>
      </c>
      <c r="I490" s="723">
        <f>'THC FGD'!$I$53</f>
        <v>0</v>
      </c>
      <c r="J490" s="723">
        <f>'THC FGD'!$J$53</f>
        <v>0</v>
      </c>
      <c r="K490" s="723">
        <f>'THC FGD'!$K$53</f>
        <v>0</v>
      </c>
      <c r="L490" s="723">
        <f>'THC FGD'!$L$53</f>
        <v>0</v>
      </c>
      <c r="M490" s="723">
        <f>'THC FGD'!$M$53</f>
        <v>154142258</v>
      </c>
    </row>
    <row r="491" spans="1:15" hidden="1" outlineLevel="1">
      <c r="B491" s="823" t="str">
        <f>'TTUHSC FGD'!$B$2</f>
        <v>Texas Tech University Health Sciences Center</v>
      </c>
      <c r="C491" s="771"/>
      <c r="D491" s="723">
        <f>'TTUHSC FGD'!$D$53</f>
        <v>0</v>
      </c>
      <c r="E491" s="723">
        <f>'TTUHSC FGD'!$E$53</f>
        <v>0</v>
      </c>
      <c r="F491" s="723">
        <f>'TTUHSC FGD'!$F$53</f>
        <v>0</v>
      </c>
      <c r="G491" s="723">
        <f>'TTUHSC FGD'!$G$53</f>
        <v>0</v>
      </c>
      <c r="H491" s="723">
        <f>'TTUHSC FGD'!$H$53</f>
        <v>0</v>
      </c>
      <c r="I491" s="723">
        <f>'TTUHSC FGD'!$I$53</f>
        <v>0</v>
      </c>
      <c r="J491" s="723">
        <f>'TTUHSC FGD'!$J$53</f>
        <v>0</v>
      </c>
      <c r="K491" s="723">
        <f>'TTUHSC FGD'!$K$53</f>
        <v>0</v>
      </c>
      <c r="L491" s="723">
        <f>'TTUHSC FGD'!$L$53</f>
        <v>0</v>
      </c>
      <c r="M491" s="723">
        <f>'TTUHSC FGD'!$M$53</f>
        <v>0</v>
      </c>
    </row>
    <row r="492" spans="1:15" hidden="1" outlineLevel="1">
      <c r="B492" s="823" t="str">
        <f>'TTUHSCEP FGD'!$B$2</f>
        <v>Texas Tech University Health Sciences Center at El Paso</v>
      </c>
      <c r="C492" s="771"/>
      <c r="D492" s="723">
        <f>'TTUHSCEP FGD'!$D$53</f>
        <v>0</v>
      </c>
      <c r="E492" s="723">
        <f>'TTUHSCEP FGD'!$E$53</f>
        <v>0</v>
      </c>
      <c r="F492" s="723">
        <f>'TTUHSCEP FGD'!$F$53</f>
        <v>0</v>
      </c>
      <c r="G492" s="723">
        <f>'TTUHSCEP FGD'!$G$53</f>
        <v>0</v>
      </c>
      <c r="H492" s="723">
        <f>'TTUHSCEP FGD'!$H$53</f>
        <v>0</v>
      </c>
      <c r="I492" s="723">
        <f>'TTUHSCEP FGD'!$I$53</f>
        <v>0</v>
      </c>
      <c r="J492" s="723">
        <f>'TTUHSCEP FGD'!$J$53</f>
        <v>0</v>
      </c>
      <c r="K492" s="723">
        <f>'TTUHSCEP FGD'!$K$53</f>
        <v>0</v>
      </c>
      <c r="L492" s="723">
        <f>'TTUHSCEP FGD'!$L$53</f>
        <v>0</v>
      </c>
      <c r="M492" s="723">
        <f>'TTUHSCEP FGD'!$M$53</f>
        <v>0</v>
      </c>
    </row>
    <row r="493" spans="1:15" hidden="1" outlineLevel="1">
      <c r="B493" s="823" t="str">
        <f>'UHM FGD'!$B$2</f>
        <v>University of Houston Medical School (M)</v>
      </c>
      <c r="C493" s="771"/>
      <c r="D493" s="723">
        <f>'UHM FGD'!$D$53</f>
        <v>0</v>
      </c>
      <c r="E493" s="723">
        <f>'UHM FGD'!$E$53</f>
        <v>0</v>
      </c>
      <c r="F493" s="723">
        <f>'UHM FGD'!$F$53</f>
        <v>0</v>
      </c>
      <c r="G493" s="723">
        <f>'UHM FGD'!$G$53</f>
        <v>0</v>
      </c>
      <c r="H493" s="723">
        <f>'UHM FGD'!$H$53</f>
        <v>0</v>
      </c>
      <c r="I493" s="723">
        <f>'UHM FGD'!$I$53</f>
        <v>0</v>
      </c>
      <c r="J493" s="723">
        <f>'UHM FGD'!$J$53</f>
        <v>0</v>
      </c>
      <c r="K493" s="723">
        <f>'UHM FGD'!$K$53</f>
        <v>0</v>
      </c>
      <c r="L493" s="723">
        <f>'UHM FGD'!$L$53</f>
        <v>0</v>
      </c>
      <c r="M493" s="723">
        <f>'UHM FGD'!$M$53</f>
        <v>0</v>
      </c>
    </row>
    <row r="494" spans="1:15" hidden="1" outlineLevel="1">
      <c r="B494" s="823" t="str">
        <f>'UNTHSC1 FGD'!$B$2</f>
        <v>University of North Texas Health Science Center at Fort Worth (Public Medical)</v>
      </c>
      <c r="C494" s="771"/>
      <c r="D494" s="723">
        <f>'UNTHSC1 FGD'!$D$53</f>
        <v>0</v>
      </c>
      <c r="E494" s="723">
        <f>'UNTHSC1 FGD'!$E$53</f>
        <v>0</v>
      </c>
      <c r="F494" s="723">
        <f>'UNTHSC1 FGD'!$F$53</f>
        <v>0</v>
      </c>
      <c r="G494" s="723">
        <f>'UNTHSC1 FGD'!$G$53</f>
        <v>0</v>
      </c>
      <c r="H494" s="723">
        <f>'UNTHSC1 FGD'!$H$53</f>
        <v>0</v>
      </c>
      <c r="I494" s="723">
        <f>'UNTHSC1 FGD'!$I$53</f>
        <v>0</v>
      </c>
      <c r="J494" s="723">
        <f>'UNTHSC1 FGD'!$J$53</f>
        <v>0</v>
      </c>
      <c r="K494" s="723">
        <f>'UNTHSC1 FGD'!$K$53</f>
        <v>0</v>
      </c>
      <c r="L494" s="723">
        <f>'UNTHSC1 FGD'!$L$53</f>
        <v>0</v>
      </c>
      <c r="M494" s="723">
        <f>'UNTHSC1 FGD'!$M$53</f>
        <v>0</v>
      </c>
    </row>
    <row r="495" spans="1:15" collapsed="1">
      <c r="A495" s="460">
        <v>36</v>
      </c>
      <c r="B495" s="768" t="s">
        <v>200</v>
      </c>
      <c r="C495" s="768"/>
      <c r="D495" s="815">
        <f t="shared" ref="D495:M495" si="33">SUM(D482:D494)</f>
        <v>5830277601</v>
      </c>
      <c r="E495" s="815">
        <f t="shared" si="33"/>
        <v>2906841423</v>
      </c>
      <c r="F495" s="815">
        <f t="shared" si="33"/>
        <v>0</v>
      </c>
      <c r="G495" s="815">
        <f t="shared" si="33"/>
        <v>0</v>
      </c>
      <c r="H495" s="815">
        <f t="shared" si="33"/>
        <v>0</v>
      </c>
      <c r="I495" s="815">
        <f t="shared" si="33"/>
        <v>0</v>
      </c>
      <c r="J495" s="815">
        <f t="shared" si="33"/>
        <v>0</v>
      </c>
      <c r="K495" s="815">
        <f t="shared" si="33"/>
        <v>0</v>
      </c>
      <c r="L495" s="815">
        <f t="shared" si="33"/>
        <v>0</v>
      </c>
      <c r="M495" s="769">
        <f t="shared" si="33"/>
        <v>8737119024</v>
      </c>
      <c r="O495" s="322" t="str">
        <f>IF(M495&lt;&gt;M1097,"Error","OK")</f>
        <v>OK</v>
      </c>
    </row>
    <row r="496" spans="1:15">
      <c r="A496" s="460">
        <v>37</v>
      </c>
      <c r="D496" s="723"/>
      <c r="E496" s="723"/>
      <c r="F496" s="723"/>
      <c r="G496" s="723"/>
      <c r="H496" s="723"/>
      <c r="I496" s="723"/>
      <c r="J496" s="723"/>
      <c r="K496" s="723"/>
      <c r="L496" s="723"/>
      <c r="M496" s="723"/>
    </row>
    <row r="497" spans="1:13">
      <c r="A497" s="460">
        <v>38</v>
      </c>
      <c r="B497" s="771" t="s">
        <v>171</v>
      </c>
      <c r="C497" s="771"/>
      <c r="D497" s="723"/>
      <c r="E497" s="723"/>
      <c r="F497" s="723"/>
      <c r="G497" s="723"/>
      <c r="H497" s="723"/>
      <c r="I497" s="723"/>
      <c r="J497" s="723"/>
      <c r="K497" s="723"/>
      <c r="L497" s="723"/>
      <c r="M497" s="723"/>
    </row>
    <row r="498" spans="1:13" hidden="1" outlineLevel="1">
      <c r="B498" s="823" t="str">
        <f>'AUSM FGD'!$B$2</f>
        <v>The University of Texas at Austin Medical School (M)</v>
      </c>
      <c r="C498" s="771"/>
      <c r="D498" s="723">
        <f>'AUSM FGD'!$D$56</f>
        <v>0</v>
      </c>
      <c r="E498" s="723">
        <f>'AUSM FGD'!$E$56</f>
        <v>1236744</v>
      </c>
      <c r="F498" s="723">
        <f>'AUSM FGD'!$F$56</f>
        <v>0</v>
      </c>
      <c r="G498" s="723">
        <f>'AUSM FGD'!$G$56</f>
        <v>2108112</v>
      </c>
      <c r="H498" s="723">
        <f>'AUSM FGD'!$H$56</f>
        <v>0</v>
      </c>
      <c r="I498" s="723">
        <f>'AUSM FGD'!$I$56</f>
        <v>-1293676</v>
      </c>
      <c r="J498" s="723">
        <f>'AUSM FGD'!$J$56</f>
        <v>0</v>
      </c>
      <c r="K498" s="723">
        <f>'AUSM FGD'!$K$56</f>
        <v>0</v>
      </c>
      <c r="L498" s="723">
        <f>'AUSM FGD'!$L$56</f>
        <v>0</v>
      </c>
      <c r="M498" s="723">
        <f>'AUSM FGD'!$M$56</f>
        <v>2051180</v>
      </c>
    </row>
    <row r="499" spans="1:13" hidden="1" outlineLevel="1">
      <c r="B499" s="823" t="str">
        <f>'HSH FGD'!$B$2</f>
        <v>The University of Texas Health Science Center at Houston</v>
      </c>
      <c r="C499" s="771"/>
      <c r="D499" s="723">
        <f>'HSH FGD'!$D$56</f>
        <v>2474331</v>
      </c>
      <c r="E499" s="723">
        <f>'HSH FGD'!$E$56</f>
        <v>44024315</v>
      </c>
      <c r="F499" s="723">
        <f>'HSH FGD'!$F$56</f>
        <v>1553241</v>
      </c>
      <c r="G499" s="723">
        <f>'HSH FGD'!$G$56</f>
        <v>33017782</v>
      </c>
      <c r="H499" s="723">
        <f>'HSH FGD'!$H$56</f>
        <v>130768</v>
      </c>
      <c r="I499" s="723">
        <f>'HSH FGD'!$I$56</f>
        <v>2105069</v>
      </c>
      <c r="J499" s="723">
        <f>'HSH FGD'!$J$56</f>
        <v>854583</v>
      </c>
      <c r="K499" s="723">
        <f>'HSH FGD'!$K$56</f>
        <v>0</v>
      </c>
      <c r="L499" s="723">
        <f>'HSH FGD'!$L$56</f>
        <v>0</v>
      </c>
      <c r="M499" s="723">
        <f>'HSH FGD'!$M$56</f>
        <v>84160089</v>
      </c>
    </row>
    <row r="500" spans="1:13" hidden="1" outlineLevel="1">
      <c r="B500" s="823" t="str">
        <f>'HSSA FGD'!$B$2</f>
        <v>The University of Texas Health Science Center at San Antonio</v>
      </c>
      <c r="C500" s="771"/>
      <c r="D500" s="723">
        <f>'HSSA FGD'!$D$56</f>
        <v>28347</v>
      </c>
      <c r="E500" s="723">
        <f>'HSSA FGD'!$E$56</f>
        <v>37343454</v>
      </c>
      <c r="F500" s="723">
        <f>'HSSA FGD'!$F$56</f>
        <v>97699</v>
      </c>
      <c r="G500" s="723">
        <f>'HSSA FGD'!$G$56</f>
        <v>17909125</v>
      </c>
      <c r="H500" s="723">
        <f>'HSSA FGD'!$H$56</f>
        <v>12363</v>
      </c>
      <c r="I500" s="723">
        <f>'HSSA FGD'!$I$56</f>
        <v>305441</v>
      </c>
      <c r="J500" s="723">
        <f>'HSSA FGD'!$J$56</f>
        <v>0</v>
      </c>
      <c r="K500" s="723">
        <f>'HSSA FGD'!$K$56</f>
        <v>0</v>
      </c>
      <c r="L500" s="723">
        <f>'HSSA FGD'!$L$56</f>
        <v>0</v>
      </c>
      <c r="M500" s="723">
        <f>'HSSA FGD'!$M$56</f>
        <v>55696429</v>
      </c>
    </row>
    <row r="501" spans="1:13" hidden="1" outlineLevel="1">
      <c r="B501" s="823" t="str">
        <f>'MBG FGD'!$B$2</f>
        <v>The University of Texas Medical Branch at Galveston</v>
      </c>
      <c r="C501" s="771"/>
      <c r="D501" s="723">
        <f>'MBG FGD'!$D$56</f>
        <v>2170551</v>
      </c>
      <c r="E501" s="723">
        <f>'MBG FGD'!$E$56</f>
        <v>36870193</v>
      </c>
      <c r="F501" s="723">
        <f>'MBG FGD'!$F$56</f>
        <v>0</v>
      </c>
      <c r="G501" s="723">
        <f>'MBG FGD'!$G$56</f>
        <v>29642139</v>
      </c>
      <c r="H501" s="723">
        <f>'MBG FGD'!$H$56</f>
        <v>27884</v>
      </c>
      <c r="I501" s="723">
        <f>'MBG FGD'!$I$56</f>
        <v>1962194</v>
      </c>
      <c r="J501" s="723">
        <f>'MBG FGD'!$J$56</f>
        <v>0</v>
      </c>
      <c r="K501" s="723">
        <f>'MBG FGD'!$K$56</f>
        <v>0</v>
      </c>
      <c r="L501" s="723">
        <f>'MBG FGD'!$L$56</f>
        <v>0</v>
      </c>
      <c r="M501" s="723">
        <f>'MBG FGD'!$M$56</f>
        <v>70672961</v>
      </c>
    </row>
    <row r="502" spans="1:13" hidden="1" outlineLevel="1">
      <c r="B502" s="823" t="str">
        <f>'MDA FGD'!$B$2</f>
        <v>The University of Texas M.D. Anderson Cancer Center</v>
      </c>
      <c r="C502" s="771"/>
      <c r="D502" s="723">
        <f>'MDA FGD'!$D$56</f>
        <v>212999362</v>
      </c>
      <c r="E502" s="723">
        <f>'MDA FGD'!$E$56</f>
        <v>208236935</v>
      </c>
      <c r="F502" s="723">
        <f>'MDA FGD'!$F$56</f>
        <v>0</v>
      </c>
      <c r="G502" s="723">
        <f>'MDA FGD'!$G$56</f>
        <v>38610893</v>
      </c>
      <c r="H502" s="723">
        <f>'MDA FGD'!$H$56</f>
        <v>0</v>
      </c>
      <c r="I502" s="723">
        <f>'MDA FGD'!$I$56</f>
        <v>119888</v>
      </c>
      <c r="J502" s="723">
        <f>'MDA FGD'!$J$56</f>
        <v>0</v>
      </c>
      <c r="K502" s="723">
        <f>'MDA FGD'!$K$56</f>
        <v>0</v>
      </c>
      <c r="L502" s="723">
        <f>'MDA FGD'!$L$56</f>
        <v>0</v>
      </c>
      <c r="M502" s="723">
        <f>'MDA FGD'!$M$56</f>
        <v>459967078</v>
      </c>
    </row>
    <row r="503" spans="1:13" hidden="1" outlineLevel="1">
      <c r="B503" s="823" t="str">
        <f>'RGVM FGD'!$B$2</f>
        <v>The University of Texas Rio Grande Valley Medical School (M)</v>
      </c>
      <c r="C503" s="771"/>
      <c r="D503" s="723">
        <f>'RGVM FGD'!$D$56</f>
        <v>0</v>
      </c>
      <c r="E503" s="723">
        <f>'RGVM FGD'!$E$56</f>
        <v>1162353</v>
      </c>
      <c r="F503" s="723">
        <f>'RGVM FGD'!$F$56</f>
        <v>0</v>
      </c>
      <c r="G503" s="723">
        <f>'RGVM FGD'!$G$56</f>
        <v>224457</v>
      </c>
      <c r="H503" s="723">
        <f>'RGVM FGD'!$H$56</f>
        <v>0</v>
      </c>
      <c r="I503" s="723">
        <f>'RGVM FGD'!$I$56</f>
        <v>1048</v>
      </c>
      <c r="J503" s="723">
        <f>'RGVM FGD'!$J$56</f>
        <v>0</v>
      </c>
      <c r="K503" s="723">
        <f>'RGVM FGD'!$K$56</f>
        <v>0</v>
      </c>
      <c r="L503" s="723">
        <f>'RGVM FGD'!$L$56</f>
        <v>0</v>
      </c>
      <c r="M503" s="723">
        <f>'RGVM FGD'!$M$56</f>
        <v>1387858</v>
      </c>
    </row>
    <row r="504" spans="1:13" hidden="1" outlineLevel="1">
      <c r="B504" s="823" t="str">
        <f>'SWM FGD'!$B$2</f>
        <v>The University of Texas Southwestern Medical Center</v>
      </c>
      <c r="C504" s="771"/>
      <c r="D504" s="723">
        <f>'SWM FGD'!$D$56</f>
        <v>122584</v>
      </c>
      <c r="E504" s="723">
        <f>'SWM FGD'!$E$56</f>
        <v>142164926</v>
      </c>
      <c r="F504" s="723">
        <f>'SWM FGD'!$F$56</f>
        <v>1738629</v>
      </c>
      <c r="G504" s="723">
        <f>'SWM FGD'!$G$56</f>
        <v>119342199</v>
      </c>
      <c r="H504" s="723">
        <f>'SWM FGD'!$H$56</f>
        <v>17436</v>
      </c>
      <c r="I504" s="723">
        <f>'SWM FGD'!$I$56</f>
        <v>1265209</v>
      </c>
      <c r="J504" s="723">
        <f>'SWM FGD'!$J$56</f>
        <v>0</v>
      </c>
      <c r="K504" s="723">
        <f>'SWM FGD'!$K$56</f>
        <v>0</v>
      </c>
      <c r="L504" s="723">
        <f>'SWM FGD'!$L$56</f>
        <v>0</v>
      </c>
      <c r="M504" s="723">
        <f>'SWM FGD'!$M$56</f>
        <v>264650983</v>
      </c>
    </row>
    <row r="505" spans="1:13" hidden="1" outlineLevel="1">
      <c r="B505" s="823" t="str">
        <f>'TAMHSC FGD'!$B$2</f>
        <v>Texas A&amp;M University System Health Science Center</v>
      </c>
      <c r="C505" s="771"/>
      <c r="D505" s="723">
        <f>'TAMHSC FGD'!$D$56</f>
        <v>-82502</v>
      </c>
      <c r="E505" s="723">
        <f>'TAMHSC FGD'!$E$56</f>
        <v>2259263</v>
      </c>
      <c r="F505" s="723">
        <f>'TAMHSC FGD'!$F$56</f>
        <v>0</v>
      </c>
      <c r="G505" s="723">
        <f>'TAMHSC FGD'!$G$56</f>
        <v>158634</v>
      </c>
      <c r="H505" s="723">
        <f>'TAMHSC FGD'!$H$56</f>
        <v>-2944</v>
      </c>
      <c r="I505" s="723">
        <f>'TAMHSC FGD'!$I$56</f>
        <v>-794132</v>
      </c>
      <c r="J505" s="723">
        <f>'TAMHSC FGD'!$J$56</f>
        <v>0</v>
      </c>
      <c r="K505" s="723">
        <f>'TAMHSC FGD'!$K$56</f>
        <v>0</v>
      </c>
      <c r="L505" s="723">
        <f>'TAMHSC FGD'!$L$56</f>
        <v>0</v>
      </c>
      <c r="M505" s="723">
        <f>'TAMHSC FGD'!$M$56</f>
        <v>1538319</v>
      </c>
    </row>
    <row r="506" spans="1:13" hidden="1" outlineLevel="1">
      <c r="B506" s="823" t="str">
        <f>'THC FGD'!$B$2</f>
        <v>The University of Texas Health Science Center at Tyler</v>
      </c>
      <c r="C506" s="771"/>
      <c r="D506" s="723">
        <f>'THC FGD'!$D$56</f>
        <v>58673</v>
      </c>
      <c r="E506" s="723">
        <f>'THC FGD'!$E$56</f>
        <v>3160485</v>
      </c>
      <c r="F506" s="723">
        <f>'THC FGD'!$F$56</f>
        <v>0</v>
      </c>
      <c r="G506" s="723">
        <f>'THC FGD'!$G$56</f>
        <v>1111130</v>
      </c>
      <c r="H506" s="723">
        <f>'THC FGD'!$H$56</f>
        <v>0</v>
      </c>
      <c r="I506" s="723">
        <f>'THC FGD'!$I$56</f>
        <v>2079</v>
      </c>
      <c r="J506" s="723">
        <f>'THC FGD'!$J$56</f>
        <v>0</v>
      </c>
      <c r="K506" s="723">
        <f>'THC FGD'!$K$56</f>
        <v>0</v>
      </c>
      <c r="L506" s="723">
        <f>'THC FGD'!$L$56</f>
        <v>0</v>
      </c>
      <c r="M506" s="723">
        <f>'THC FGD'!$M$56</f>
        <v>4332367</v>
      </c>
    </row>
    <row r="507" spans="1:13" hidden="1" outlineLevel="1">
      <c r="B507" s="823" t="str">
        <f>'TTUHSC FGD'!$B$2</f>
        <v>Texas Tech University Health Sciences Center</v>
      </c>
      <c r="C507" s="771"/>
      <c r="D507" s="723">
        <f>'TTUHSC FGD'!$D$56</f>
        <v>208902</v>
      </c>
      <c r="E507" s="723">
        <f>'TTUHSC FGD'!$E$56</f>
        <v>12117167</v>
      </c>
      <c r="F507" s="723">
        <f>'TTUHSC FGD'!$F$56</f>
        <v>55846</v>
      </c>
      <c r="G507" s="723">
        <f>'TTUHSC FGD'!$G$56</f>
        <v>3898371</v>
      </c>
      <c r="H507" s="723">
        <f>'TTUHSC FGD'!$H$56</f>
        <v>56106</v>
      </c>
      <c r="I507" s="723">
        <f>'TTUHSC FGD'!$I$56</f>
        <v>-4164862</v>
      </c>
      <c r="J507" s="723">
        <f>'TTUHSC FGD'!$J$56</f>
        <v>1079358</v>
      </c>
      <c r="K507" s="723">
        <f>'TTUHSC FGD'!$K$56</f>
        <v>0</v>
      </c>
      <c r="L507" s="723">
        <f>'TTUHSC FGD'!$L$56</f>
        <v>0</v>
      </c>
      <c r="M507" s="723">
        <f>'TTUHSC FGD'!$M$56</f>
        <v>13250888</v>
      </c>
    </row>
    <row r="508" spans="1:13" hidden="1" outlineLevel="1">
      <c r="B508" s="823" t="str">
        <f>'TTUHSCEP FGD'!$B$2</f>
        <v>Texas Tech University Health Sciences Center at El Paso</v>
      </c>
      <c r="C508" s="771"/>
      <c r="D508" s="723">
        <f>'TTUHSCEP FGD'!$D$56</f>
        <v>24014</v>
      </c>
      <c r="E508" s="723">
        <f>'TTUHSCEP FGD'!$E$56</f>
        <v>6031075</v>
      </c>
      <c r="F508" s="723">
        <f>'TTUHSCEP FGD'!$F$56</f>
        <v>14360</v>
      </c>
      <c r="G508" s="723">
        <f>'TTUHSCEP FGD'!$G$56</f>
        <v>1741960</v>
      </c>
      <c r="H508" s="723">
        <f>'TTUHSCEP FGD'!$H$56</f>
        <v>21364</v>
      </c>
      <c r="I508" s="723">
        <f>'TTUHSCEP FGD'!$I$56</f>
        <v>-2165859</v>
      </c>
      <c r="J508" s="723">
        <f>'TTUHSCEP FGD'!$J$56</f>
        <v>47531</v>
      </c>
      <c r="K508" s="723">
        <f>'TTUHSCEP FGD'!$K$56</f>
        <v>0</v>
      </c>
      <c r="L508" s="723">
        <f>'TTUHSCEP FGD'!$L$56</f>
        <v>0</v>
      </c>
      <c r="M508" s="723">
        <f>'TTUHSCEP FGD'!$M$56</f>
        <v>5714445</v>
      </c>
    </row>
    <row r="509" spans="1:13" hidden="1" outlineLevel="1">
      <c r="B509" s="823" t="str">
        <f>'UHM FGD'!$B$2</f>
        <v>University of Houston Medical School (M)</v>
      </c>
      <c r="C509" s="771"/>
      <c r="D509" s="723">
        <f>'UHM FGD'!$D$56</f>
        <v>0</v>
      </c>
      <c r="E509" s="723">
        <f>'UHM FGD'!$E$56</f>
        <v>0</v>
      </c>
      <c r="F509" s="723">
        <f>'UHM FGD'!$F$56</f>
        <v>0</v>
      </c>
      <c r="G509" s="723">
        <f>'UHM FGD'!$G$56</f>
        <v>0</v>
      </c>
      <c r="H509" s="723">
        <f>'UHM FGD'!$H$56</f>
        <v>0</v>
      </c>
      <c r="I509" s="723">
        <f>'UHM FGD'!$I$56</f>
        <v>0</v>
      </c>
      <c r="J509" s="723">
        <f>'UHM FGD'!$J$56</f>
        <v>0</v>
      </c>
      <c r="K509" s="723">
        <f>'UHM FGD'!$K$56</f>
        <v>0</v>
      </c>
      <c r="L509" s="723">
        <f>'UHM FGD'!$L$56</f>
        <v>0</v>
      </c>
      <c r="M509" s="723">
        <f>'UHM FGD'!$M$56</f>
        <v>0</v>
      </c>
    </row>
    <row r="510" spans="1:13" hidden="1" outlineLevel="1">
      <c r="B510" s="823" t="str">
        <f>'UNTHSC1 FGD'!$B$2</f>
        <v>University of North Texas Health Science Center at Fort Worth (Public Medical)</v>
      </c>
      <c r="C510" s="771"/>
      <c r="D510" s="723">
        <f>'UNTHSC1 FGD'!$D$56</f>
        <v>20398</v>
      </c>
      <c r="E510" s="723">
        <f>'UNTHSC1 FGD'!$E$56</f>
        <v>12506165</v>
      </c>
      <c r="F510" s="723">
        <f>'UNTHSC1 FGD'!$F$56</f>
        <v>0</v>
      </c>
      <c r="G510" s="723">
        <f>'UNTHSC1 FGD'!$G$56</f>
        <v>2634087</v>
      </c>
      <c r="H510" s="723">
        <f>'UNTHSC1 FGD'!$H$56</f>
        <v>-4949</v>
      </c>
      <c r="I510" s="723">
        <f>'UNTHSC1 FGD'!$I$56</f>
        <v>1461478</v>
      </c>
      <c r="J510" s="723">
        <f>'UNTHSC1 FGD'!$J$56</f>
        <v>0</v>
      </c>
      <c r="K510" s="723">
        <f>'UNTHSC1 FGD'!$K$56</f>
        <v>0</v>
      </c>
      <c r="L510" s="723">
        <f>'UNTHSC1 FGD'!$L$56</f>
        <v>0</v>
      </c>
      <c r="M510" s="723">
        <f>'UNTHSC1 FGD'!$M$56</f>
        <v>16617179</v>
      </c>
    </row>
    <row r="511" spans="1:13" collapsed="1">
      <c r="A511" s="460">
        <v>39</v>
      </c>
      <c r="B511" s="752" t="s">
        <v>172</v>
      </c>
      <c r="D511" s="762">
        <f t="shared" ref="D511:M511" si="34">SUM(D498:D510)</f>
        <v>218024660</v>
      </c>
      <c r="E511" s="762">
        <f t="shared" si="34"/>
        <v>507113075</v>
      </c>
      <c r="F511" s="762">
        <f t="shared" si="34"/>
        <v>3459775</v>
      </c>
      <c r="G511" s="762">
        <f t="shared" si="34"/>
        <v>250398889</v>
      </c>
      <c r="H511" s="762">
        <f t="shared" si="34"/>
        <v>258028</v>
      </c>
      <c r="I511" s="762">
        <f t="shared" si="34"/>
        <v>-1196123</v>
      </c>
      <c r="J511" s="762">
        <f t="shared" si="34"/>
        <v>1981472</v>
      </c>
      <c r="K511" s="762">
        <f t="shared" si="34"/>
        <v>0</v>
      </c>
      <c r="L511" s="762">
        <f t="shared" si="34"/>
        <v>0</v>
      </c>
      <c r="M511" s="723">
        <f t="shared" si="34"/>
        <v>980039776</v>
      </c>
    </row>
    <row r="512" spans="1:13" hidden="1" outlineLevel="1">
      <c r="B512" s="823" t="str">
        <f>'AUSM FGD'!$B$2</f>
        <v>The University of Texas at Austin Medical School (M)</v>
      </c>
      <c r="D512" s="762">
        <f>'AUSM FGD'!$D$57</f>
        <v>0</v>
      </c>
      <c r="E512" s="762">
        <f>'AUSM FGD'!$E$57</f>
        <v>35052844</v>
      </c>
      <c r="F512" s="762">
        <f>'AUSM FGD'!$F$57</f>
        <v>0</v>
      </c>
      <c r="G512" s="762">
        <f>'AUSM FGD'!$G$57</f>
        <v>63060</v>
      </c>
      <c r="H512" s="762">
        <f>'AUSM FGD'!$H$57</f>
        <v>0</v>
      </c>
      <c r="I512" s="762">
        <f>'AUSM FGD'!$I$57</f>
        <v>0</v>
      </c>
      <c r="J512" s="762">
        <f>'AUSM FGD'!$J$57</f>
        <v>0</v>
      </c>
      <c r="K512" s="762">
        <f>'AUSM FGD'!$K$57</f>
        <v>0</v>
      </c>
      <c r="L512" s="762">
        <f>'AUSM FGD'!$L$57</f>
        <v>0</v>
      </c>
      <c r="M512" s="723">
        <f>'AUSM FGD'!$M$57</f>
        <v>35115904</v>
      </c>
    </row>
    <row r="513" spans="1:13" hidden="1" outlineLevel="1">
      <c r="B513" s="823" t="str">
        <f>'HSH FGD'!$B$2</f>
        <v>The University of Texas Health Science Center at Houston</v>
      </c>
      <c r="D513" s="762">
        <f>'HSH FGD'!$D$57</f>
        <v>0</v>
      </c>
      <c r="E513" s="762">
        <f>'HSH FGD'!$E$57</f>
        <v>615378277</v>
      </c>
      <c r="F513" s="762">
        <f>'HSH FGD'!$F$57</f>
        <v>0</v>
      </c>
      <c r="G513" s="762">
        <f>'HSH FGD'!$G$57</f>
        <v>18128930</v>
      </c>
      <c r="H513" s="762">
        <f>'HSH FGD'!$H$57</f>
        <v>0</v>
      </c>
      <c r="I513" s="762">
        <f>'HSH FGD'!$I$57</f>
        <v>0</v>
      </c>
      <c r="J513" s="762">
        <f>'HSH FGD'!$J$57</f>
        <v>0</v>
      </c>
      <c r="K513" s="762">
        <f>'HSH FGD'!$K$57</f>
        <v>0</v>
      </c>
      <c r="L513" s="762">
        <f>'HSH FGD'!$L$57</f>
        <v>0</v>
      </c>
      <c r="M513" s="723">
        <f>'HSH FGD'!$M$57</f>
        <v>633507207</v>
      </c>
    </row>
    <row r="514" spans="1:13" hidden="1" outlineLevel="1">
      <c r="B514" s="823" t="str">
        <f>'HSSA FGD'!$B$2</f>
        <v>The University of Texas Health Science Center at San Antonio</v>
      </c>
      <c r="D514" s="762">
        <f>'HSSA FGD'!$D$57</f>
        <v>0</v>
      </c>
      <c r="E514" s="762">
        <f>'HSSA FGD'!$E$57</f>
        <v>213532485</v>
      </c>
      <c r="F514" s="762">
        <f>'HSSA FGD'!$F$57</f>
        <v>0</v>
      </c>
      <c r="G514" s="762">
        <f>'HSSA FGD'!$G$57</f>
        <v>3280341</v>
      </c>
      <c r="H514" s="762">
        <f>'HSSA FGD'!$H$57</f>
        <v>0</v>
      </c>
      <c r="I514" s="762">
        <f>'HSSA FGD'!$I$57</f>
        <v>0</v>
      </c>
      <c r="J514" s="762">
        <f>'HSSA FGD'!$J$57</f>
        <v>0</v>
      </c>
      <c r="K514" s="762">
        <f>'HSSA FGD'!$K$57</f>
        <v>0</v>
      </c>
      <c r="L514" s="762">
        <f>'HSSA FGD'!$L$57</f>
        <v>0</v>
      </c>
      <c r="M514" s="723">
        <f>'HSSA FGD'!$M$57</f>
        <v>216812826</v>
      </c>
    </row>
    <row r="515" spans="1:13" hidden="1" outlineLevel="1">
      <c r="B515" s="823" t="str">
        <f>'MBG FGD'!$B$2</f>
        <v>The University of Texas Medical Branch at Galveston</v>
      </c>
      <c r="D515" s="762">
        <f>'MBG FGD'!$D$57</f>
        <v>15000</v>
      </c>
      <c r="E515" s="762">
        <f>'MBG FGD'!$E$57</f>
        <v>165723</v>
      </c>
      <c r="F515" s="762">
        <f>'MBG FGD'!$F$57</f>
        <v>0</v>
      </c>
      <c r="G515" s="762">
        <f>'MBG FGD'!$G$57</f>
        <v>559607</v>
      </c>
      <c r="H515" s="762">
        <f>'MBG FGD'!$H$57</f>
        <v>0</v>
      </c>
      <c r="I515" s="762">
        <f>'MBG FGD'!$I$57</f>
        <v>0</v>
      </c>
      <c r="J515" s="762">
        <f>'MBG FGD'!$J$57</f>
        <v>0</v>
      </c>
      <c r="K515" s="762">
        <f>'MBG FGD'!$K$57</f>
        <v>0</v>
      </c>
      <c r="L515" s="762">
        <f>'MBG FGD'!$L$57</f>
        <v>0</v>
      </c>
      <c r="M515" s="723">
        <f>'MBG FGD'!$M$57</f>
        <v>740330</v>
      </c>
    </row>
    <row r="516" spans="1:13" hidden="1" outlineLevel="1">
      <c r="B516" s="823" t="str">
        <f>'MDA FGD'!$B$2</f>
        <v>The University of Texas M.D. Anderson Cancer Center</v>
      </c>
      <c r="D516" s="762">
        <f>'MDA FGD'!$D$57</f>
        <v>0</v>
      </c>
      <c r="E516" s="762">
        <f>'MDA FGD'!$E$57</f>
        <v>0</v>
      </c>
      <c r="F516" s="762">
        <f>'MDA FGD'!$F$57</f>
        <v>0</v>
      </c>
      <c r="G516" s="762">
        <f>'MDA FGD'!$G$57</f>
        <v>0</v>
      </c>
      <c r="H516" s="762">
        <f>'MDA FGD'!$H$57</f>
        <v>0</v>
      </c>
      <c r="I516" s="762">
        <f>'MDA FGD'!$I$57</f>
        <v>0</v>
      </c>
      <c r="J516" s="762">
        <f>'MDA FGD'!$J$57</f>
        <v>0</v>
      </c>
      <c r="K516" s="762">
        <f>'MDA FGD'!$K$57</f>
        <v>0</v>
      </c>
      <c r="L516" s="762">
        <f>'MDA FGD'!$L$57</f>
        <v>0</v>
      </c>
      <c r="M516" s="723">
        <f>'MDA FGD'!$M$57</f>
        <v>0</v>
      </c>
    </row>
    <row r="517" spans="1:13" hidden="1" outlineLevel="1">
      <c r="B517" s="823" t="str">
        <f>'RGVM FGD'!$B$2</f>
        <v>The University of Texas Rio Grande Valley Medical School (M)</v>
      </c>
      <c r="D517" s="762">
        <f>'RGVM FGD'!$D$57</f>
        <v>0</v>
      </c>
      <c r="E517" s="762">
        <f>'RGVM FGD'!$E$57</f>
        <v>32007401</v>
      </c>
      <c r="F517" s="762">
        <f>'RGVM FGD'!$F$57</f>
        <v>0</v>
      </c>
      <c r="G517" s="762">
        <f>'RGVM FGD'!$G$57</f>
        <v>0</v>
      </c>
      <c r="H517" s="762">
        <f>'RGVM FGD'!$H$57</f>
        <v>0</v>
      </c>
      <c r="I517" s="762">
        <f>'RGVM FGD'!$I$57</f>
        <v>0</v>
      </c>
      <c r="J517" s="762">
        <f>'RGVM FGD'!$J$57</f>
        <v>0</v>
      </c>
      <c r="K517" s="762">
        <f>'RGVM FGD'!$K$57</f>
        <v>0</v>
      </c>
      <c r="L517" s="762">
        <f>'RGVM FGD'!$L$57</f>
        <v>0</v>
      </c>
      <c r="M517" s="723">
        <f>'RGVM FGD'!$M$57</f>
        <v>32007401</v>
      </c>
    </row>
    <row r="518" spans="1:13" hidden="1" outlineLevel="1">
      <c r="B518" s="823" t="str">
        <f>'SWM FGD'!$B$2</f>
        <v>The University of Texas Southwestern Medical Center</v>
      </c>
      <c r="D518" s="762">
        <f>'SWM FGD'!$D$57</f>
        <v>0</v>
      </c>
      <c r="E518" s="762">
        <f>'SWM FGD'!$E$57</f>
        <v>152065582</v>
      </c>
      <c r="F518" s="762">
        <f>'SWM FGD'!$F$57</f>
        <v>0</v>
      </c>
      <c r="G518" s="762">
        <f>'SWM FGD'!$G$57</f>
        <v>510426</v>
      </c>
      <c r="H518" s="762">
        <f>'SWM FGD'!$H$57</f>
        <v>0</v>
      </c>
      <c r="I518" s="762">
        <f>'SWM FGD'!$I$57</f>
        <v>0</v>
      </c>
      <c r="J518" s="762">
        <f>'SWM FGD'!$J$57</f>
        <v>0</v>
      </c>
      <c r="K518" s="762">
        <f>'SWM FGD'!$K$57</f>
        <v>0</v>
      </c>
      <c r="L518" s="762">
        <f>'SWM FGD'!$L$57</f>
        <v>0</v>
      </c>
      <c r="M518" s="723">
        <f>'SWM FGD'!$M$57</f>
        <v>152576008</v>
      </c>
    </row>
    <row r="519" spans="1:13" hidden="1" outlineLevel="1">
      <c r="B519" s="823" t="str">
        <f>'TAMHSC FGD'!$B$2</f>
        <v>Texas A&amp;M University System Health Science Center</v>
      </c>
      <c r="D519" s="762">
        <f>'TAMHSC FGD'!$D$57</f>
        <v>0</v>
      </c>
      <c r="E519" s="762">
        <f>'TAMHSC FGD'!$E$57</f>
        <v>0</v>
      </c>
      <c r="F519" s="762">
        <f>'TAMHSC FGD'!$F$57</f>
        <v>0</v>
      </c>
      <c r="G519" s="762">
        <f>'TAMHSC FGD'!$G$57</f>
        <v>0</v>
      </c>
      <c r="H519" s="762">
        <f>'TAMHSC FGD'!$H$57</f>
        <v>0</v>
      </c>
      <c r="I519" s="762">
        <f>'TAMHSC FGD'!$I$57</f>
        <v>0</v>
      </c>
      <c r="J519" s="762">
        <f>'TAMHSC FGD'!$J$57</f>
        <v>0</v>
      </c>
      <c r="K519" s="762">
        <f>'TAMHSC FGD'!$K$57</f>
        <v>0</v>
      </c>
      <c r="L519" s="762">
        <f>'TAMHSC FGD'!$L$57</f>
        <v>0</v>
      </c>
      <c r="M519" s="723">
        <f>'TAMHSC FGD'!$M$57</f>
        <v>0</v>
      </c>
    </row>
    <row r="520" spans="1:13" hidden="1" outlineLevel="1">
      <c r="B520" s="823" t="str">
        <f>'THC FGD'!$B$2</f>
        <v>The University of Texas Health Science Center at Tyler</v>
      </c>
      <c r="D520" s="762">
        <f>'THC FGD'!$D$57</f>
        <v>0</v>
      </c>
      <c r="E520" s="762">
        <f>'THC FGD'!$E$57</f>
        <v>0</v>
      </c>
      <c r="F520" s="762">
        <f>'THC FGD'!$F$57</f>
        <v>0</v>
      </c>
      <c r="G520" s="762">
        <f>'THC FGD'!$G$57</f>
        <v>0</v>
      </c>
      <c r="H520" s="762">
        <f>'THC FGD'!$H$57</f>
        <v>0</v>
      </c>
      <c r="I520" s="762">
        <f>'THC FGD'!$I$57</f>
        <v>0</v>
      </c>
      <c r="J520" s="762">
        <f>'THC FGD'!$J$57</f>
        <v>0</v>
      </c>
      <c r="K520" s="762">
        <f>'THC FGD'!$K$57</f>
        <v>0</v>
      </c>
      <c r="L520" s="762">
        <f>'THC FGD'!$L$57</f>
        <v>0</v>
      </c>
      <c r="M520" s="723">
        <f>'THC FGD'!$M$57</f>
        <v>0</v>
      </c>
    </row>
    <row r="521" spans="1:13" hidden="1" outlineLevel="1">
      <c r="B521" s="823" t="str">
        <f>'TTUHSC FGD'!$B$2</f>
        <v>Texas Tech University Health Sciences Center</v>
      </c>
      <c r="D521" s="762">
        <f>'TTUHSC FGD'!$D$57</f>
        <v>0</v>
      </c>
      <c r="E521" s="762">
        <f>'TTUHSC FGD'!$E$57</f>
        <v>34235381</v>
      </c>
      <c r="F521" s="762">
        <f>'TTUHSC FGD'!$F$57</f>
        <v>0</v>
      </c>
      <c r="G521" s="762">
        <f>'TTUHSC FGD'!$G$57</f>
        <v>63629578</v>
      </c>
      <c r="H521" s="762">
        <f>'TTUHSC FGD'!$H$57</f>
        <v>0</v>
      </c>
      <c r="I521" s="762">
        <f>'TTUHSC FGD'!$I$57</f>
        <v>0</v>
      </c>
      <c r="J521" s="762">
        <f>'TTUHSC FGD'!$J$57</f>
        <v>0</v>
      </c>
      <c r="K521" s="762">
        <f>'TTUHSC FGD'!$K$57</f>
        <v>0</v>
      </c>
      <c r="L521" s="762">
        <f>'TTUHSC FGD'!$L$57</f>
        <v>0</v>
      </c>
      <c r="M521" s="723">
        <f>'TTUHSC FGD'!$M$57</f>
        <v>97864959</v>
      </c>
    </row>
    <row r="522" spans="1:13" hidden="1" outlineLevel="1">
      <c r="B522" s="823" t="str">
        <f>'TTUHSCEP FGD'!$B$2</f>
        <v>Texas Tech University Health Sciences Center at El Paso</v>
      </c>
      <c r="D522" s="762">
        <f>'TTUHSCEP FGD'!$D$57</f>
        <v>0</v>
      </c>
      <c r="E522" s="762">
        <f>'TTUHSCEP FGD'!$E$57</f>
        <v>56691366</v>
      </c>
      <c r="F522" s="762">
        <f>'TTUHSCEP FGD'!$F$57</f>
        <v>0</v>
      </c>
      <c r="G522" s="762">
        <f>'TTUHSCEP FGD'!$G$57</f>
        <v>12621886</v>
      </c>
      <c r="H522" s="762">
        <f>'TTUHSCEP FGD'!$H$57</f>
        <v>0</v>
      </c>
      <c r="I522" s="762">
        <f>'TTUHSCEP FGD'!$I$57</f>
        <v>0</v>
      </c>
      <c r="J522" s="762">
        <f>'TTUHSCEP FGD'!$J$57</f>
        <v>0</v>
      </c>
      <c r="K522" s="762">
        <f>'TTUHSCEP FGD'!$K$57</f>
        <v>0</v>
      </c>
      <c r="L522" s="762">
        <f>'TTUHSCEP FGD'!$L$57</f>
        <v>0</v>
      </c>
      <c r="M522" s="723">
        <f>'TTUHSCEP FGD'!$M$57</f>
        <v>69313252</v>
      </c>
    </row>
    <row r="523" spans="1:13" hidden="1" outlineLevel="1">
      <c r="B523" s="823" t="str">
        <f>'UHM FGD'!$B$2</f>
        <v>University of Houston Medical School (M)</v>
      </c>
      <c r="D523" s="762">
        <f>'UHM FGD'!$D$57</f>
        <v>0</v>
      </c>
      <c r="E523" s="762">
        <f>'UHM FGD'!$E$57</f>
        <v>0</v>
      </c>
      <c r="F523" s="762">
        <f>'UHM FGD'!$F$57</f>
        <v>0</v>
      </c>
      <c r="G523" s="762">
        <f>'UHM FGD'!$G$57</f>
        <v>236857</v>
      </c>
      <c r="H523" s="762">
        <f>'UHM FGD'!$H$57</f>
        <v>0</v>
      </c>
      <c r="I523" s="762">
        <f>'UHM FGD'!$I$57</f>
        <v>0</v>
      </c>
      <c r="J523" s="762">
        <f>'UHM FGD'!$J$57</f>
        <v>0</v>
      </c>
      <c r="K523" s="762">
        <f>'UHM FGD'!$K$57</f>
        <v>0</v>
      </c>
      <c r="L523" s="762">
        <f>'UHM FGD'!$L$57</f>
        <v>0</v>
      </c>
      <c r="M523" s="723">
        <f>'UHM FGD'!$M$57</f>
        <v>236857</v>
      </c>
    </row>
    <row r="524" spans="1:13" hidden="1" outlineLevel="1">
      <c r="B524" s="823" t="str">
        <f>'UNTHSC1 FGD'!$B$2</f>
        <v>University of North Texas Health Science Center at Fort Worth (Public Medical)</v>
      </c>
      <c r="D524" s="762">
        <f>'UNTHSC1 FGD'!$D$57</f>
        <v>0</v>
      </c>
      <c r="E524" s="762">
        <f>'UNTHSC1 FGD'!$E$57</f>
        <v>389369</v>
      </c>
      <c r="F524" s="762">
        <f>'UNTHSC1 FGD'!$F$57</f>
        <v>0</v>
      </c>
      <c r="G524" s="762">
        <f>'UNTHSC1 FGD'!$G$57</f>
        <v>657487</v>
      </c>
      <c r="H524" s="762">
        <f>'UNTHSC1 FGD'!$H$57</f>
        <v>0</v>
      </c>
      <c r="I524" s="762">
        <f>'UNTHSC1 FGD'!$I$57</f>
        <v>0</v>
      </c>
      <c r="J524" s="762">
        <f>'UNTHSC1 FGD'!$J$57</f>
        <v>0</v>
      </c>
      <c r="K524" s="762">
        <f>'UNTHSC1 FGD'!$K$57</f>
        <v>0</v>
      </c>
      <c r="L524" s="762">
        <f>'UNTHSC1 FGD'!$L$57</f>
        <v>0</v>
      </c>
      <c r="M524" s="723">
        <f>'UNTHSC1 FGD'!$M$57</f>
        <v>1046856</v>
      </c>
    </row>
    <row r="525" spans="1:13" collapsed="1">
      <c r="A525" s="460">
        <v>40</v>
      </c>
      <c r="B525" s="752" t="s">
        <v>173</v>
      </c>
      <c r="D525" s="762">
        <f t="shared" ref="D525:M525" si="35">SUM(D512:D524)</f>
        <v>15000</v>
      </c>
      <c r="E525" s="762">
        <f t="shared" si="35"/>
        <v>1139518428</v>
      </c>
      <c r="F525" s="762">
        <f t="shared" si="35"/>
        <v>0</v>
      </c>
      <c r="G525" s="762">
        <f t="shared" si="35"/>
        <v>99688172</v>
      </c>
      <c r="H525" s="762">
        <f t="shared" si="35"/>
        <v>0</v>
      </c>
      <c r="I525" s="762">
        <f t="shared" si="35"/>
        <v>0</v>
      </c>
      <c r="J525" s="762">
        <f t="shared" si="35"/>
        <v>0</v>
      </c>
      <c r="K525" s="762">
        <f t="shared" si="35"/>
        <v>0</v>
      </c>
      <c r="L525" s="762">
        <f t="shared" si="35"/>
        <v>0</v>
      </c>
      <c r="M525" s="723">
        <f t="shared" si="35"/>
        <v>1239221600</v>
      </c>
    </row>
    <row r="526" spans="1:13" hidden="1" outlineLevel="1">
      <c r="B526" s="823" t="str">
        <f>'AUSM FGD'!$B$2</f>
        <v>The University of Texas at Austin Medical School (M)</v>
      </c>
      <c r="D526" s="762">
        <f>'AUSM FGD'!$D$58</f>
        <v>0</v>
      </c>
      <c r="E526" s="762">
        <f>'AUSM FGD'!$E$58</f>
        <v>103939365</v>
      </c>
      <c r="F526" s="762">
        <f>'AUSM FGD'!$F$58</f>
        <v>0</v>
      </c>
      <c r="G526" s="762">
        <f>'AUSM FGD'!$G$58</f>
        <v>16642341</v>
      </c>
      <c r="H526" s="762">
        <f>'AUSM FGD'!$H$58</f>
        <v>0</v>
      </c>
      <c r="I526" s="762">
        <f>'AUSM FGD'!$I$58</f>
        <v>0</v>
      </c>
      <c r="J526" s="762">
        <f>'AUSM FGD'!$J$58</f>
        <v>0</v>
      </c>
      <c r="K526" s="762">
        <f>'AUSM FGD'!$K$58</f>
        <v>0</v>
      </c>
      <c r="L526" s="762">
        <f>'AUSM FGD'!$L$58</f>
        <v>0</v>
      </c>
      <c r="M526" s="723">
        <f>'AUSM FGD'!$M$58</f>
        <v>120581706</v>
      </c>
    </row>
    <row r="527" spans="1:13" hidden="1" outlineLevel="1">
      <c r="B527" s="823" t="str">
        <f>'HSH FGD'!$B$2</f>
        <v>The University of Texas Health Science Center at Houston</v>
      </c>
      <c r="D527" s="762">
        <f>'HSH FGD'!$D$58</f>
        <v>0</v>
      </c>
      <c r="E527" s="762">
        <f>'HSH FGD'!$E$58</f>
        <v>99555139</v>
      </c>
      <c r="F527" s="762">
        <f>'HSH FGD'!$F$58</f>
        <v>0</v>
      </c>
      <c r="G527" s="762">
        <f>'HSH FGD'!$G$58</f>
        <v>99272158</v>
      </c>
      <c r="H527" s="762">
        <f>'HSH FGD'!$H$58</f>
        <v>0</v>
      </c>
      <c r="I527" s="762">
        <f>'HSH FGD'!$I$58</f>
        <v>0</v>
      </c>
      <c r="J527" s="762">
        <f>'HSH FGD'!$J$58</f>
        <v>0</v>
      </c>
      <c r="K527" s="762">
        <f>'HSH FGD'!$K$58</f>
        <v>0</v>
      </c>
      <c r="L527" s="762">
        <f>'HSH FGD'!$L$58</f>
        <v>0</v>
      </c>
      <c r="M527" s="723">
        <f>'HSH FGD'!$M$58</f>
        <v>198827297</v>
      </c>
    </row>
    <row r="528" spans="1:13" hidden="1" outlineLevel="1">
      <c r="B528" s="823" t="str">
        <f>'HSSA FGD'!$B$2</f>
        <v>The University of Texas Health Science Center at San Antonio</v>
      </c>
      <c r="D528" s="762">
        <f>'HSSA FGD'!$D$58</f>
        <v>0</v>
      </c>
      <c r="E528" s="762">
        <f>'HSSA FGD'!$E$58</f>
        <v>3944247</v>
      </c>
      <c r="F528" s="762">
        <f>'HSSA FGD'!$F$58</f>
        <v>0</v>
      </c>
      <c r="G528" s="762">
        <f>'HSSA FGD'!$G$58</f>
        <v>43881194</v>
      </c>
      <c r="H528" s="762">
        <f>'HSSA FGD'!$H$58</f>
        <v>0</v>
      </c>
      <c r="I528" s="762">
        <f>'HSSA FGD'!$I$58</f>
        <v>0</v>
      </c>
      <c r="J528" s="762">
        <f>'HSSA FGD'!$J$58</f>
        <v>0</v>
      </c>
      <c r="K528" s="762">
        <f>'HSSA FGD'!$K$58</f>
        <v>0</v>
      </c>
      <c r="L528" s="762">
        <f>'HSSA FGD'!$L$58</f>
        <v>0</v>
      </c>
      <c r="M528" s="723">
        <f>'HSSA FGD'!$M$58</f>
        <v>47825441</v>
      </c>
    </row>
    <row r="529" spans="1:13" hidden="1" outlineLevel="1">
      <c r="B529" s="823" t="str">
        <f>'MBG FGD'!$B$2</f>
        <v>The University of Texas Medical Branch at Galveston</v>
      </c>
      <c r="D529" s="762">
        <f>'MBG FGD'!$D$58</f>
        <v>1825153</v>
      </c>
      <c r="E529" s="762">
        <f>'MBG FGD'!$E$58</f>
        <v>41766957</v>
      </c>
      <c r="F529" s="762">
        <f>'MBG FGD'!$F$58</f>
        <v>367510</v>
      </c>
      <c r="G529" s="762">
        <f>'MBG FGD'!$G$58</f>
        <v>31608379</v>
      </c>
      <c r="H529" s="762">
        <f>'MBG FGD'!$H$58</f>
        <v>0</v>
      </c>
      <c r="I529" s="762">
        <f>'MBG FGD'!$I$58</f>
        <v>0</v>
      </c>
      <c r="J529" s="762">
        <f>'MBG FGD'!$J$58</f>
        <v>53078635</v>
      </c>
      <c r="K529" s="762">
        <f>'MBG FGD'!$K$58</f>
        <v>0</v>
      </c>
      <c r="L529" s="762">
        <f>'MBG FGD'!$L$58</f>
        <v>0</v>
      </c>
      <c r="M529" s="723">
        <f>'MBG FGD'!$M$58</f>
        <v>128646634</v>
      </c>
    </row>
    <row r="530" spans="1:13" hidden="1" outlineLevel="1">
      <c r="B530" s="823" t="str">
        <f>'MDA FGD'!$B$2</f>
        <v>The University of Texas M.D. Anderson Cancer Center</v>
      </c>
      <c r="D530" s="762">
        <f>'MDA FGD'!$D$58</f>
        <v>0</v>
      </c>
      <c r="E530" s="762">
        <f>'MDA FGD'!$E$58</f>
        <v>85023716</v>
      </c>
      <c r="F530" s="762">
        <f>'MDA FGD'!$F$58</f>
        <v>0</v>
      </c>
      <c r="G530" s="762">
        <f>'MDA FGD'!$G$58</f>
        <v>287350140</v>
      </c>
      <c r="H530" s="762">
        <f>'MDA FGD'!$H$58</f>
        <v>0</v>
      </c>
      <c r="I530" s="762">
        <f>'MDA FGD'!$I$58</f>
        <v>0</v>
      </c>
      <c r="J530" s="762">
        <f>'MDA FGD'!$J$58</f>
        <v>0</v>
      </c>
      <c r="K530" s="762">
        <f>'MDA FGD'!$K$58</f>
        <v>0</v>
      </c>
      <c r="L530" s="762">
        <f>'MDA FGD'!$L$58</f>
        <v>0</v>
      </c>
      <c r="M530" s="723">
        <f>'MDA FGD'!$M$58</f>
        <v>372373856</v>
      </c>
    </row>
    <row r="531" spans="1:13" hidden="1" outlineLevel="1">
      <c r="B531" s="823" t="str">
        <f>'RGVM FGD'!$B$2</f>
        <v>The University of Texas Rio Grande Valley Medical School (M)</v>
      </c>
      <c r="D531" s="762">
        <f>'RGVM FGD'!$D$58</f>
        <v>0</v>
      </c>
      <c r="E531" s="762">
        <f>'RGVM FGD'!$E$58</f>
        <v>47230</v>
      </c>
      <c r="F531" s="762">
        <f>'RGVM FGD'!$F$58</f>
        <v>0</v>
      </c>
      <c r="G531" s="762">
        <f>'RGVM FGD'!$G$58</f>
        <v>9895594</v>
      </c>
      <c r="H531" s="762">
        <f>'RGVM FGD'!$H$58</f>
        <v>0</v>
      </c>
      <c r="I531" s="762">
        <f>'RGVM FGD'!$I$58</f>
        <v>0</v>
      </c>
      <c r="J531" s="762">
        <f>'RGVM FGD'!$J$58</f>
        <v>0</v>
      </c>
      <c r="K531" s="762">
        <f>'RGVM FGD'!$K$58</f>
        <v>0</v>
      </c>
      <c r="L531" s="762">
        <f>'RGVM FGD'!$L$58</f>
        <v>0</v>
      </c>
      <c r="M531" s="723">
        <f>'RGVM FGD'!$M$58</f>
        <v>9942824</v>
      </c>
    </row>
    <row r="532" spans="1:13" hidden="1" outlineLevel="1">
      <c r="B532" s="823" t="str">
        <f>'SWM FGD'!$B$2</f>
        <v>The University of Texas Southwestern Medical Center</v>
      </c>
      <c r="D532" s="762">
        <f>'SWM FGD'!$D$58</f>
        <v>0</v>
      </c>
      <c r="E532" s="762">
        <f>'SWM FGD'!$E$58</f>
        <v>244629013</v>
      </c>
      <c r="F532" s="762">
        <f>'SWM FGD'!$F$58</f>
        <v>0</v>
      </c>
      <c r="G532" s="762">
        <f>'SWM FGD'!$G$58</f>
        <v>237859010</v>
      </c>
      <c r="H532" s="762">
        <f>'SWM FGD'!$H$58</f>
        <v>0</v>
      </c>
      <c r="I532" s="762">
        <f>'SWM FGD'!$I$58</f>
        <v>0</v>
      </c>
      <c r="J532" s="762">
        <f>'SWM FGD'!$J$58</f>
        <v>0</v>
      </c>
      <c r="K532" s="762">
        <f>'SWM FGD'!$K$58</f>
        <v>0</v>
      </c>
      <c r="L532" s="762">
        <f>'SWM FGD'!$L$58</f>
        <v>0</v>
      </c>
      <c r="M532" s="723">
        <f>'SWM FGD'!$M$58</f>
        <v>482488023</v>
      </c>
    </row>
    <row r="533" spans="1:13" hidden="1" outlineLevel="1">
      <c r="B533" s="823" t="str">
        <f>'TAMHSC FGD'!$B$2</f>
        <v>Texas A&amp;M University System Health Science Center</v>
      </c>
      <c r="D533" s="762">
        <f>'TAMHSC FGD'!$D$58</f>
        <v>0</v>
      </c>
      <c r="E533" s="762">
        <f>'TAMHSC FGD'!$E$58</f>
        <v>2826652</v>
      </c>
      <c r="F533" s="762">
        <f>'TAMHSC FGD'!$F$58</f>
        <v>0</v>
      </c>
      <c r="G533" s="762">
        <f>'TAMHSC FGD'!$G$58</f>
        <v>10574564</v>
      </c>
      <c r="H533" s="762">
        <f>'TAMHSC FGD'!$H$58</f>
        <v>0</v>
      </c>
      <c r="I533" s="762">
        <f>'TAMHSC FGD'!$I$58</f>
        <v>0</v>
      </c>
      <c r="J533" s="762">
        <f>'TAMHSC FGD'!$J$58</f>
        <v>0</v>
      </c>
      <c r="K533" s="762">
        <f>'TAMHSC FGD'!$K$58</f>
        <v>0</v>
      </c>
      <c r="L533" s="762">
        <f>'TAMHSC FGD'!$L$58</f>
        <v>0</v>
      </c>
      <c r="M533" s="723">
        <f>'TAMHSC FGD'!$M$58</f>
        <v>13401216</v>
      </c>
    </row>
    <row r="534" spans="1:13" hidden="1" outlineLevel="1">
      <c r="B534" s="823" t="str">
        <f>'THC FGD'!$B$2</f>
        <v>The University of Texas Health Science Center at Tyler</v>
      </c>
      <c r="D534" s="762">
        <f>'THC FGD'!$D$58</f>
        <v>478065</v>
      </c>
      <c r="E534" s="762">
        <f>'THC FGD'!$E$58</f>
        <v>62487499</v>
      </c>
      <c r="F534" s="762">
        <f>'THC FGD'!$F$58</f>
        <v>0</v>
      </c>
      <c r="G534" s="762">
        <f>'THC FGD'!$G$58</f>
        <v>13246550</v>
      </c>
      <c r="H534" s="762">
        <f>'THC FGD'!$H$58</f>
        <v>0</v>
      </c>
      <c r="I534" s="762">
        <f>'THC FGD'!$I$58</f>
        <v>0</v>
      </c>
      <c r="J534" s="762">
        <f>'THC FGD'!$J$58</f>
        <v>-9856</v>
      </c>
      <c r="K534" s="762">
        <f>'THC FGD'!$K$58</f>
        <v>0</v>
      </c>
      <c r="L534" s="762">
        <f>'THC FGD'!$L$58</f>
        <v>0</v>
      </c>
      <c r="M534" s="723">
        <f>'THC FGD'!$M$58</f>
        <v>76202258</v>
      </c>
    </row>
    <row r="535" spans="1:13" hidden="1" outlineLevel="1">
      <c r="B535" s="823" t="str">
        <f>'TTUHSC FGD'!$B$2</f>
        <v>Texas Tech University Health Sciences Center</v>
      </c>
      <c r="D535" s="762">
        <f>'TTUHSC FGD'!$D$58</f>
        <v>2000</v>
      </c>
      <c r="E535" s="762">
        <f>'TTUHSC FGD'!$E$58</f>
        <v>42145523</v>
      </c>
      <c r="F535" s="762">
        <f>'TTUHSC FGD'!$F$58</f>
        <v>0</v>
      </c>
      <c r="G535" s="762">
        <f>'TTUHSC FGD'!$G$58</f>
        <v>26611559</v>
      </c>
      <c r="H535" s="762">
        <f>'TTUHSC FGD'!$H$58</f>
        <v>0</v>
      </c>
      <c r="I535" s="762">
        <f>'TTUHSC FGD'!$I$58</f>
        <v>0</v>
      </c>
      <c r="J535" s="762">
        <f>'TTUHSC FGD'!$J$58</f>
        <v>5102592</v>
      </c>
      <c r="K535" s="762">
        <f>'TTUHSC FGD'!$K$58</f>
        <v>0</v>
      </c>
      <c r="L535" s="762">
        <f>'TTUHSC FGD'!$L$58</f>
        <v>0</v>
      </c>
      <c r="M535" s="723">
        <f>'TTUHSC FGD'!$M$58</f>
        <v>73861674</v>
      </c>
    </row>
    <row r="536" spans="1:13" hidden="1" outlineLevel="1">
      <c r="B536" s="823" t="str">
        <f>'TTUHSCEP FGD'!$B$2</f>
        <v>Texas Tech University Health Sciences Center at El Paso</v>
      </c>
      <c r="D536" s="762">
        <f>'TTUHSCEP FGD'!$D$58</f>
        <v>0</v>
      </c>
      <c r="E536" s="762">
        <f>'TTUHSCEP FGD'!$E$58</f>
        <v>21014551</v>
      </c>
      <c r="F536" s="762">
        <f>'TTUHSCEP FGD'!$F$58</f>
        <v>0</v>
      </c>
      <c r="G536" s="762">
        <f>'TTUHSCEP FGD'!$G$58</f>
        <v>9832913</v>
      </c>
      <c r="H536" s="762">
        <f>'TTUHSCEP FGD'!$H$58</f>
        <v>0</v>
      </c>
      <c r="I536" s="762">
        <f>'TTUHSCEP FGD'!$I$58</f>
        <v>0</v>
      </c>
      <c r="J536" s="762">
        <f>'TTUHSCEP FGD'!$J$58</f>
        <v>6120</v>
      </c>
      <c r="K536" s="762">
        <f>'TTUHSCEP FGD'!$K$58</f>
        <v>0</v>
      </c>
      <c r="L536" s="762">
        <f>'TTUHSCEP FGD'!$L$58</f>
        <v>0</v>
      </c>
      <c r="M536" s="723">
        <f>'TTUHSCEP FGD'!$M$58</f>
        <v>30853584</v>
      </c>
    </row>
    <row r="537" spans="1:13" hidden="1" outlineLevel="1">
      <c r="B537" s="823" t="str">
        <f>'UHM FGD'!$B$2</f>
        <v>University of Houston Medical School (M)</v>
      </c>
      <c r="D537" s="762">
        <f>'UHM FGD'!$D$58</f>
        <v>0</v>
      </c>
      <c r="E537" s="762">
        <f>'UHM FGD'!$E$58</f>
        <v>695</v>
      </c>
      <c r="F537" s="762">
        <f>'UHM FGD'!$F$58</f>
        <v>0</v>
      </c>
      <c r="G537" s="762">
        <f>'UHM FGD'!$G$58</f>
        <v>3204018</v>
      </c>
      <c r="H537" s="762">
        <f>'UHM FGD'!$H$58</f>
        <v>0</v>
      </c>
      <c r="I537" s="762">
        <f>'UHM FGD'!$I$58</f>
        <v>0</v>
      </c>
      <c r="J537" s="762">
        <f>'UHM FGD'!$J$58</f>
        <v>0</v>
      </c>
      <c r="K537" s="762">
        <f>'UHM FGD'!$K$58</f>
        <v>0</v>
      </c>
      <c r="L537" s="762">
        <f>'UHM FGD'!$L$58</f>
        <v>0</v>
      </c>
      <c r="M537" s="723">
        <f>'UHM FGD'!$M$58</f>
        <v>3204713</v>
      </c>
    </row>
    <row r="538" spans="1:13" hidden="1" outlineLevel="1">
      <c r="B538" s="823" t="str">
        <f>'UNTHSC1 FGD'!$B$2</f>
        <v>University of North Texas Health Science Center at Fort Worth (Public Medical)</v>
      </c>
      <c r="D538" s="762">
        <f>'UNTHSC1 FGD'!$D$58</f>
        <v>0</v>
      </c>
      <c r="E538" s="762">
        <f>'UNTHSC1 FGD'!$E$58</f>
        <v>2071497</v>
      </c>
      <c r="F538" s="762">
        <f>'UNTHSC1 FGD'!$F$58</f>
        <v>0</v>
      </c>
      <c r="G538" s="762">
        <f>'UNTHSC1 FGD'!$G$58</f>
        <v>1880346</v>
      </c>
      <c r="H538" s="762">
        <f>'UNTHSC1 FGD'!$H$58</f>
        <v>0</v>
      </c>
      <c r="I538" s="762">
        <f>'UNTHSC1 FGD'!$I$58</f>
        <v>0</v>
      </c>
      <c r="J538" s="762">
        <f>'UNTHSC1 FGD'!$J$58</f>
        <v>0</v>
      </c>
      <c r="K538" s="762">
        <f>'UNTHSC1 FGD'!$K$58</f>
        <v>0</v>
      </c>
      <c r="L538" s="762">
        <f>'UNTHSC1 FGD'!$L$58</f>
        <v>0</v>
      </c>
      <c r="M538" s="723">
        <f>'UNTHSC1 FGD'!$M$58</f>
        <v>3951843</v>
      </c>
    </row>
    <row r="539" spans="1:13" collapsed="1">
      <c r="A539" s="460">
        <v>41</v>
      </c>
      <c r="B539" s="752" t="s">
        <v>174</v>
      </c>
      <c r="D539" s="762">
        <f t="shared" ref="D539:M539" si="36">SUM(D526:D538)</f>
        <v>2305218</v>
      </c>
      <c r="E539" s="762">
        <f t="shared" si="36"/>
        <v>709452084</v>
      </c>
      <c r="F539" s="762">
        <f t="shared" si="36"/>
        <v>367510</v>
      </c>
      <c r="G539" s="762">
        <f t="shared" si="36"/>
        <v>791858766</v>
      </c>
      <c r="H539" s="762">
        <f t="shared" si="36"/>
        <v>0</v>
      </c>
      <c r="I539" s="762">
        <f t="shared" si="36"/>
        <v>0</v>
      </c>
      <c r="J539" s="762">
        <f t="shared" si="36"/>
        <v>58177491</v>
      </c>
      <c r="K539" s="762">
        <f t="shared" si="36"/>
        <v>0</v>
      </c>
      <c r="L539" s="762">
        <f t="shared" si="36"/>
        <v>0</v>
      </c>
      <c r="M539" s="723">
        <f t="shared" si="36"/>
        <v>1562161069</v>
      </c>
    </row>
    <row r="540" spans="1:13" hidden="1" outlineLevel="1">
      <c r="B540" s="823" t="str">
        <f>'AUSM FGD'!$B$2</f>
        <v>The University of Texas at Austin Medical School (M)</v>
      </c>
      <c r="D540" s="762">
        <f>'AUSM FGD'!$D$59</f>
        <v>0</v>
      </c>
      <c r="E540" s="762">
        <f>'AUSM FGD'!$E$59</f>
        <v>3868656</v>
      </c>
      <c r="F540" s="762">
        <f>'AUSM FGD'!$F$59</f>
        <v>0</v>
      </c>
      <c r="G540" s="762">
        <f>'AUSM FGD'!$G$59</f>
        <v>0</v>
      </c>
      <c r="H540" s="762">
        <f>'AUSM FGD'!$H$59</f>
        <v>0</v>
      </c>
      <c r="I540" s="762">
        <f>'AUSM FGD'!$I$59</f>
        <v>0</v>
      </c>
      <c r="J540" s="762">
        <f>'AUSM FGD'!$J$59</f>
        <v>0</v>
      </c>
      <c r="K540" s="762">
        <f>'AUSM FGD'!$K$59</f>
        <v>0</v>
      </c>
      <c r="L540" s="762">
        <f>'AUSM FGD'!$L$59</f>
        <v>0</v>
      </c>
      <c r="M540" s="723">
        <f>'AUSM FGD'!$M$59</f>
        <v>3868656</v>
      </c>
    </row>
    <row r="541" spans="1:13" hidden="1" outlineLevel="1">
      <c r="B541" s="823" t="str">
        <f>'HSH FGD'!$B$2</f>
        <v>The University of Texas Health Science Center at Houston</v>
      </c>
      <c r="D541" s="762">
        <f>'HSH FGD'!$D$59</f>
        <v>5662350</v>
      </c>
      <c r="E541" s="762">
        <f>'HSH FGD'!$E$59</f>
        <v>15735801</v>
      </c>
      <c r="F541" s="762">
        <f>'HSH FGD'!$F$59</f>
        <v>0</v>
      </c>
      <c r="G541" s="762">
        <f>'HSH FGD'!$G$59</f>
        <v>19676888</v>
      </c>
      <c r="H541" s="762">
        <f>'HSH FGD'!$H$59</f>
        <v>0</v>
      </c>
      <c r="I541" s="762">
        <f>'HSH FGD'!$I$59</f>
        <v>0</v>
      </c>
      <c r="J541" s="762">
        <f>'HSH FGD'!$J$59</f>
        <v>0</v>
      </c>
      <c r="K541" s="762">
        <f>'HSH FGD'!$K$59</f>
        <v>0</v>
      </c>
      <c r="L541" s="762">
        <f>'HSH FGD'!$L$59</f>
        <v>0</v>
      </c>
      <c r="M541" s="723">
        <f>'HSH FGD'!$M$59</f>
        <v>41075039</v>
      </c>
    </row>
    <row r="542" spans="1:13" hidden="1" outlineLevel="1">
      <c r="B542" s="823" t="str">
        <f>'HSSA FGD'!$B$2</f>
        <v>The University of Texas Health Science Center at San Antonio</v>
      </c>
      <c r="D542" s="762">
        <f>'HSSA FGD'!$D$59</f>
        <v>5752806</v>
      </c>
      <c r="E542" s="762">
        <f>'HSSA FGD'!$E$59</f>
        <v>15590904</v>
      </c>
      <c r="F542" s="762">
        <f>'HSSA FGD'!$F$59</f>
        <v>0</v>
      </c>
      <c r="G542" s="762">
        <f>'HSSA FGD'!$G$59</f>
        <v>32549027</v>
      </c>
      <c r="H542" s="762">
        <f>'HSSA FGD'!$H$59</f>
        <v>0</v>
      </c>
      <c r="I542" s="762">
        <f>'HSSA FGD'!$I$59</f>
        <v>0</v>
      </c>
      <c r="J542" s="762">
        <f>'HSSA FGD'!$J$59</f>
        <v>0</v>
      </c>
      <c r="K542" s="762">
        <f>'HSSA FGD'!$K$59</f>
        <v>0</v>
      </c>
      <c r="L542" s="762">
        <f>'HSSA FGD'!$L$59</f>
        <v>0</v>
      </c>
      <c r="M542" s="723">
        <f>'HSSA FGD'!$M$59</f>
        <v>53892737</v>
      </c>
    </row>
    <row r="543" spans="1:13" hidden="1" outlineLevel="1">
      <c r="B543" s="823" t="str">
        <f>'MBG FGD'!$B$2</f>
        <v>The University of Texas Medical Branch at Galveston</v>
      </c>
      <c r="D543" s="762">
        <f>'MBG FGD'!$D$59</f>
        <v>0</v>
      </c>
      <c r="E543" s="762">
        <f>'MBG FGD'!$E$59</f>
        <v>1653066</v>
      </c>
      <c r="F543" s="762">
        <f>'MBG FGD'!$F$59</f>
        <v>0</v>
      </c>
      <c r="G543" s="762">
        <f>'MBG FGD'!$G$59</f>
        <v>10157703</v>
      </c>
      <c r="H543" s="762">
        <f>'MBG FGD'!$H$59</f>
        <v>0</v>
      </c>
      <c r="I543" s="762">
        <f>'MBG FGD'!$I$59</f>
        <v>0</v>
      </c>
      <c r="J543" s="762">
        <f>'MBG FGD'!$J$59</f>
        <v>0</v>
      </c>
      <c r="K543" s="762">
        <f>'MBG FGD'!$K$59</f>
        <v>0</v>
      </c>
      <c r="L543" s="762">
        <f>'MBG FGD'!$L$59</f>
        <v>0</v>
      </c>
      <c r="M543" s="723">
        <f>'MBG FGD'!$M$59</f>
        <v>11810769</v>
      </c>
    </row>
    <row r="544" spans="1:13" hidden="1" outlineLevel="1">
      <c r="B544" s="823" t="str">
        <f>'MDA FGD'!$B$2</f>
        <v>The University of Texas M.D. Anderson Cancer Center</v>
      </c>
      <c r="D544" s="762">
        <f>'MDA FGD'!$D$59</f>
        <v>0</v>
      </c>
      <c r="E544" s="762">
        <f>'MDA FGD'!$E$59</f>
        <v>1604852</v>
      </c>
      <c r="F544" s="762">
        <f>'MDA FGD'!$F$59</f>
        <v>0</v>
      </c>
      <c r="G544" s="762">
        <f>'MDA FGD'!$G$59</f>
        <v>0</v>
      </c>
      <c r="H544" s="762">
        <f>'MDA FGD'!$H$59</f>
        <v>0</v>
      </c>
      <c r="I544" s="762">
        <f>'MDA FGD'!$I$59</f>
        <v>0</v>
      </c>
      <c r="J544" s="762">
        <f>'MDA FGD'!$J$59</f>
        <v>0</v>
      </c>
      <c r="K544" s="762">
        <f>'MDA FGD'!$K$59</f>
        <v>0</v>
      </c>
      <c r="L544" s="762">
        <f>'MDA FGD'!$L$59</f>
        <v>0</v>
      </c>
      <c r="M544" s="723">
        <f>'MDA FGD'!$M$59</f>
        <v>1604852</v>
      </c>
    </row>
    <row r="545" spans="1:13" hidden="1" outlineLevel="1">
      <c r="B545" s="823" t="str">
        <f>'RGVM FGD'!$B$2</f>
        <v>The University of Texas Rio Grande Valley Medical School (M)</v>
      </c>
      <c r="D545" s="762">
        <f>'RGVM FGD'!$D$59</f>
        <v>0</v>
      </c>
      <c r="E545" s="762">
        <f>'RGVM FGD'!$E$59</f>
        <v>60067</v>
      </c>
      <c r="F545" s="762">
        <f>'RGVM FGD'!$F$59</f>
        <v>0</v>
      </c>
      <c r="G545" s="762">
        <f>'RGVM FGD'!$G$59</f>
        <v>1464636</v>
      </c>
      <c r="H545" s="762">
        <f>'RGVM FGD'!$H$59</f>
        <v>0</v>
      </c>
      <c r="I545" s="762">
        <f>'RGVM FGD'!$I$59</f>
        <v>0</v>
      </c>
      <c r="J545" s="762">
        <f>'RGVM FGD'!$J$59</f>
        <v>0</v>
      </c>
      <c r="K545" s="762">
        <f>'RGVM FGD'!$K$59</f>
        <v>0</v>
      </c>
      <c r="L545" s="762">
        <f>'RGVM FGD'!$L$59</f>
        <v>0</v>
      </c>
      <c r="M545" s="723">
        <f>'RGVM FGD'!$M$59</f>
        <v>1524703</v>
      </c>
    </row>
    <row r="546" spans="1:13" hidden="1" outlineLevel="1">
      <c r="B546" s="823" t="str">
        <f>'SWM FGD'!$B$2</f>
        <v>The University of Texas Southwestern Medical Center</v>
      </c>
      <c r="D546" s="762">
        <f>'SWM FGD'!$D$59</f>
        <v>0</v>
      </c>
      <c r="E546" s="762">
        <f>'SWM FGD'!$E$59</f>
        <v>13109125</v>
      </c>
      <c r="F546" s="762">
        <f>'SWM FGD'!$F$59</f>
        <v>0</v>
      </c>
      <c r="G546" s="762">
        <f>'SWM FGD'!$G$59</f>
        <v>-854166</v>
      </c>
      <c r="H546" s="762">
        <f>'SWM FGD'!$H$59</f>
        <v>0</v>
      </c>
      <c r="I546" s="762">
        <f>'SWM FGD'!$I$59</f>
        <v>0</v>
      </c>
      <c r="J546" s="762">
        <f>'SWM FGD'!$J$59</f>
        <v>0</v>
      </c>
      <c r="K546" s="762">
        <f>'SWM FGD'!$K$59</f>
        <v>0</v>
      </c>
      <c r="L546" s="762">
        <f>'SWM FGD'!$L$59</f>
        <v>0</v>
      </c>
      <c r="M546" s="723">
        <f>'SWM FGD'!$M$59</f>
        <v>12254959</v>
      </c>
    </row>
    <row r="547" spans="1:13" hidden="1" outlineLevel="1">
      <c r="B547" s="823" t="str">
        <f>'TAMHSC FGD'!$B$2</f>
        <v>Texas A&amp;M University System Health Science Center</v>
      </c>
      <c r="D547" s="762">
        <f>'TAMHSC FGD'!$D$59</f>
        <v>7035613</v>
      </c>
      <c r="E547" s="762">
        <f>'TAMHSC FGD'!$E$59</f>
        <v>36122530</v>
      </c>
      <c r="F547" s="762">
        <f>'TAMHSC FGD'!$F$59</f>
        <v>0</v>
      </c>
      <c r="G547" s="762">
        <f>'TAMHSC FGD'!$G$59</f>
        <v>8914</v>
      </c>
      <c r="H547" s="762">
        <f>'TAMHSC FGD'!$H$59</f>
        <v>0</v>
      </c>
      <c r="I547" s="762">
        <f>'TAMHSC FGD'!$I$59</f>
        <v>0</v>
      </c>
      <c r="J547" s="762">
        <f>'TAMHSC FGD'!$J$59</f>
        <v>0</v>
      </c>
      <c r="K547" s="762">
        <f>'TAMHSC FGD'!$K$59</f>
        <v>0</v>
      </c>
      <c r="L547" s="762">
        <f>'TAMHSC FGD'!$L$59</f>
        <v>0</v>
      </c>
      <c r="M547" s="723">
        <f>'TAMHSC FGD'!$M$59</f>
        <v>43167057</v>
      </c>
    </row>
    <row r="548" spans="1:13" hidden="1" outlineLevel="1">
      <c r="B548" s="823" t="str">
        <f>'THC FGD'!$B$2</f>
        <v>The University of Texas Health Science Center at Tyler</v>
      </c>
      <c r="D548" s="762">
        <f>'THC FGD'!$D$59</f>
        <v>3505273</v>
      </c>
      <c r="E548" s="762">
        <f>'THC FGD'!$E$59</f>
        <v>3802618</v>
      </c>
      <c r="F548" s="762">
        <f>'THC FGD'!$F$59</f>
        <v>0</v>
      </c>
      <c r="G548" s="762">
        <f>'THC FGD'!$G$59</f>
        <v>2500</v>
      </c>
      <c r="H548" s="762">
        <f>'THC FGD'!$H$59</f>
        <v>0</v>
      </c>
      <c r="I548" s="762">
        <f>'THC FGD'!$I$59</f>
        <v>0</v>
      </c>
      <c r="J548" s="762">
        <f>'THC FGD'!$J$59</f>
        <v>0</v>
      </c>
      <c r="K548" s="762">
        <f>'THC FGD'!$K$59</f>
        <v>0</v>
      </c>
      <c r="L548" s="762">
        <f>'THC FGD'!$L$59</f>
        <v>0</v>
      </c>
      <c r="M548" s="723">
        <f>'THC FGD'!$M$59</f>
        <v>7310391</v>
      </c>
    </row>
    <row r="549" spans="1:13" hidden="1" outlineLevel="1">
      <c r="B549" s="823" t="str">
        <f>'TTUHSC FGD'!$B$2</f>
        <v>Texas Tech University Health Sciences Center</v>
      </c>
      <c r="D549" s="762">
        <f>'TTUHSC FGD'!$D$59</f>
        <v>0</v>
      </c>
      <c r="E549" s="762">
        <f>'TTUHSC FGD'!$E$59</f>
        <v>12312457</v>
      </c>
      <c r="F549" s="762">
        <f>'TTUHSC FGD'!$F$59</f>
        <v>0</v>
      </c>
      <c r="G549" s="762">
        <f>'TTUHSC FGD'!$G$59</f>
        <v>698223</v>
      </c>
      <c r="H549" s="762">
        <f>'TTUHSC FGD'!$H$59</f>
        <v>0</v>
      </c>
      <c r="I549" s="762">
        <f>'TTUHSC FGD'!$I$59</f>
        <v>0</v>
      </c>
      <c r="J549" s="762">
        <f>'TTUHSC FGD'!$J$59</f>
        <v>0</v>
      </c>
      <c r="K549" s="762">
        <f>'TTUHSC FGD'!$K$59</f>
        <v>0</v>
      </c>
      <c r="L549" s="762">
        <f>'TTUHSC FGD'!$L$59</f>
        <v>0</v>
      </c>
      <c r="M549" s="723">
        <f>'TTUHSC FGD'!$M$59</f>
        <v>13010680</v>
      </c>
    </row>
    <row r="550" spans="1:13" hidden="1" outlineLevel="1">
      <c r="B550" s="823" t="str">
        <f>'TTUHSCEP FGD'!$B$2</f>
        <v>Texas Tech University Health Sciences Center at El Paso</v>
      </c>
      <c r="D550" s="762">
        <f>'TTUHSCEP FGD'!$D$59</f>
        <v>0</v>
      </c>
      <c r="E550" s="762">
        <f>'TTUHSCEP FGD'!$E$59</f>
        <v>358872</v>
      </c>
      <c r="F550" s="762">
        <f>'TTUHSCEP FGD'!$F$59</f>
        <v>0</v>
      </c>
      <c r="G550" s="762">
        <f>'TTUHSCEP FGD'!$G$59</f>
        <v>0</v>
      </c>
      <c r="H550" s="762">
        <f>'TTUHSCEP FGD'!$H$59</f>
        <v>0</v>
      </c>
      <c r="I550" s="762">
        <f>'TTUHSCEP FGD'!$I$59</f>
        <v>0</v>
      </c>
      <c r="J550" s="762">
        <f>'TTUHSCEP FGD'!$J$59</f>
        <v>0</v>
      </c>
      <c r="K550" s="762">
        <f>'TTUHSCEP FGD'!$K$59</f>
        <v>0</v>
      </c>
      <c r="L550" s="762">
        <f>'TTUHSCEP FGD'!$L$59</f>
        <v>0</v>
      </c>
      <c r="M550" s="723">
        <f>'TTUHSCEP FGD'!$M$59</f>
        <v>358872</v>
      </c>
    </row>
    <row r="551" spans="1:13" hidden="1" outlineLevel="1">
      <c r="B551" s="823" t="str">
        <f>'UHM FGD'!$B$2</f>
        <v>University of Houston Medical School (M)</v>
      </c>
      <c r="D551" s="762">
        <f>'UHM FGD'!$D$59</f>
        <v>1102623</v>
      </c>
      <c r="E551" s="762">
        <f>'UHM FGD'!$E$59</f>
        <v>0</v>
      </c>
      <c r="F551" s="762">
        <f>'UHM FGD'!$F$59</f>
        <v>0</v>
      </c>
      <c r="G551" s="762">
        <f>'UHM FGD'!$G$59</f>
        <v>0</v>
      </c>
      <c r="H551" s="762">
        <f>'UHM FGD'!$H$59</f>
        <v>0</v>
      </c>
      <c r="I551" s="762">
        <f>'UHM FGD'!$I$59</f>
        <v>0</v>
      </c>
      <c r="J551" s="762">
        <f>'UHM FGD'!$J$59</f>
        <v>0</v>
      </c>
      <c r="K551" s="762">
        <f>'UHM FGD'!$K$59</f>
        <v>0</v>
      </c>
      <c r="L551" s="762">
        <f>'UHM FGD'!$L$59</f>
        <v>0</v>
      </c>
      <c r="M551" s="723">
        <f>'UHM FGD'!$M$59</f>
        <v>1102623</v>
      </c>
    </row>
    <row r="552" spans="1:13" hidden="1" outlineLevel="1">
      <c r="B552" s="823" t="str">
        <f>'UNTHSC1 FGD'!$B$2</f>
        <v>University of North Texas Health Science Center at Fort Worth (Public Medical)</v>
      </c>
      <c r="D552" s="762">
        <f>'UNTHSC1 FGD'!$D$59</f>
        <v>0</v>
      </c>
      <c r="E552" s="762">
        <f>'UNTHSC1 FGD'!$E$59</f>
        <v>52433326</v>
      </c>
      <c r="F552" s="762">
        <f>'UNTHSC1 FGD'!$F$59</f>
        <v>0</v>
      </c>
      <c r="G552" s="762">
        <f>'UNTHSC1 FGD'!$G$59</f>
        <v>56851</v>
      </c>
      <c r="H552" s="762">
        <f>'UNTHSC1 FGD'!$H$59</f>
        <v>322</v>
      </c>
      <c r="I552" s="762">
        <f>'UNTHSC1 FGD'!$I$59</f>
        <v>0</v>
      </c>
      <c r="J552" s="762">
        <f>'UNTHSC1 FGD'!$J$59</f>
        <v>0</v>
      </c>
      <c r="K552" s="762">
        <f>'UNTHSC1 FGD'!$K$59</f>
        <v>0</v>
      </c>
      <c r="L552" s="762">
        <f>'UNTHSC1 FGD'!$L$59</f>
        <v>0</v>
      </c>
      <c r="M552" s="723">
        <f>'UNTHSC1 FGD'!$M$59</f>
        <v>52490499</v>
      </c>
    </row>
    <row r="553" spans="1:13" collapsed="1">
      <c r="A553" s="460">
        <v>42</v>
      </c>
      <c r="B553" s="752" t="s">
        <v>601</v>
      </c>
      <c r="D553" s="762">
        <f t="shared" ref="D553:M553" si="37">SUM(D540:D552)</f>
        <v>23058665</v>
      </c>
      <c r="E553" s="762">
        <f t="shared" si="37"/>
        <v>156652274</v>
      </c>
      <c r="F553" s="762">
        <f t="shared" si="37"/>
        <v>0</v>
      </c>
      <c r="G553" s="762">
        <f t="shared" si="37"/>
        <v>63760576</v>
      </c>
      <c r="H553" s="762">
        <f t="shared" si="37"/>
        <v>322</v>
      </c>
      <c r="I553" s="762">
        <f t="shared" si="37"/>
        <v>0</v>
      </c>
      <c r="J553" s="762">
        <f t="shared" si="37"/>
        <v>0</v>
      </c>
      <c r="K553" s="762">
        <f t="shared" si="37"/>
        <v>0</v>
      </c>
      <c r="L553" s="762">
        <f t="shared" si="37"/>
        <v>0</v>
      </c>
      <c r="M553" s="723">
        <f t="shared" si="37"/>
        <v>243471837</v>
      </c>
    </row>
    <row r="554" spans="1:13" hidden="1" outlineLevel="1">
      <c r="B554" s="823" t="str">
        <f>'AUSM FGD'!$B$2</f>
        <v>The University of Texas at Austin Medical School (M)</v>
      </c>
      <c r="D554" s="762">
        <f>'AUSM FGD'!$D$60</f>
        <v>0</v>
      </c>
      <c r="E554" s="762">
        <f>'AUSM FGD'!$E$60</f>
        <v>0</v>
      </c>
      <c r="F554" s="762">
        <f>'AUSM FGD'!$F$60</f>
        <v>3148117</v>
      </c>
      <c r="G554" s="762">
        <f>'AUSM FGD'!$G$60</f>
        <v>0</v>
      </c>
      <c r="H554" s="762">
        <f>'AUSM FGD'!$H$60</f>
        <v>0</v>
      </c>
      <c r="I554" s="762">
        <f>'AUSM FGD'!$I$60</f>
        <v>0</v>
      </c>
      <c r="J554" s="762">
        <f>'AUSM FGD'!$J$60</f>
        <v>0</v>
      </c>
      <c r="K554" s="762">
        <f>'AUSM FGD'!$K$60</f>
        <v>0</v>
      </c>
      <c r="L554" s="762">
        <f>'AUSM FGD'!$L$60</f>
        <v>0</v>
      </c>
      <c r="M554" s="723">
        <f>'AUSM FGD'!$M$60</f>
        <v>3148117</v>
      </c>
    </row>
    <row r="555" spans="1:13" hidden="1" outlineLevel="1">
      <c r="B555" s="823" t="str">
        <f>'HSH FGD'!$B$2</f>
        <v>The University of Texas Health Science Center at Houston</v>
      </c>
      <c r="D555" s="762">
        <f>'HSH FGD'!$D$60</f>
        <v>0</v>
      </c>
      <c r="E555" s="762">
        <f>'HSH FGD'!$E$60</f>
        <v>0</v>
      </c>
      <c r="F555" s="762">
        <f>'HSH FGD'!$F$60</f>
        <v>20906789</v>
      </c>
      <c r="G555" s="762">
        <f>'HSH FGD'!$G$60</f>
        <v>0</v>
      </c>
      <c r="H555" s="762">
        <f>'HSH FGD'!$H$60</f>
        <v>0</v>
      </c>
      <c r="I555" s="762">
        <f>'HSH FGD'!$I$60</f>
        <v>0</v>
      </c>
      <c r="J555" s="762">
        <f>'HSH FGD'!$J$60</f>
        <v>0</v>
      </c>
      <c r="K555" s="762">
        <f>'HSH FGD'!$K$60</f>
        <v>0</v>
      </c>
      <c r="L555" s="762">
        <f>'HSH FGD'!$L$60</f>
        <v>0</v>
      </c>
      <c r="M555" s="723">
        <f>'HSH FGD'!$M$60</f>
        <v>20906789</v>
      </c>
    </row>
    <row r="556" spans="1:13" hidden="1" outlineLevel="1">
      <c r="B556" s="823" t="str">
        <f>'HSSA FGD'!$B$2</f>
        <v>The University of Texas Health Science Center at San Antonio</v>
      </c>
      <c r="D556" s="762">
        <f>'HSSA FGD'!$D$60</f>
        <v>0</v>
      </c>
      <c r="E556" s="762">
        <f>'HSSA FGD'!$E$60</f>
        <v>0</v>
      </c>
      <c r="F556" s="762">
        <f>'HSSA FGD'!$F$60</f>
        <v>5080625</v>
      </c>
      <c r="G556" s="762">
        <f>'HSSA FGD'!$G$60</f>
        <v>0</v>
      </c>
      <c r="H556" s="762">
        <f>'HSSA FGD'!$H$60</f>
        <v>0</v>
      </c>
      <c r="I556" s="762">
        <f>'HSSA FGD'!$I$60</f>
        <v>0</v>
      </c>
      <c r="J556" s="762">
        <f>'HSSA FGD'!$J$60</f>
        <v>0</v>
      </c>
      <c r="K556" s="762">
        <f>'HSSA FGD'!$K$60</f>
        <v>0</v>
      </c>
      <c r="L556" s="762">
        <f>'HSSA FGD'!$L$60</f>
        <v>0</v>
      </c>
      <c r="M556" s="723">
        <f>'HSSA FGD'!$M$60</f>
        <v>5080625</v>
      </c>
    </row>
    <row r="557" spans="1:13" hidden="1" outlineLevel="1">
      <c r="B557" s="823" t="str">
        <f>'MBG FGD'!$B$2</f>
        <v>The University of Texas Medical Branch at Galveston</v>
      </c>
      <c r="D557" s="762">
        <f>'MBG FGD'!$D$60</f>
        <v>0</v>
      </c>
      <c r="E557" s="762">
        <f>'MBG FGD'!$E$60</f>
        <v>0</v>
      </c>
      <c r="F557" s="762">
        <f>'MBG FGD'!$F$60</f>
        <v>13321025</v>
      </c>
      <c r="G557" s="762">
        <f>'MBG FGD'!$G$60</f>
        <v>0</v>
      </c>
      <c r="H557" s="762">
        <f>'MBG FGD'!$H$60</f>
        <v>0</v>
      </c>
      <c r="I557" s="762">
        <f>'MBG FGD'!$I$60</f>
        <v>0</v>
      </c>
      <c r="J557" s="762">
        <f>'MBG FGD'!$J$60</f>
        <v>0</v>
      </c>
      <c r="K557" s="762">
        <f>'MBG FGD'!$K$60</f>
        <v>0</v>
      </c>
      <c r="L557" s="762">
        <f>'MBG FGD'!$L$60</f>
        <v>0</v>
      </c>
      <c r="M557" s="723">
        <f>'MBG FGD'!$M$60</f>
        <v>13321025</v>
      </c>
    </row>
    <row r="558" spans="1:13" hidden="1" outlineLevel="1">
      <c r="B558" s="823" t="str">
        <f>'MDA FGD'!$B$2</f>
        <v>The University of Texas M.D. Anderson Cancer Center</v>
      </c>
      <c r="D558" s="762">
        <f>'MDA FGD'!$D$60</f>
        <v>0</v>
      </c>
      <c r="E558" s="762">
        <f>'MDA FGD'!$E$60</f>
        <v>0</v>
      </c>
      <c r="F558" s="762">
        <f>'MDA FGD'!$F$60</f>
        <v>34980243</v>
      </c>
      <c r="G558" s="762">
        <f>'MDA FGD'!$G$60</f>
        <v>0</v>
      </c>
      <c r="H558" s="762">
        <f>'MDA FGD'!$H$60</f>
        <v>0</v>
      </c>
      <c r="I558" s="762">
        <f>'MDA FGD'!$I$60</f>
        <v>0</v>
      </c>
      <c r="J558" s="762">
        <f>'MDA FGD'!$J$60</f>
        <v>0</v>
      </c>
      <c r="K558" s="762">
        <f>'MDA FGD'!$K$60</f>
        <v>0</v>
      </c>
      <c r="L558" s="762">
        <f>'MDA FGD'!$L$60</f>
        <v>0</v>
      </c>
      <c r="M558" s="723">
        <f>'MDA FGD'!$M$60</f>
        <v>34980243</v>
      </c>
    </row>
    <row r="559" spans="1:13" hidden="1" outlineLevel="1">
      <c r="B559" s="823" t="str">
        <f>'RGVM FGD'!$B$2</f>
        <v>The University of Texas Rio Grande Valley Medical School (M)</v>
      </c>
      <c r="D559" s="762">
        <f>'RGVM FGD'!$D$60</f>
        <v>0</v>
      </c>
      <c r="E559" s="762">
        <f>'RGVM FGD'!$E$60</f>
        <v>0</v>
      </c>
      <c r="F559" s="762">
        <f>'RGVM FGD'!$F$60</f>
        <v>108437</v>
      </c>
      <c r="G559" s="762">
        <f>'RGVM FGD'!$G$60</f>
        <v>0</v>
      </c>
      <c r="H559" s="762">
        <f>'RGVM FGD'!$H$60</f>
        <v>0</v>
      </c>
      <c r="I559" s="762">
        <f>'RGVM FGD'!$I$60</f>
        <v>0</v>
      </c>
      <c r="J559" s="762">
        <f>'RGVM FGD'!$J$60</f>
        <v>0</v>
      </c>
      <c r="K559" s="762">
        <f>'RGVM FGD'!$K$60</f>
        <v>0</v>
      </c>
      <c r="L559" s="762">
        <f>'RGVM FGD'!$L$60</f>
        <v>0</v>
      </c>
      <c r="M559" s="723">
        <f>'RGVM FGD'!$M$60</f>
        <v>108437</v>
      </c>
    </row>
    <row r="560" spans="1:13" hidden="1" outlineLevel="1">
      <c r="B560" s="823" t="str">
        <f>'SWM FGD'!$B$2</f>
        <v>The University of Texas Southwestern Medical Center</v>
      </c>
      <c r="D560" s="762">
        <f>'SWM FGD'!$D$60</f>
        <v>0</v>
      </c>
      <c r="E560" s="762">
        <f>'SWM FGD'!$E$60</f>
        <v>0</v>
      </c>
      <c r="F560" s="762">
        <f>'SWM FGD'!$F$60</f>
        <v>27911529</v>
      </c>
      <c r="G560" s="762">
        <f>'SWM FGD'!$G$60</f>
        <v>0</v>
      </c>
      <c r="H560" s="762">
        <f>'SWM FGD'!$H$60</f>
        <v>0</v>
      </c>
      <c r="I560" s="762">
        <f>'SWM FGD'!$I$60</f>
        <v>0</v>
      </c>
      <c r="J560" s="762">
        <f>'SWM FGD'!$J$60</f>
        <v>0</v>
      </c>
      <c r="K560" s="762">
        <f>'SWM FGD'!$K$60</f>
        <v>0</v>
      </c>
      <c r="L560" s="762">
        <f>'SWM FGD'!$L$60</f>
        <v>0</v>
      </c>
      <c r="M560" s="723">
        <f>'SWM FGD'!$M$60</f>
        <v>27911529</v>
      </c>
    </row>
    <row r="561" spans="1:15" hidden="1" outlineLevel="1">
      <c r="B561" s="823" t="str">
        <f>'TAMHSC FGD'!$B$2</f>
        <v>Texas A&amp;M University System Health Science Center</v>
      </c>
      <c r="D561" s="762">
        <f>'TAMHSC FGD'!$D$60</f>
        <v>0</v>
      </c>
      <c r="E561" s="762">
        <f>'TAMHSC FGD'!$E$60</f>
        <v>0</v>
      </c>
      <c r="F561" s="762">
        <f>'TAMHSC FGD'!$F$60</f>
        <v>2067081</v>
      </c>
      <c r="G561" s="762">
        <f>'TAMHSC FGD'!$G$60</f>
        <v>0</v>
      </c>
      <c r="H561" s="762">
        <f>'TAMHSC FGD'!$H$60</f>
        <v>0</v>
      </c>
      <c r="I561" s="762">
        <f>'TAMHSC FGD'!$I$60</f>
        <v>0</v>
      </c>
      <c r="J561" s="762">
        <f>'TAMHSC FGD'!$J$60</f>
        <v>0</v>
      </c>
      <c r="K561" s="762">
        <f>'TAMHSC FGD'!$K$60</f>
        <v>0</v>
      </c>
      <c r="L561" s="762">
        <f>'TAMHSC FGD'!$L$60</f>
        <v>0</v>
      </c>
      <c r="M561" s="723">
        <f>'TAMHSC FGD'!$M$60</f>
        <v>2067081</v>
      </c>
    </row>
    <row r="562" spans="1:15" hidden="1" outlineLevel="1">
      <c r="B562" s="823" t="str">
        <f>'THC FGD'!$B$2</f>
        <v>The University of Texas Health Science Center at Tyler</v>
      </c>
      <c r="D562" s="762">
        <f>'THC FGD'!$D$60</f>
        <v>0</v>
      </c>
      <c r="E562" s="762">
        <f>'THC FGD'!$E$60</f>
        <v>0</v>
      </c>
      <c r="F562" s="762">
        <f>'THC FGD'!$F$60</f>
        <v>136714</v>
      </c>
      <c r="G562" s="762">
        <f>'THC FGD'!$G$60</f>
        <v>0</v>
      </c>
      <c r="H562" s="762">
        <f>'THC FGD'!$H$60</f>
        <v>0</v>
      </c>
      <c r="I562" s="762">
        <f>'THC FGD'!$I$60</f>
        <v>0</v>
      </c>
      <c r="J562" s="762">
        <f>'THC FGD'!$J$60</f>
        <v>0</v>
      </c>
      <c r="K562" s="762">
        <f>'THC FGD'!$K$60</f>
        <v>0</v>
      </c>
      <c r="L562" s="762">
        <f>'THC FGD'!$L$60</f>
        <v>0</v>
      </c>
      <c r="M562" s="723">
        <f>'THC FGD'!$M$60</f>
        <v>136714</v>
      </c>
    </row>
    <row r="563" spans="1:15" hidden="1" outlineLevel="1">
      <c r="B563" s="823" t="str">
        <f>'TTUHSC FGD'!$B$2</f>
        <v>Texas Tech University Health Sciences Center</v>
      </c>
      <c r="D563" s="762">
        <f>'TTUHSC FGD'!$D$60</f>
        <v>0</v>
      </c>
      <c r="E563" s="762">
        <f>'TTUHSC FGD'!$E$60</f>
        <v>0</v>
      </c>
      <c r="F563" s="762">
        <f>'TTUHSC FGD'!$F$60</f>
        <v>938468</v>
      </c>
      <c r="G563" s="762">
        <f>'TTUHSC FGD'!$G$60</f>
        <v>0</v>
      </c>
      <c r="H563" s="762">
        <f>'TTUHSC FGD'!$H$60</f>
        <v>0</v>
      </c>
      <c r="I563" s="762">
        <f>'TTUHSC FGD'!$I$60</f>
        <v>0</v>
      </c>
      <c r="J563" s="762">
        <f>'TTUHSC FGD'!$J$60</f>
        <v>0</v>
      </c>
      <c r="K563" s="762">
        <f>'TTUHSC FGD'!$K$60</f>
        <v>0</v>
      </c>
      <c r="L563" s="762">
        <f>'TTUHSC FGD'!$L$60</f>
        <v>0</v>
      </c>
      <c r="M563" s="723">
        <f>'TTUHSC FGD'!$M$60</f>
        <v>938468</v>
      </c>
    </row>
    <row r="564" spans="1:15" hidden="1" outlineLevel="1">
      <c r="B564" s="823" t="str">
        <f>'TTUHSCEP FGD'!$B$2</f>
        <v>Texas Tech University Health Sciences Center at El Paso</v>
      </c>
      <c r="D564" s="762">
        <f>'TTUHSCEP FGD'!$D$60</f>
        <v>0</v>
      </c>
      <c r="E564" s="762">
        <f>'TTUHSCEP FGD'!$E$60</f>
        <v>0</v>
      </c>
      <c r="F564" s="762">
        <f>'TTUHSCEP FGD'!$F$60</f>
        <v>290446</v>
      </c>
      <c r="G564" s="762">
        <f>'TTUHSCEP FGD'!$G$60</f>
        <v>0</v>
      </c>
      <c r="H564" s="762">
        <f>'TTUHSCEP FGD'!$H$60</f>
        <v>0</v>
      </c>
      <c r="I564" s="762">
        <f>'TTUHSCEP FGD'!$I$60</f>
        <v>0</v>
      </c>
      <c r="J564" s="762">
        <f>'TTUHSCEP FGD'!$J$60</f>
        <v>0</v>
      </c>
      <c r="K564" s="762">
        <f>'TTUHSCEP FGD'!$K$60</f>
        <v>0</v>
      </c>
      <c r="L564" s="762">
        <f>'TTUHSCEP FGD'!$L$60</f>
        <v>0</v>
      </c>
      <c r="M564" s="723">
        <f>'TTUHSCEP FGD'!$M$60</f>
        <v>290446</v>
      </c>
    </row>
    <row r="565" spans="1:15" hidden="1" outlineLevel="1">
      <c r="B565" s="823" t="str">
        <f>'UHM FGD'!$B$2</f>
        <v>University of Houston Medical School (M)</v>
      </c>
      <c r="D565" s="762">
        <f>'UHM FGD'!$D$60</f>
        <v>0</v>
      </c>
      <c r="E565" s="762">
        <f>'UHM FGD'!$E$60</f>
        <v>0</v>
      </c>
      <c r="F565" s="762">
        <f>'UHM FGD'!$F$60</f>
        <v>0</v>
      </c>
      <c r="G565" s="762">
        <f>'UHM FGD'!$G$60</f>
        <v>0</v>
      </c>
      <c r="H565" s="762">
        <f>'UHM FGD'!$H$60</f>
        <v>0</v>
      </c>
      <c r="I565" s="762">
        <f>'UHM FGD'!$I$60</f>
        <v>0</v>
      </c>
      <c r="J565" s="762">
        <f>'UHM FGD'!$J$60</f>
        <v>0</v>
      </c>
      <c r="K565" s="762">
        <f>'UHM FGD'!$K$60</f>
        <v>0</v>
      </c>
      <c r="L565" s="762">
        <f>'UHM FGD'!$L$60</f>
        <v>0</v>
      </c>
      <c r="M565" s="723">
        <f>'UHM FGD'!$M$60</f>
        <v>0</v>
      </c>
    </row>
    <row r="566" spans="1:15" hidden="1" outlineLevel="1">
      <c r="B566" s="823" t="str">
        <f>'UNTHSC1 FGD'!$B$2</f>
        <v>University of North Texas Health Science Center at Fort Worth (Public Medical)</v>
      </c>
      <c r="D566" s="762">
        <f>'UNTHSC1 FGD'!$D$60</f>
        <v>0</v>
      </c>
      <c r="E566" s="762">
        <f>'UNTHSC1 FGD'!$E$60</f>
        <v>0</v>
      </c>
      <c r="F566" s="762">
        <f>'UNTHSC1 FGD'!$F$60</f>
        <v>695653</v>
      </c>
      <c r="G566" s="762">
        <f>'UNTHSC1 FGD'!$G$60</f>
        <v>0</v>
      </c>
      <c r="H566" s="762">
        <f>'UNTHSC1 FGD'!$H$60</f>
        <v>0</v>
      </c>
      <c r="I566" s="762">
        <f>'UNTHSC1 FGD'!$I$60</f>
        <v>0</v>
      </c>
      <c r="J566" s="762">
        <f>'UNTHSC1 FGD'!$J$60</f>
        <v>0</v>
      </c>
      <c r="K566" s="762">
        <f>'UNTHSC1 FGD'!$K$60</f>
        <v>0</v>
      </c>
      <c r="L566" s="762">
        <f>'UNTHSC1 FGD'!$L$60</f>
        <v>0</v>
      </c>
      <c r="M566" s="723">
        <f>'UNTHSC1 FGD'!$M$60</f>
        <v>695653</v>
      </c>
    </row>
    <row r="567" spans="1:15" collapsed="1">
      <c r="A567" s="460">
        <v>43</v>
      </c>
      <c r="B567" s="752" t="s">
        <v>471</v>
      </c>
      <c r="D567" s="762">
        <f t="shared" ref="D567:M567" si="38">SUM(D554:D566)</f>
        <v>0</v>
      </c>
      <c r="E567" s="762">
        <f t="shared" si="38"/>
        <v>0</v>
      </c>
      <c r="F567" s="762">
        <f t="shared" si="38"/>
        <v>109585127</v>
      </c>
      <c r="G567" s="762">
        <f t="shared" si="38"/>
        <v>0</v>
      </c>
      <c r="H567" s="762">
        <f t="shared" si="38"/>
        <v>0</v>
      </c>
      <c r="I567" s="762">
        <f t="shared" si="38"/>
        <v>0</v>
      </c>
      <c r="J567" s="762">
        <f t="shared" si="38"/>
        <v>0</v>
      </c>
      <c r="K567" s="762">
        <f t="shared" si="38"/>
        <v>0</v>
      </c>
      <c r="L567" s="762">
        <f t="shared" si="38"/>
        <v>0</v>
      </c>
      <c r="M567" s="723">
        <f t="shared" si="38"/>
        <v>109585127</v>
      </c>
      <c r="O567" s="322"/>
    </row>
    <row r="568" spans="1:15" hidden="1" outlineLevel="1">
      <c r="B568" s="823" t="str">
        <f>'AUSM FGD'!$B$2</f>
        <v>The University of Texas at Austin Medical School (M)</v>
      </c>
      <c r="D568" s="762">
        <f>'AUSM FGD'!$D$61</f>
        <v>0</v>
      </c>
      <c r="E568" s="762">
        <f>'AUSM FGD'!$E$61</f>
        <v>1936115</v>
      </c>
      <c r="F568" s="762">
        <f>'AUSM FGD'!$F$61</f>
        <v>0</v>
      </c>
      <c r="G568" s="762">
        <f>'AUSM FGD'!$G$61</f>
        <v>0</v>
      </c>
      <c r="H568" s="762">
        <f>'AUSM FGD'!$H$61</f>
        <v>0</v>
      </c>
      <c r="I568" s="762">
        <f>'AUSM FGD'!$I$61</f>
        <v>0</v>
      </c>
      <c r="J568" s="762">
        <f>'AUSM FGD'!$J$61</f>
        <v>0</v>
      </c>
      <c r="K568" s="762">
        <f>'AUSM FGD'!$K$61</f>
        <v>0</v>
      </c>
      <c r="L568" s="762">
        <f>'AUSM FGD'!$L$61</f>
        <v>-123159</v>
      </c>
      <c r="M568" s="723">
        <f>'AUSM FGD'!$M$61</f>
        <v>1812956</v>
      </c>
      <c r="O568" s="322"/>
    </row>
    <row r="569" spans="1:15" hidden="1" outlineLevel="1">
      <c r="B569" s="823" t="str">
        <f>'HSH FGD'!$B$2</f>
        <v>The University of Texas Health Science Center at Houston</v>
      </c>
      <c r="D569" s="762">
        <f>'HSH FGD'!$D$61</f>
        <v>5247104</v>
      </c>
      <c r="E569" s="762">
        <f>'HSH FGD'!$E$61</f>
        <v>103499027</v>
      </c>
      <c r="F569" s="762">
        <f>'HSH FGD'!$F$61</f>
        <v>0</v>
      </c>
      <c r="G569" s="762">
        <f>'HSH FGD'!$G$61</f>
        <v>863658</v>
      </c>
      <c r="H569" s="762">
        <f>'HSH FGD'!$H$61</f>
        <v>69525</v>
      </c>
      <c r="I569" s="762">
        <f>'HSH FGD'!$I$61</f>
        <v>0</v>
      </c>
      <c r="J569" s="762">
        <f>'HSH FGD'!$J$61</f>
        <v>0</v>
      </c>
      <c r="K569" s="762">
        <f>'HSH FGD'!$K$61</f>
        <v>0</v>
      </c>
      <c r="L569" s="762">
        <f>'HSH FGD'!$L$61</f>
        <v>-418149</v>
      </c>
      <c r="M569" s="723">
        <f>'HSH FGD'!$M$61</f>
        <v>109261165</v>
      </c>
      <c r="O569" s="322"/>
    </row>
    <row r="570" spans="1:15" hidden="1" outlineLevel="1">
      <c r="B570" s="823" t="str">
        <f>'HSSA FGD'!$B$2</f>
        <v>The University of Texas Health Science Center at San Antonio</v>
      </c>
      <c r="D570" s="762">
        <f>'HSSA FGD'!$D$61</f>
        <v>0</v>
      </c>
      <c r="E570" s="762">
        <f>'HSSA FGD'!$E$61</f>
        <v>42457937</v>
      </c>
      <c r="F570" s="762">
        <f>'HSSA FGD'!$F$61</f>
        <v>0</v>
      </c>
      <c r="G570" s="762">
        <f>'HSSA FGD'!$G$61</f>
        <v>2662776</v>
      </c>
      <c r="H570" s="762">
        <f>'HSSA FGD'!$H$61</f>
        <v>49212</v>
      </c>
      <c r="I570" s="762">
        <f>'HSSA FGD'!$I$61</f>
        <v>0</v>
      </c>
      <c r="J570" s="762">
        <f>'HSSA FGD'!$J$61</f>
        <v>0</v>
      </c>
      <c r="K570" s="762">
        <f>'HSSA FGD'!$K$61</f>
        <v>0</v>
      </c>
      <c r="L570" s="762">
        <f>'HSSA FGD'!$L$61</f>
        <v>-56604</v>
      </c>
      <c r="M570" s="723">
        <f>'HSSA FGD'!$M$61</f>
        <v>45113321</v>
      </c>
      <c r="O570" s="322"/>
    </row>
    <row r="571" spans="1:15" hidden="1" outlineLevel="1">
      <c r="B571" s="823" t="str">
        <f>'MBG FGD'!$B$2</f>
        <v>The University of Texas Medical Branch at Galveston</v>
      </c>
      <c r="D571" s="762">
        <f>'MBG FGD'!$D$61</f>
        <v>73859632</v>
      </c>
      <c r="E571" s="762">
        <f>'MBG FGD'!$E$61</f>
        <v>39298223</v>
      </c>
      <c r="F571" s="762">
        <f>'MBG FGD'!$F$61</f>
        <v>0</v>
      </c>
      <c r="G571" s="762">
        <f>'MBG FGD'!$G$61</f>
        <v>837991</v>
      </c>
      <c r="H571" s="762">
        <f>'MBG FGD'!$H$61</f>
        <v>209679</v>
      </c>
      <c r="I571" s="762">
        <f>'MBG FGD'!$I$61</f>
        <v>0</v>
      </c>
      <c r="J571" s="762">
        <f>'MBG FGD'!$J$61</f>
        <v>2088283</v>
      </c>
      <c r="K571" s="762">
        <f>'MBG FGD'!$K$61</f>
        <v>0</v>
      </c>
      <c r="L571" s="762">
        <f>'MBG FGD'!$L$61</f>
        <v>-2625399</v>
      </c>
      <c r="M571" s="723">
        <f>'MBG FGD'!$M$61</f>
        <v>113668409</v>
      </c>
      <c r="O571" s="322"/>
    </row>
    <row r="572" spans="1:15" hidden="1" outlineLevel="1">
      <c r="B572" s="823" t="str">
        <f>'MDA FGD'!$B$2</f>
        <v>The University of Texas M.D. Anderson Cancer Center</v>
      </c>
      <c r="D572" s="762">
        <f>'MDA FGD'!$D$61</f>
        <v>20558776</v>
      </c>
      <c r="E572" s="762">
        <f>'MDA FGD'!$E$61</f>
        <v>113158367</v>
      </c>
      <c r="F572" s="762">
        <f>'MDA FGD'!$F$61</f>
        <v>0</v>
      </c>
      <c r="G572" s="762">
        <f>'MDA FGD'!$G$61</f>
        <v>3377024</v>
      </c>
      <c r="H572" s="762">
        <f>'MDA FGD'!$H$61</f>
        <v>0</v>
      </c>
      <c r="I572" s="762">
        <f>'MDA FGD'!$I$61</f>
        <v>0</v>
      </c>
      <c r="J572" s="762">
        <f>'MDA FGD'!$J$61</f>
        <v>0</v>
      </c>
      <c r="K572" s="762">
        <f>'MDA FGD'!$K$61</f>
        <v>0</v>
      </c>
      <c r="L572" s="762">
        <f>'MDA FGD'!$L$61</f>
        <v>1053616</v>
      </c>
      <c r="M572" s="723">
        <f>'MDA FGD'!$M$61</f>
        <v>138147783</v>
      </c>
      <c r="O572" s="322"/>
    </row>
    <row r="573" spans="1:15" hidden="1" outlineLevel="1">
      <c r="B573" s="823" t="str">
        <f>'RGVM FGD'!$B$2</f>
        <v>The University of Texas Rio Grande Valley Medical School (M)</v>
      </c>
      <c r="D573" s="762">
        <f>'RGVM FGD'!$D$61</f>
        <v>49278</v>
      </c>
      <c r="E573" s="762">
        <f>'RGVM FGD'!$E$61</f>
        <v>15853092</v>
      </c>
      <c r="F573" s="762">
        <f>'RGVM FGD'!$F$61</f>
        <v>0</v>
      </c>
      <c r="G573" s="762">
        <f>'RGVM FGD'!$G$61</f>
        <v>0</v>
      </c>
      <c r="H573" s="762">
        <f>'RGVM FGD'!$H$61</f>
        <v>0</v>
      </c>
      <c r="I573" s="762">
        <f>'RGVM FGD'!$I$61</f>
        <v>0</v>
      </c>
      <c r="J573" s="762">
        <f>'RGVM FGD'!$J$61</f>
        <v>0</v>
      </c>
      <c r="K573" s="762">
        <f>'RGVM FGD'!$K$61</f>
        <v>0</v>
      </c>
      <c r="L573" s="762">
        <f>'RGVM FGD'!$L$61</f>
        <v>0</v>
      </c>
      <c r="M573" s="723">
        <f>'RGVM FGD'!$M$61</f>
        <v>15902370</v>
      </c>
      <c r="O573" s="322"/>
    </row>
    <row r="574" spans="1:15" hidden="1" outlineLevel="1">
      <c r="B574" s="823" t="str">
        <f>'SWM FGD'!$B$2</f>
        <v>The University of Texas Southwestern Medical Center</v>
      </c>
      <c r="D574" s="762">
        <f>'SWM FGD'!$D$61</f>
        <v>141740</v>
      </c>
      <c r="E574" s="762">
        <f>'SWM FGD'!$E$61</f>
        <v>271409865</v>
      </c>
      <c r="F574" s="762">
        <f>'SWM FGD'!$F$61</f>
        <v>-12928</v>
      </c>
      <c r="G574" s="762">
        <f>'SWM FGD'!$G$61</f>
        <v>55999</v>
      </c>
      <c r="H574" s="762">
        <f>'SWM FGD'!$H$61</f>
        <v>642</v>
      </c>
      <c r="I574" s="762">
        <f>'SWM FGD'!$I$61</f>
        <v>0</v>
      </c>
      <c r="J574" s="762">
        <f>'SWM FGD'!$J$61</f>
        <v>0</v>
      </c>
      <c r="K574" s="762">
        <f>'SWM FGD'!$K$61</f>
        <v>0</v>
      </c>
      <c r="L574" s="762">
        <f>'SWM FGD'!$L$61</f>
        <v>-813007</v>
      </c>
      <c r="M574" s="723">
        <f>'SWM FGD'!$M$61</f>
        <v>270782311</v>
      </c>
      <c r="O574" s="322"/>
    </row>
    <row r="575" spans="1:15" hidden="1" outlineLevel="1">
      <c r="B575" s="823" t="str">
        <f>'TAMHSC FGD'!$B$2</f>
        <v>Texas A&amp;M University System Health Science Center</v>
      </c>
      <c r="D575" s="762">
        <f>'TAMHSC FGD'!$D$61</f>
        <v>0</v>
      </c>
      <c r="E575" s="762">
        <f>'TAMHSC FGD'!$E$61</f>
        <v>16082971</v>
      </c>
      <c r="F575" s="762">
        <f>'TAMHSC FGD'!$F$61</f>
        <v>33268</v>
      </c>
      <c r="G575" s="762">
        <f>'TAMHSC FGD'!$G$61</f>
        <v>46806</v>
      </c>
      <c r="H575" s="762">
        <f>'TAMHSC FGD'!$H$61</f>
        <v>22342</v>
      </c>
      <c r="I575" s="762">
        <f>'TAMHSC FGD'!$I$61</f>
        <v>0</v>
      </c>
      <c r="J575" s="762">
        <f>'TAMHSC FGD'!$J$61</f>
        <v>0</v>
      </c>
      <c r="K575" s="762">
        <f>'TAMHSC FGD'!$K$61</f>
        <v>0</v>
      </c>
      <c r="L575" s="762">
        <f>'TAMHSC FGD'!$L$61</f>
        <v>-8237184</v>
      </c>
      <c r="M575" s="723">
        <f>'TAMHSC FGD'!$M$61</f>
        <v>7948203</v>
      </c>
      <c r="O575" s="322"/>
    </row>
    <row r="576" spans="1:15" hidden="1" outlineLevel="1">
      <c r="B576" s="823" t="str">
        <f>'THC FGD'!$B$2</f>
        <v>The University of Texas Health Science Center at Tyler</v>
      </c>
      <c r="D576" s="762">
        <f>'THC FGD'!$D$61</f>
        <v>1575382</v>
      </c>
      <c r="E576" s="762">
        <f>'THC FGD'!$E$61</f>
        <v>15955704</v>
      </c>
      <c r="F576" s="762">
        <f>'THC FGD'!$F$61</f>
        <v>0</v>
      </c>
      <c r="G576" s="762">
        <f>'THC FGD'!$G$61</f>
        <v>27120</v>
      </c>
      <c r="H576" s="762">
        <f>'THC FGD'!$H$61</f>
        <v>0</v>
      </c>
      <c r="I576" s="762">
        <f>'THC FGD'!$I$61</f>
        <v>0</v>
      </c>
      <c r="J576" s="762">
        <f>'THC FGD'!$J$61</f>
        <v>0</v>
      </c>
      <c r="K576" s="762">
        <f>'THC FGD'!$K$61</f>
        <v>0</v>
      </c>
      <c r="L576" s="762">
        <f>'THC FGD'!$L$61</f>
        <v>-39283</v>
      </c>
      <c r="M576" s="723">
        <f>'THC FGD'!$M$61</f>
        <v>17518923</v>
      </c>
      <c r="O576" s="322"/>
    </row>
    <row r="577" spans="1:15" hidden="1" outlineLevel="1">
      <c r="B577" s="823" t="str">
        <f>'TTUHSC FGD'!$B$2</f>
        <v>Texas Tech University Health Sciences Center</v>
      </c>
      <c r="D577" s="762">
        <f>'TTUHSC FGD'!$D$61</f>
        <v>136</v>
      </c>
      <c r="E577" s="762">
        <f>'TTUHSC FGD'!$E$61</f>
        <v>57689798</v>
      </c>
      <c r="F577" s="762">
        <f>'TTUHSC FGD'!$F$61</f>
        <v>0</v>
      </c>
      <c r="G577" s="762">
        <f>'TTUHSC FGD'!$G$61</f>
        <v>36999</v>
      </c>
      <c r="H577" s="762">
        <f>'TTUHSC FGD'!$H$61</f>
        <v>-235911</v>
      </c>
      <c r="I577" s="762">
        <f>'TTUHSC FGD'!$I$61</f>
        <v>0</v>
      </c>
      <c r="J577" s="762">
        <f>'TTUHSC FGD'!$J$61</f>
        <v>447008</v>
      </c>
      <c r="K577" s="762">
        <f>'TTUHSC FGD'!$K$61</f>
        <v>0</v>
      </c>
      <c r="L577" s="762">
        <f>'TTUHSC FGD'!$L$61</f>
        <v>0</v>
      </c>
      <c r="M577" s="723">
        <f>'TTUHSC FGD'!$M$61</f>
        <v>57938030</v>
      </c>
      <c r="O577" s="322"/>
    </row>
    <row r="578" spans="1:15" hidden="1" outlineLevel="1">
      <c r="B578" s="823" t="str">
        <f>'TTUHSCEP FGD'!$B$2</f>
        <v>Texas Tech University Health Sciences Center at El Paso</v>
      </c>
      <c r="D578" s="762">
        <f>'TTUHSCEP FGD'!$D$61</f>
        <v>14962</v>
      </c>
      <c r="E578" s="762">
        <f>'TTUHSCEP FGD'!$E$61</f>
        <v>26406270</v>
      </c>
      <c r="F578" s="762">
        <f>'TTUHSCEP FGD'!$F$61</f>
        <v>3568</v>
      </c>
      <c r="G578" s="762">
        <f>'TTUHSCEP FGD'!$G$61</f>
        <v>0</v>
      </c>
      <c r="H578" s="762">
        <f>'TTUHSCEP FGD'!$H$61</f>
        <v>0</v>
      </c>
      <c r="I578" s="762">
        <f>'TTUHSCEP FGD'!$I$61</f>
        <v>0</v>
      </c>
      <c r="J578" s="762">
        <f>'TTUHSCEP FGD'!$J$61</f>
        <v>0</v>
      </c>
      <c r="K578" s="762">
        <f>'TTUHSCEP FGD'!$K$61</f>
        <v>0</v>
      </c>
      <c r="L578" s="762">
        <f>'TTUHSCEP FGD'!$L$61</f>
        <v>-30885</v>
      </c>
      <c r="M578" s="723">
        <f>'TTUHSCEP FGD'!$M$61</f>
        <v>26393915</v>
      </c>
      <c r="O578" s="322"/>
    </row>
    <row r="579" spans="1:15" hidden="1" outlineLevel="1">
      <c r="B579" s="823" t="str">
        <f>'UHM FGD'!$B$2</f>
        <v>University of Houston Medical School (M)</v>
      </c>
      <c r="D579" s="762">
        <f>'UHM FGD'!$D$61</f>
        <v>0</v>
      </c>
      <c r="E579" s="762">
        <f>'UHM FGD'!$E$61</f>
        <v>1021879</v>
      </c>
      <c r="F579" s="762">
        <f>'UHM FGD'!$F$61</f>
        <v>0</v>
      </c>
      <c r="G579" s="762">
        <f>'UHM FGD'!$G$61</f>
        <v>43304</v>
      </c>
      <c r="H579" s="762">
        <f>'UHM FGD'!$H$61</f>
        <v>0</v>
      </c>
      <c r="I579" s="762">
        <f>'UHM FGD'!$I$61</f>
        <v>0</v>
      </c>
      <c r="J579" s="762">
        <f>'UHM FGD'!$J$61</f>
        <v>0</v>
      </c>
      <c r="K579" s="762">
        <f>'UHM FGD'!$K$61</f>
        <v>0</v>
      </c>
      <c r="L579" s="762">
        <f>'UHM FGD'!$L$61</f>
        <v>0</v>
      </c>
      <c r="M579" s="723">
        <f>'UHM FGD'!$M$61</f>
        <v>1065183</v>
      </c>
      <c r="O579" s="322"/>
    </row>
    <row r="580" spans="1:15" hidden="1" outlineLevel="1">
      <c r="B580" s="823" t="str">
        <f>'UNTHSC1 FGD'!$B$2</f>
        <v>University of North Texas Health Science Center at Fort Worth (Public Medical)</v>
      </c>
      <c r="D580" s="762">
        <f>'UNTHSC1 FGD'!$D$61</f>
        <v>275</v>
      </c>
      <c r="E580" s="762">
        <f>'UNTHSC1 FGD'!$E$61</f>
        <v>6681558</v>
      </c>
      <c r="F580" s="762">
        <f>'UNTHSC1 FGD'!$F$61</f>
        <v>0</v>
      </c>
      <c r="G580" s="762">
        <f>'UNTHSC1 FGD'!$G$61</f>
        <v>143011</v>
      </c>
      <c r="H580" s="762">
        <f>'UNTHSC1 FGD'!$H$61</f>
        <v>30590</v>
      </c>
      <c r="I580" s="762">
        <f>'UNTHSC1 FGD'!$I$61</f>
        <v>0</v>
      </c>
      <c r="J580" s="762">
        <f>'UNTHSC1 FGD'!$J$61</f>
        <v>0</v>
      </c>
      <c r="K580" s="762">
        <f>'UNTHSC1 FGD'!$K$61</f>
        <v>0</v>
      </c>
      <c r="L580" s="762">
        <f>'UNTHSC1 FGD'!$L$61</f>
        <v>-732139</v>
      </c>
      <c r="M580" s="723">
        <f>'UNTHSC1 FGD'!$M$61</f>
        <v>6123295</v>
      </c>
      <c r="O580" s="322"/>
    </row>
    <row r="581" spans="1:15" ht="13.5" customHeight="1" collapsed="1">
      <c r="A581" s="460">
        <v>44</v>
      </c>
      <c r="B581" s="752" t="s">
        <v>177</v>
      </c>
      <c r="D581" s="762">
        <f t="shared" ref="D581:M581" si="39">SUM(D568:D580)</f>
        <v>101447285</v>
      </c>
      <c r="E581" s="762">
        <f t="shared" si="39"/>
        <v>711450806</v>
      </c>
      <c r="F581" s="762">
        <f t="shared" si="39"/>
        <v>23908</v>
      </c>
      <c r="G581" s="762">
        <f t="shared" si="39"/>
        <v>8094688</v>
      </c>
      <c r="H581" s="762">
        <f t="shared" si="39"/>
        <v>146079</v>
      </c>
      <c r="I581" s="762">
        <f t="shared" si="39"/>
        <v>0</v>
      </c>
      <c r="J581" s="762">
        <f t="shared" si="39"/>
        <v>2535291</v>
      </c>
      <c r="K581" s="762">
        <f t="shared" si="39"/>
        <v>0</v>
      </c>
      <c r="L581" s="762">
        <f t="shared" si="39"/>
        <v>-12022193</v>
      </c>
      <c r="M581" s="723">
        <f t="shared" si="39"/>
        <v>811675864</v>
      </c>
      <c r="O581" s="322"/>
    </row>
    <row r="582" spans="1:15" ht="13.5" hidden="1" customHeight="1" outlineLevel="1">
      <c r="B582" s="823" t="str">
        <f>'AUSM FGD'!$B$2</f>
        <v>The University of Texas at Austin Medical School (M)</v>
      </c>
      <c r="D582" s="762">
        <f>'AUSM FGD'!$D$62</f>
        <v>0</v>
      </c>
      <c r="E582" s="762">
        <f>'AUSM FGD'!$E$62</f>
        <v>146033724</v>
      </c>
      <c r="F582" s="762">
        <f>'AUSM FGD'!$F$62</f>
        <v>3148117</v>
      </c>
      <c r="G582" s="762">
        <f>'AUSM FGD'!$G$62</f>
        <v>18813513</v>
      </c>
      <c r="H582" s="762">
        <f>'AUSM FGD'!$H$62</f>
        <v>0</v>
      </c>
      <c r="I582" s="762">
        <f>'AUSM FGD'!$I$62</f>
        <v>-1293676</v>
      </c>
      <c r="J582" s="762">
        <f>'AUSM FGD'!$J$62</f>
        <v>0</v>
      </c>
      <c r="K582" s="762">
        <f>'AUSM FGD'!$K$62</f>
        <v>0</v>
      </c>
      <c r="L582" s="762">
        <f>'AUSM FGD'!$L$62</f>
        <v>-123159</v>
      </c>
      <c r="M582" s="723">
        <f>'AUSM FGD'!$M$62</f>
        <v>166578519</v>
      </c>
      <c r="O582" s="322"/>
    </row>
    <row r="583" spans="1:15" ht="13.5" hidden="1" customHeight="1" outlineLevel="1">
      <c r="B583" s="823" t="str">
        <f>'HSH FGD'!$B$2</f>
        <v>The University of Texas Health Science Center at Houston</v>
      </c>
      <c r="D583" s="762">
        <f>'HSH FGD'!$D$62</f>
        <v>13383785</v>
      </c>
      <c r="E583" s="762">
        <f>'HSH FGD'!$E$62</f>
        <v>878192559</v>
      </c>
      <c r="F583" s="762">
        <f>'HSH FGD'!$F$62</f>
        <v>22460030</v>
      </c>
      <c r="G583" s="762">
        <f>'HSH FGD'!$G$62</f>
        <v>170959416</v>
      </c>
      <c r="H583" s="762">
        <f>'HSH FGD'!$H$62</f>
        <v>200293</v>
      </c>
      <c r="I583" s="762">
        <f>'HSH FGD'!$I$62</f>
        <v>2105069</v>
      </c>
      <c r="J583" s="762">
        <f>'HSH FGD'!$J$62</f>
        <v>854583</v>
      </c>
      <c r="K583" s="762">
        <f>'HSH FGD'!$K$62</f>
        <v>0</v>
      </c>
      <c r="L583" s="762">
        <f>'HSH FGD'!$L$62</f>
        <v>-418149</v>
      </c>
      <c r="M583" s="723">
        <f>'HSH FGD'!$M$62</f>
        <v>1087737586</v>
      </c>
      <c r="O583" s="322"/>
    </row>
    <row r="584" spans="1:15" ht="13.5" hidden="1" customHeight="1" outlineLevel="1">
      <c r="B584" s="823" t="str">
        <f>'HSSA FGD'!$B$2</f>
        <v>The University of Texas Health Science Center at San Antonio</v>
      </c>
      <c r="D584" s="762">
        <f>'HSSA FGD'!$D$62</f>
        <v>5781153</v>
      </c>
      <c r="E584" s="762">
        <f>'HSSA FGD'!$E$62</f>
        <v>312869027</v>
      </c>
      <c r="F584" s="762">
        <f>'HSSA FGD'!$F$62</f>
        <v>5178324</v>
      </c>
      <c r="G584" s="762">
        <f>'HSSA FGD'!$G$62</f>
        <v>100282463</v>
      </c>
      <c r="H584" s="762">
        <f>'HSSA FGD'!$H$62</f>
        <v>61575</v>
      </c>
      <c r="I584" s="762">
        <f>'HSSA FGD'!$I$62</f>
        <v>305441</v>
      </c>
      <c r="J584" s="762">
        <f>'HSSA FGD'!$J$62</f>
        <v>0</v>
      </c>
      <c r="K584" s="762">
        <f>'HSSA FGD'!$K$62</f>
        <v>0</v>
      </c>
      <c r="L584" s="762">
        <f>'HSSA FGD'!$L$62</f>
        <v>-56604</v>
      </c>
      <c r="M584" s="723">
        <f>'HSSA FGD'!$M$62</f>
        <v>424421379</v>
      </c>
      <c r="O584" s="322"/>
    </row>
    <row r="585" spans="1:15" ht="13.5" hidden="1" customHeight="1" outlineLevel="1">
      <c r="B585" s="823" t="str">
        <f>'MBG FGD'!$B$2</f>
        <v>The University of Texas Medical Branch at Galveston</v>
      </c>
      <c r="D585" s="762">
        <f>'MBG FGD'!$D$62</f>
        <v>77870336</v>
      </c>
      <c r="E585" s="762">
        <f>'MBG FGD'!$E$62</f>
        <v>119754162</v>
      </c>
      <c r="F585" s="762">
        <f>'MBG FGD'!$F$62</f>
        <v>13688535</v>
      </c>
      <c r="G585" s="762">
        <f>'MBG FGD'!$G$62</f>
        <v>72805819</v>
      </c>
      <c r="H585" s="762">
        <f>'MBG FGD'!$H$62</f>
        <v>237563</v>
      </c>
      <c r="I585" s="762">
        <f>'MBG FGD'!$I$62</f>
        <v>1962194</v>
      </c>
      <c r="J585" s="762">
        <f>'MBG FGD'!$J$62</f>
        <v>55166918</v>
      </c>
      <c r="K585" s="762">
        <f>'MBG FGD'!$K$62</f>
        <v>0</v>
      </c>
      <c r="L585" s="762">
        <f>'MBG FGD'!$L$62</f>
        <v>-2625399</v>
      </c>
      <c r="M585" s="723">
        <f>'MBG FGD'!$M$62</f>
        <v>338860128</v>
      </c>
      <c r="O585" s="322"/>
    </row>
    <row r="586" spans="1:15" ht="13.5" hidden="1" customHeight="1" outlineLevel="1">
      <c r="B586" s="823" t="str">
        <f>'MDA FGD'!$B$2</f>
        <v>The University of Texas M.D. Anderson Cancer Center</v>
      </c>
      <c r="D586" s="762">
        <f>'MDA FGD'!$D$62</f>
        <v>233558138</v>
      </c>
      <c r="E586" s="762">
        <f>'MDA FGD'!$E$62</f>
        <v>408023870</v>
      </c>
      <c r="F586" s="762">
        <f>'MDA FGD'!$F$62</f>
        <v>34980243</v>
      </c>
      <c r="G586" s="762">
        <f>'MDA FGD'!$G$62</f>
        <v>329338057</v>
      </c>
      <c r="H586" s="762">
        <f>'MDA FGD'!$H$62</f>
        <v>0</v>
      </c>
      <c r="I586" s="762">
        <f>'MDA FGD'!$I$62</f>
        <v>119888</v>
      </c>
      <c r="J586" s="762">
        <f>'MDA FGD'!$J$62</f>
        <v>0</v>
      </c>
      <c r="K586" s="762">
        <f>'MDA FGD'!$K$62</f>
        <v>0</v>
      </c>
      <c r="L586" s="762">
        <f>'MDA FGD'!$L$62</f>
        <v>1053616</v>
      </c>
      <c r="M586" s="723">
        <f>'MDA FGD'!$M$62</f>
        <v>1007073812</v>
      </c>
      <c r="O586" s="322"/>
    </row>
    <row r="587" spans="1:15" ht="13.5" hidden="1" customHeight="1" outlineLevel="1">
      <c r="B587" s="823" t="str">
        <f>'RGVM FGD'!$B$2</f>
        <v>The University of Texas Rio Grande Valley Medical School (M)</v>
      </c>
      <c r="D587" s="762">
        <f>'RGVM FGD'!$D$62</f>
        <v>49278</v>
      </c>
      <c r="E587" s="762">
        <f>'RGVM FGD'!$E$62</f>
        <v>49130143</v>
      </c>
      <c r="F587" s="762">
        <f>'RGVM FGD'!$F$62</f>
        <v>108437</v>
      </c>
      <c r="G587" s="762">
        <f>'RGVM FGD'!$G$62</f>
        <v>11584687</v>
      </c>
      <c r="H587" s="762">
        <f>'RGVM FGD'!$H$62</f>
        <v>0</v>
      </c>
      <c r="I587" s="762">
        <f>'RGVM FGD'!$I$62</f>
        <v>1048</v>
      </c>
      <c r="J587" s="762">
        <f>'RGVM FGD'!$J$62</f>
        <v>0</v>
      </c>
      <c r="K587" s="762">
        <f>'RGVM FGD'!$K$62</f>
        <v>0</v>
      </c>
      <c r="L587" s="762">
        <f>'RGVM FGD'!$L$62</f>
        <v>0</v>
      </c>
      <c r="M587" s="723">
        <f>'RGVM FGD'!$M$62</f>
        <v>60873593</v>
      </c>
      <c r="O587" s="322"/>
    </row>
    <row r="588" spans="1:15" ht="13.5" hidden="1" customHeight="1" outlineLevel="1">
      <c r="B588" s="823" t="str">
        <f>'SWM FGD'!$B$2</f>
        <v>The University of Texas Southwestern Medical Center</v>
      </c>
      <c r="D588" s="762">
        <f>'SWM FGD'!$D$62</f>
        <v>264324</v>
      </c>
      <c r="E588" s="762">
        <f>'SWM FGD'!$E$62</f>
        <v>823378511</v>
      </c>
      <c r="F588" s="762">
        <f>'SWM FGD'!$F$62</f>
        <v>29637230</v>
      </c>
      <c r="G588" s="762">
        <f>'SWM FGD'!$G$62</f>
        <v>356913468</v>
      </c>
      <c r="H588" s="762">
        <f>'SWM FGD'!$H$62</f>
        <v>18078</v>
      </c>
      <c r="I588" s="762">
        <f>'SWM FGD'!$I$62</f>
        <v>1265209</v>
      </c>
      <c r="J588" s="762">
        <f>'SWM FGD'!$J$62</f>
        <v>0</v>
      </c>
      <c r="K588" s="762">
        <f>'SWM FGD'!$K$62</f>
        <v>0</v>
      </c>
      <c r="L588" s="762">
        <f>'SWM FGD'!$L$62</f>
        <v>-813007</v>
      </c>
      <c r="M588" s="723">
        <f>'SWM FGD'!$M$62</f>
        <v>1210663813</v>
      </c>
      <c r="O588" s="322"/>
    </row>
    <row r="589" spans="1:15" ht="13.5" hidden="1" customHeight="1" outlineLevel="1">
      <c r="B589" s="823" t="str">
        <f>'TAMHSC FGD'!$B$2</f>
        <v>Texas A&amp;M University System Health Science Center</v>
      </c>
      <c r="D589" s="762">
        <f>'TAMHSC FGD'!$D$62</f>
        <v>6953111</v>
      </c>
      <c r="E589" s="762">
        <f>'TAMHSC FGD'!$E$62</f>
        <v>57291416</v>
      </c>
      <c r="F589" s="762">
        <f>'TAMHSC FGD'!$F$62</f>
        <v>2100349</v>
      </c>
      <c r="G589" s="762">
        <f>'TAMHSC FGD'!$G$62</f>
        <v>10788918</v>
      </c>
      <c r="H589" s="762">
        <f>'TAMHSC FGD'!$H$62</f>
        <v>19398</v>
      </c>
      <c r="I589" s="762">
        <f>'TAMHSC FGD'!$I$62</f>
        <v>-794132</v>
      </c>
      <c r="J589" s="762">
        <f>'TAMHSC FGD'!$J$62</f>
        <v>0</v>
      </c>
      <c r="K589" s="762">
        <f>'TAMHSC FGD'!$K$62</f>
        <v>0</v>
      </c>
      <c r="L589" s="762">
        <f>'TAMHSC FGD'!$L$62</f>
        <v>-8237184</v>
      </c>
      <c r="M589" s="723">
        <f>'TAMHSC FGD'!$M$62</f>
        <v>68121876</v>
      </c>
      <c r="O589" s="322"/>
    </row>
    <row r="590" spans="1:15" ht="13.5" hidden="1" customHeight="1" outlineLevel="1">
      <c r="B590" s="823" t="str">
        <f>'THC FGD'!$B$2</f>
        <v>The University of Texas Health Science Center at Tyler</v>
      </c>
      <c r="D590" s="762">
        <f>'THC FGD'!$D$62</f>
        <v>5617393</v>
      </c>
      <c r="E590" s="762">
        <f>'THC FGD'!$E$62</f>
        <v>85406306</v>
      </c>
      <c r="F590" s="762">
        <f>'THC FGD'!$F$62</f>
        <v>136714</v>
      </c>
      <c r="G590" s="762">
        <f>'THC FGD'!$G$62</f>
        <v>14387300</v>
      </c>
      <c r="H590" s="762">
        <f>'THC FGD'!$H$62</f>
        <v>0</v>
      </c>
      <c r="I590" s="762">
        <f>'THC FGD'!$I$62</f>
        <v>2079</v>
      </c>
      <c r="J590" s="762">
        <f>'THC FGD'!$J$62</f>
        <v>-9856</v>
      </c>
      <c r="K590" s="762">
        <f>'THC FGD'!$K$62</f>
        <v>0</v>
      </c>
      <c r="L590" s="762">
        <f>'THC FGD'!$L$62</f>
        <v>-39283</v>
      </c>
      <c r="M590" s="723">
        <f>'THC FGD'!$M$62</f>
        <v>105500653</v>
      </c>
      <c r="O590" s="322"/>
    </row>
    <row r="591" spans="1:15" ht="13.5" hidden="1" customHeight="1" outlineLevel="1">
      <c r="B591" s="823" t="str">
        <f>'TTUHSC FGD'!$B$2</f>
        <v>Texas Tech University Health Sciences Center</v>
      </c>
      <c r="D591" s="762">
        <f>'TTUHSC FGD'!$D$62</f>
        <v>211038</v>
      </c>
      <c r="E591" s="762">
        <f>'TTUHSC FGD'!$E$62</f>
        <v>158500326</v>
      </c>
      <c r="F591" s="762">
        <f>'TTUHSC FGD'!$F$62</f>
        <v>994314</v>
      </c>
      <c r="G591" s="762">
        <f>'TTUHSC FGD'!$G$62</f>
        <v>94874730</v>
      </c>
      <c r="H591" s="762">
        <f>'TTUHSC FGD'!$H$62</f>
        <v>-179805</v>
      </c>
      <c r="I591" s="762">
        <f>'TTUHSC FGD'!$I$62</f>
        <v>-4164862</v>
      </c>
      <c r="J591" s="762">
        <f>'TTUHSC FGD'!$J$62</f>
        <v>6628958</v>
      </c>
      <c r="K591" s="762">
        <f>'TTUHSC FGD'!$K$62</f>
        <v>0</v>
      </c>
      <c r="L591" s="762">
        <f>'TTUHSC FGD'!$L$62</f>
        <v>0</v>
      </c>
      <c r="M591" s="723">
        <f>'TTUHSC FGD'!$M$62</f>
        <v>256864699</v>
      </c>
      <c r="O591" s="322"/>
    </row>
    <row r="592" spans="1:15" ht="13.5" hidden="1" customHeight="1" outlineLevel="1">
      <c r="B592" s="823" t="str">
        <f>'TTUHSCEP FGD'!$B$2</f>
        <v>Texas Tech University Health Sciences Center at El Paso</v>
      </c>
      <c r="D592" s="762">
        <f>'TTUHSCEP FGD'!$D$62</f>
        <v>38976</v>
      </c>
      <c r="E592" s="762">
        <f>'TTUHSCEP FGD'!$E$62</f>
        <v>110502134</v>
      </c>
      <c r="F592" s="762">
        <f>'TTUHSCEP FGD'!$F$62</f>
        <v>308374</v>
      </c>
      <c r="G592" s="762">
        <f>'TTUHSCEP FGD'!$G$62</f>
        <v>24196759</v>
      </c>
      <c r="H592" s="762">
        <f>'TTUHSCEP FGD'!$H$62</f>
        <v>21364</v>
      </c>
      <c r="I592" s="762">
        <f>'TTUHSCEP FGD'!$I$62</f>
        <v>-2165859</v>
      </c>
      <c r="J592" s="762">
        <f>'TTUHSCEP FGD'!$J$62</f>
        <v>53651</v>
      </c>
      <c r="K592" s="762">
        <f>'TTUHSCEP FGD'!$K$62</f>
        <v>0</v>
      </c>
      <c r="L592" s="762">
        <f>'TTUHSCEP FGD'!$L$62</f>
        <v>-30885</v>
      </c>
      <c r="M592" s="723">
        <f>'TTUHSCEP FGD'!$M$62</f>
        <v>132924514</v>
      </c>
      <c r="O592" s="322"/>
    </row>
    <row r="593" spans="1:15" ht="13.5" hidden="1" customHeight="1" outlineLevel="1">
      <c r="B593" s="823" t="str">
        <f>'UHM FGD'!$B$2</f>
        <v>University of Houston Medical School (M)</v>
      </c>
      <c r="D593" s="762">
        <f>'UHM FGD'!$D$62</f>
        <v>1102623</v>
      </c>
      <c r="E593" s="762">
        <f>'UHM FGD'!$E$62</f>
        <v>1022574</v>
      </c>
      <c r="F593" s="762">
        <f>'UHM FGD'!$F$62</f>
        <v>0</v>
      </c>
      <c r="G593" s="762">
        <f>'UHM FGD'!$G$62</f>
        <v>3484179</v>
      </c>
      <c r="H593" s="762">
        <f>'UHM FGD'!$H$62</f>
        <v>0</v>
      </c>
      <c r="I593" s="762">
        <f>'UHM FGD'!$I$62</f>
        <v>0</v>
      </c>
      <c r="J593" s="762">
        <f>'UHM FGD'!$J$62</f>
        <v>0</v>
      </c>
      <c r="K593" s="762">
        <f>'UHM FGD'!$K$62</f>
        <v>0</v>
      </c>
      <c r="L593" s="762">
        <f>'UHM FGD'!$L$62</f>
        <v>0</v>
      </c>
      <c r="M593" s="723">
        <f>'UHM FGD'!$M$62</f>
        <v>5609376</v>
      </c>
      <c r="O593" s="322"/>
    </row>
    <row r="594" spans="1:15" ht="13.5" hidden="1" customHeight="1" outlineLevel="1">
      <c r="B594" s="823" t="str">
        <f>'UNTHSC1 FGD'!$B$2</f>
        <v>University of North Texas Health Science Center at Fort Worth (Public Medical)</v>
      </c>
      <c r="D594" s="762">
        <f>'UNTHSC1 FGD'!$D$62</f>
        <v>20673</v>
      </c>
      <c r="E594" s="762">
        <f>'UNTHSC1 FGD'!$E$62</f>
        <v>74081915</v>
      </c>
      <c r="F594" s="762">
        <f>'UNTHSC1 FGD'!$F$62</f>
        <v>695653</v>
      </c>
      <c r="G594" s="762">
        <f>'UNTHSC1 FGD'!$G$62</f>
        <v>5371782</v>
      </c>
      <c r="H594" s="762">
        <f>'UNTHSC1 FGD'!$H$62</f>
        <v>25963</v>
      </c>
      <c r="I594" s="762">
        <f>'UNTHSC1 FGD'!$I$62</f>
        <v>1461478</v>
      </c>
      <c r="J594" s="762">
        <f>'UNTHSC1 FGD'!$J$62</f>
        <v>0</v>
      </c>
      <c r="K594" s="762">
        <f>'UNTHSC1 FGD'!$K$62</f>
        <v>0</v>
      </c>
      <c r="L594" s="762">
        <f>'UNTHSC1 FGD'!$L$62</f>
        <v>-732139</v>
      </c>
      <c r="M594" s="723">
        <f>'UNTHSC1 FGD'!$M$62</f>
        <v>80925325</v>
      </c>
      <c r="O594" s="322"/>
    </row>
    <row r="595" spans="1:15" ht="12.75" customHeight="1" collapsed="1">
      <c r="A595" s="460">
        <v>45</v>
      </c>
      <c r="B595" s="768" t="s">
        <v>155</v>
      </c>
      <c r="C595" s="768"/>
      <c r="D595" s="769">
        <f t="shared" ref="D595:M595" si="40">SUM(D582:D594)</f>
        <v>344850828</v>
      </c>
      <c r="E595" s="769">
        <f t="shared" si="40"/>
        <v>3224186667</v>
      </c>
      <c r="F595" s="769">
        <f t="shared" si="40"/>
        <v>113436320</v>
      </c>
      <c r="G595" s="769">
        <f t="shared" si="40"/>
        <v>1213801091</v>
      </c>
      <c r="H595" s="769">
        <f t="shared" si="40"/>
        <v>404429</v>
      </c>
      <c r="I595" s="769">
        <f t="shared" si="40"/>
        <v>-1196123</v>
      </c>
      <c r="J595" s="769">
        <f t="shared" si="40"/>
        <v>62694254</v>
      </c>
      <c r="K595" s="769">
        <f t="shared" si="40"/>
        <v>0</v>
      </c>
      <c r="L595" s="769">
        <f t="shared" si="40"/>
        <v>-12022193</v>
      </c>
      <c r="M595" s="769">
        <f t="shared" si="40"/>
        <v>4946155273</v>
      </c>
      <c r="O595" s="322" t="str">
        <f>IF(M595&lt;&gt;M1106,"Error","OK")</f>
        <v>OK</v>
      </c>
    </row>
    <row r="596" spans="1:15" ht="12.75" hidden="1" customHeight="1" outlineLevel="1">
      <c r="B596" s="823" t="str">
        <f>'AUSM FGD'!$B$2</f>
        <v>The University of Texas at Austin Medical School (M)</v>
      </c>
      <c r="C596" s="768"/>
      <c r="D596" s="769">
        <f>'AUSM FGD'!$D$63</f>
        <v>42756684</v>
      </c>
      <c r="E596" s="769">
        <f>'AUSM FGD'!$E$63</f>
        <v>163362184</v>
      </c>
      <c r="F596" s="769">
        <f>'AUSM FGD'!$F$63</f>
        <v>3148117</v>
      </c>
      <c r="G596" s="769">
        <f>'AUSM FGD'!$G$63</f>
        <v>35250074</v>
      </c>
      <c r="H596" s="769">
        <f>'AUSM FGD'!$H$63</f>
        <v>0</v>
      </c>
      <c r="I596" s="769">
        <f>'AUSM FGD'!$I$63</f>
        <v>-1293676</v>
      </c>
      <c r="J596" s="769">
        <f>'AUSM FGD'!$J$63</f>
        <v>0</v>
      </c>
      <c r="K596" s="769">
        <f>'AUSM FGD'!$K$63</f>
        <v>0</v>
      </c>
      <c r="L596" s="769">
        <f>'AUSM FGD'!$L$63</f>
        <v>-123159</v>
      </c>
      <c r="M596" s="769">
        <f>'AUSM FGD'!$M$63</f>
        <v>243100224</v>
      </c>
      <c r="O596" s="322"/>
    </row>
    <row r="597" spans="1:15" ht="12.75" hidden="1" customHeight="1" outlineLevel="1">
      <c r="B597" s="823" t="str">
        <f>'HSH FGD'!$B$2</f>
        <v>The University of Texas Health Science Center at Houston</v>
      </c>
      <c r="C597" s="768"/>
      <c r="D597" s="769">
        <f>'HSH FGD'!$D$63</f>
        <v>354650877</v>
      </c>
      <c r="E597" s="769">
        <f>'HSH FGD'!$E$63</f>
        <v>1473536823</v>
      </c>
      <c r="F597" s="769">
        <f>'HSH FGD'!$F$63</f>
        <v>24891936</v>
      </c>
      <c r="G597" s="769">
        <f>'HSH FGD'!$G$63</f>
        <v>366404000</v>
      </c>
      <c r="H597" s="769">
        <f>'HSH FGD'!$H$63</f>
        <v>200293</v>
      </c>
      <c r="I597" s="769">
        <f>'HSH FGD'!$I$63</f>
        <v>2105069</v>
      </c>
      <c r="J597" s="769">
        <f>'HSH FGD'!$J$63</f>
        <v>854583</v>
      </c>
      <c r="K597" s="769">
        <f>'HSH FGD'!$K$63</f>
        <v>0</v>
      </c>
      <c r="L597" s="769">
        <f>'HSH FGD'!$L$63</f>
        <v>-418149</v>
      </c>
      <c r="M597" s="769">
        <f>'HSH FGD'!$M$63</f>
        <v>2222225432</v>
      </c>
      <c r="O597" s="322"/>
    </row>
    <row r="598" spans="1:15" ht="12.75" hidden="1" customHeight="1" outlineLevel="1">
      <c r="B598" s="823" t="str">
        <f>'HSSA FGD'!$B$2</f>
        <v>The University of Texas Health Science Center at San Antonio</v>
      </c>
      <c r="C598" s="768"/>
      <c r="D598" s="769">
        <f>'HSSA FGD'!$D$63</f>
        <v>208374087</v>
      </c>
      <c r="E598" s="769">
        <f>'HSSA FGD'!$E$63</f>
        <v>738091443</v>
      </c>
      <c r="F598" s="769">
        <f>'HSSA FGD'!$F$63</f>
        <v>8279074</v>
      </c>
      <c r="G598" s="769">
        <f>'HSSA FGD'!$G$63</f>
        <v>268000203</v>
      </c>
      <c r="H598" s="769">
        <f>'HSSA FGD'!$H$63</f>
        <v>61575</v>
      </c>
      <c r="I598" s="769">
        <f>'HSSA FGD'!$I$63</f>
        <v>305441</v>
      </c>
      <c r="J598" s="769">
        <f>'HSSA FGD'!$J$63</f>
        <v>0</v>
      </c>
      <c r="K598" s="769">
        <f>'HSSA FGD'!$K$63</f>
        <v>0</v>
      </c>
      <c r="L598" s="769">
        <f>'HSSA FGD'!$L$63</f>
        <v>-56604</v>
      </c>
      <c r="M598" s="769">
        <f>'HSSA FGD'!$M$63</f>
        <v>1223055219</v>
      </c>
      <c r="O598" s="322"/>
    </row>
    <row r="599" spans="1:15" ht="12.75" hidden="1" customHeight="1" outlineLevel="1">
      <c r="B599" s="823" t="str">
        <f>'MBG FGD'!$B$2</f>
        <v>The University of Texas Medical Branch at Galveston</v>
      </c>
      <c r="C599" s="768"/>
      <c r="D599" s="769">
        <f>'MBG FGD'!$D$63</f>
        <v>1233026118</v>
      </c>
      <c r="E599" s="769">
        <f>'MBG FGD'!$E$63</f>
        <v>1243348461</v>
      </c>
      <c r="F599" s="769">
        <f>'MBG FGD'!$F$63</f>
        <v>14487694</v>
      </c>
      <c r="G599" s="769">
        <f>'MBG FGD'!$G$63</f>
        <v>204034268</v>
      </c>
      <c r="H599" s="769">
        <f>'MBG FGD'!$H$63</f>
        <v>237563</v>
      </c>
      <c r="I599" s="769">
        <f>'MBG FGD'!$I$63</f>
        <v>1962194</v>
      </c>
      <c r="J599" s="769">
        <f>'MBG FGD'!$J$63</f>
        <v>62983680</v>
      </c>
      <c r="K599" s="769">
        <f>'MBG FGD'!$K$63</f>
        <v>0</v>
      </c>
      <c r="L599" s="769">
        <f>'MBG FGD'!$L$63</f>
        <v>-2625399</v>
      </c>
      <c r="M599" s="769">
        <f>'MBG FGD'!$M$63</f>
        <v>2757454579</v>
      </c>
      <c r="O599" s="322"/>
    </row>
    <row r="600" spans="1:15" ht="12.75" hidden="1" customHeight="1" outlineLevel="1">
      <c r="B600" s="823" t="str">
        <f>'MDA FGD'!$B$2</f>
        <v>The University of Texas M.D. Anderson Cancer Center</v>
      </c>
      <c r="C600" s="768"/>
      <c r="D600" s="769">
        <f>'MDA FGD'!$D$63</f>
        <v>5306851454</v>
      </c>
      <c r="E600" s="769">
        <f>'MDA FGD'!$E$63</f>
        <v>967908600</v>
      </c>
      <c r="F600" s="769">
        <f>'MDA FGD'!$F$63</f>
        <v>34980243</v>
      </c>
      <c r="G600" s="769">
        <f>'MDA FGD'!$G$63</f>
        <v>562875617</v>
      </c>
      <c r="H600" s="769">
        <f>'MDA FGD'!$H$63</f>
        <v>0</v>
      </c>
      <c r="I600" s="769">
        <f>'MDA FGD'!$I$63</f>
        <v>119888</v>
      </c>
      <c r="J600" s="769">
        <f>'MDA FGD'!$J$63</f>
        <v>0</v>
      </c>
      <c r="K600" s="769">
        <f>'MDA FGD'!$K$63</f>
        <v>0</v>
      </c>
      <c r="L600" s="769">
        <f>'MDA FGD'!$L$63</f>
        <v>1053616</v>
      </c>
      <c r="M600" s="769">
        <f>'MDA FGD'!$M$63</f>
        <v>6873789418</v>
      </c>
      <c r="O600" s="322"/>
    </row>
    <row r="601" spans="1:15" ht="12.75" hidden="1" customHeight="1" outlineLevel="1">
      <c r="B601" s="823" t="str">
        <f>'RGVM FGD'!$B$2</f>
        <v>The University of Texas Rio Grande Valley Medical School (M)</v>
      </c>
      <c r="C601" s="768"/>
      <c r="D601" s="769">
        <f>'RGVM FGD'!$D$63</f>
        <v>50460056</v>
      </c>
      <c r="E601" s="769">
        <f>'RGVM FGD'!$E$63</f>
        <v>71515418</v>
      </c>
      <c r="F601" s="769">
        <f>'RGVM FGD'!$F$63</f>
        <v>303323</v>
      </c>
      <c r="G601" s="769">
        <f>'RGVM FGD'!$G$63</f>
        <v>20097942</v>
      </c>
      <c r="H601" s="769">
        <f>'RGVM FGD'!$H$63</f>
        <v>0</v>
      </c>
      <c r="I601" s="769">
        <f>'RGVM FGD'!$I$63</f>
        <v>1048</v>
      </c>
      <c r="J601" s="769">
        <f>'RGVM FGD'!$J$63</f>
        <v>0</v>
      </c>
      <c r="K601" s="769">
        <f>'RGVM FGD'!$K$63</f>
        <v>0</v>
      </c>
      <c r="L601" s="769">
        <f>'RGVM FGD'!$L$63</f>
        <v>0</v>
      </c>
      <c r="M601" s="769">
        <f>'RGVM FGD'!$M$63</f>
        <v>142377787</v>
      </c>
      <c r="O601" s="322"/>
    </row>
    <row r="602" spans="1:15" ht="12.75" hidden="1" customHeight="1" outlineLevel="1">
      <c r="B602" s="823" t="str">
        <f>'SWM FGD'!$B$2</f>
        <v>The University of Texas Southwestern Medical Center</v>
      </c>
      <c r="C602" s="768"/>
      <c r="D602" s="769">
        <f>'SWM FGD'!$D$63</f>
        <v>224781757</v>
      </c>
      <c r="E602" s="769">
        <f>'SWM FGD'!$E$63</f>
        <v>3869089123</v>
      </c>
      <c r="F602" s="769">
        <f>'SWM FGD'!$F$63</f>
        <v>30851853</v>
      </c>
      <c r="G602" s="769">
        <f>'SWM FGD'!$G$63</f>
        <v>603770842</v>
      </c>
      <c r="H602" s="769">
        <f>'SWM FGD'!$H$63</f>
        <v>18078</v>
      </c>
      <c r="I602" s="769">
        <f>'SWM FGD'!$I$63</f>
        <v>1265209</v>
      </c>
      <c r="J602" s="769">
        <f>'SWM FGD'!$J$63</f>
        <v>0</v>
      </c>
      <c r="K602" s="769">
        <f>'SWM FGD'!$K$63</f>
        <v>0</v>
      </c>
      <c r="L602" s="769">
        <f>'SWM FGD'!$L$63</f>
        <v>-813007</v>
      </c>
      <c r="M602" s="769">
        <f>'SWM FGD'!$M$63</f>
        <v>4728963855</v>
      </c>
      <c r="O602" s="322"/>
    </row>
    <row r="603" spans="1:15" ht="12.75" hidden="1" customHeight="1" outlineLevel="1">
      <c r="B603" s="823" t="str">
        <f>'TAMHSC FGD'!$B$2</f>
        <v>Texas A&amp;M University System Health Science Center</v>
      </c>
      <c r="C603" s="768"/>
      <c r="D603" s="769">
        <f>'TAMHSC FGD'!$D$63</f>
        <v>202940097</v>
      </c>
      <c r="E603" s="769">
        <f>'TAMHSC FGD'!$E$63</f>
        <v>153281914</v>
      </c>
      <c r="F603" s="769">
        <f>'TAMHSC FGD'!$F$63</f>
        <v>3576808</v>
      </c>
      <c r="G603" s="769">
        <f>'TAMHSC FGD'!$G$63</f>
        <v>87754197</v>
      </c>
      <c r="H603" s="769">
        <f>'TAMHSC FGD'!$H$63</f>
        <v>19398</v>
      </c>
      <c r="I603" s="769">
        <f>'TAMHSC FGD'!$I$63</f>
        <v>-794132</v>
      </c>
      <c r="J603" s="769">
        <f>'TAMHSC FGD'!$J$63</f>
        <v>0</v>
      </c>
      <c r="K603" s="769">
        <f>'TAMHSC FGD'!$K$63</f>
        <v>0</v>
      </c>
      <c r="L603" s="769">
        <f>'TAMHSC FGD'!$L$63</f>
        <v>-8237184</v>
      </c>
      <c r="M603" s="769">
        <f>'TAMHSC FGD'!$M$63</f>
        <v>438541098</v>
      </c>
      <c r="O603" s="322"/>
    </row>
    <row r="604" spans="1:15" ht="12.75" hidden="1" customHeight="1" outlineLevel="1">
      <c r="B604" s="823" t="str">
        <f>'THC FGD'!$B$2</f>
        <v>The University of Texas Health Science Center at Tyler</v>
      </c>
      <c r="C604" s="768"/>
      <c r="D604" s="769">
        <f>'THC FGD'!$D$63</f>
        <v>215237174</v>
      </c>
      <c r="E604" s="769">
        <f>'THC FGD'!$E$63</f>
        <v>108559288</v>
      </c>
      <c r="F604" s="769">
        <f>'THC FGD'!$F$63</f>
        <v>136714</v>
      </c>
      <c r="G604" s="769">
        <f>'THC FGD'!$G$63</f>
        <v>39338026</v>
      </c>
      <c r="H604" s="769">
        <f>'THC FGD'!$H$63</f>
        <v>0</v>
      </c>
      <c r="I604" s="769">
        <f>'THC FGD'!$I$63</f>
        <v>2079</v>
      </c>
      <c r="J604" s="769">
        <f>'THC FGD'!$J$63</f>
        <v>-9856</v>
      </c>
      <c r="K604" s="769">
        <f>'THC FGD'!$K$63</f>
        <v>0</v>
      </c>
      <c r="L604" s="769">
        <f>'THC FGD'!$L$63</f>
        <v>-39283</v>
      </c>
      <c r="M604" s="769">
        <f>'THC FGD'!$M$63</f>
        <v>363224142</v>
      </c>
      <c r="O604" s="322"/>
    </row>
    <row r="605" spans="1:15" ht="12.75" hidden="1" customHeight="1" outlineLevel="1">
      <c r="B605" s="823" t="str">
        <f>'TTUHSC FGD'!$B$2</f>
        <v>Texas Tech University Health Sciences Center</v>
      </c>
      <c r="C605" s="768"/>
      <c r="D605" s="769">
        <f>'TTUHSC FGD'!$D$63</f>
        <v>213796005</v>
      </c>
      <c r="E605" s="769">
        <f>'TTUHSC FGD'!$E$63</f>
        <v>342441908</v>
      </c>
      <c r="F605" s="769">
        <f>'TTUHSC FGD'!$F$63</f>
        <v>994314</v>
      </c>
      <c r="G605" s="769">
        <f>'TTUHSC FGD'!$G$63</f>
        <v>268551779</v>
      </c>
      <c r="H605" s="769">
        <f>'TTUHSC FGD'!$H$63</f>
        <v>-179805</v>
      </c>
      <c r="I605" s="769">
        <f>'TTUHSC FGD'!$I$63</f>
        <v>-4164862</v>
      </c>
      <c r="J605" s="769">
        <f>'TTUHSC FGD'!$J$63</f>
        <v>6628958</v>
      </c>
      <c r="K605" s="769">
        <f>'TTUHSC FGD'!$K$63</f>
        <v>0</v>
      </c>
      <c r="L605" s="769">
        <f>'TTUHSC FGD'!$L$63</f>
        <v>0</v>
      </c>
      <c r="M605" s="769">
        <f>'TTUHSC FGD'!$M$63</f>
        <v>828068297</v>
      </c>
      <c r="O605" s="322"/>
    </row>
    <row r="606" spans="1:15" ht="12.75" hidden="1" customHeight="1" outlineLevel="1">
      <c r="B606" s="823" t="str">
        <f>'TTUHSCEP FGD'!$B$2</f>
        <v>Texas Tech University Health Sciences Center at El Paso</v>
      </c>
      <c r="C606" s="768"/>
      <c r="D606" s="769">
        <f>'TTUHSCEP FGD'!$D$63</f>
        <v>90355949</v>
      </c>
      <c r="E606" s="769">
        <f>'TTUHSCEP FGD'!$E$63</f>
        <v>178225739</v>
      </c>
      <c r="F606" s="769">
        <f>'TTUHSCEP FGD'!$F$63</f>
        <v>308374</v>
      </c>
      <c r="G606" s="769">
        <f>'TTUHSCEP FGD'!$G$63</f>
        <v>33746490</v>
      </c>
      <c r="H606" s="769">
        <f>'TTUHSCEP FGD'!$H$63</f>
        <v>21364</v>
      </c>
      <c r="I606" s="769">
        <f>'TTUHSCEP FGD'!$I$63</f>
        <v>-2165859</v>
      </c>
      <c r="J606" s="769">
        <f>'TTUHSCEP FGD'!$J$63</f>
        <v>53651</v>
      </c>
      <c r="K606" s="769">
        <f>'TTUHSCEP FGD'!$K$63</f>
        <v>0</v>
      </c>
      <c r="L606" s="769">
        <f>'TTUHSCEP FGD'!$L$63</f>
        <v>-30885</v>
      </c>
      <c r="M606" s="769">
        <f>'TTUHSCEP FGD'!$M$63</f>
        <v>300514823</v>
      </c>
      <c r="O606" s="322"/>
    </row>
    <row r="607" spans="1:15" ht="12.75" hidden="1" customHeight="1" outlineLevel="1">
      <c r="B607" s="823" t="str">
        <f>'UHM FGD'!$B$2</f>
        <v>University of Houston Medical School (M)</v>
      </c>
      <c r="C607" s="768"/>
      <c r="D607" s="769">
        <f>'UHM FGD'!$D$63</f>
        <v>16518385</v>
      </c>
      <c r="E607" s="769">
        <f>'UHM FGD'!$E$63</f>
        <v>1537838</v>
      </c>
      <c r="F607" s="769">
        <f>'UHM FGD'!$F$63</f>
        <v>50940</v>
      </c>
      <c r="G607" s="769">
        <f>'UHM FGD'!$G$63</f>
        <v>4066507</v>
      </c>
      <c r="H607" s="769">
        <f>'UHM FGD'!$H$63</f>
        <v>0</v>
      </c>
      <c r="I607" s="769">
        <f>'UHM FGD'!$I$63</f>
        <v>0</v>
      </c>
      <c r="J607" s="769">
        <f>'UHM FGD'!$J$63</f>
        <v>0</v>
      </c>
      <c r="K607" s="769">
        <f>'UHM FGD'!$K$63</f>
        <v>0</v>
      </c>
      <c r="L607" s="769">
        <f>'UHM FGD'!$L$63</f>
        <v>0</v>
      </c>
      <c r="M607" s="769">
        <f>'UHM FGD'!$M$63</f>
        <v>22173670</v>
      </c>
      <c r="O607" s="322"/>
    </row>
    <row r="608" spans="1:15" ht="12.75" hidden="1" customHeight="1" outlineLevel="1">
      <c r="B608" s="823" t="str">
        <f>'UNTHSC1 FGD'!$B$2</f>
        <v>University of North Texas Health Science Center at Fort Worth (Public Medical)</v>
      </c>
      <c r="C608" s="768"/>
      <c r="D608" s="769">
        <f>'UNTHSC1 FGD'!$D$63</f>
        <v>140060062</v>
      </c>
      <c r="E608" s="769">
        <f>'UNTHSC1 FGD'!$E$63</f>
        <v>114840154</v>
      </c>
      <c r="F608" s="769">
        <f>'UNTHSC1 FGD'!$F$63</f>
        <v>695653</v>
      </c>
      <c r="G608" s="769">
        <f>'UNTHSC1 FGD'!$G$63</f>
        <v>56693709</v>
      </c>
      <c r="H608" s="769">
        <f>'UNTHSC1 FGD'!$H$63</f>
        <v>25963</v>
      </c>
      <c r="I608" s="769">
        <f>'UNTHSC1 FGD'!$I$63</f>
        <v>1461478</v>
      </c>
      <c r="J608" s="769">
        <f>'UNTHSC1 FGD'!$J$63</f>
        <v>0</v>
      </c>
      <c r="K608" s="769">
        <f>'UNTHSC1 FGD'!$K$63</f>
        <v>0</v>
      </c>
      <c r="L608" s="769">
        <f>'UNTHSC1 FGD'!$L$63</f>
        <v>-732139</v>
      </c>
      <c r="M608" s="769">
        <f>'UNTHSC1 FGD'!$M$63</f>
        <v>313044880</v>
      </c>
      <c r="O608" s="322"/>
    </row>
    <row r="609" spans="1:15" ht="12.75" customHeight="1" collapsed="1">
      <c r="A609" s="460">
        <v>46</v>
      </c>
      <c r="B609" s="821" t="s">
        <v>201</v>
      </c>
      <c r="C609" s="821"/>
      <c r="D609" s="769">
        <f t="shared" ref="D609:M609" si="41">SUM(D596:D608)</f>
        <v>8299808705</v>
      </c>
      <c r="E609" s="769">
        <f t="shared" si="41"/>
        <v>9425738893</v>
      </c>
      <c r="F609" s="769">
        <f t="shared" si="41"/>
        <v>122705043</v>
      </c>
      <c r="G609" s="769">
        <f t="shared" si="41"/>
        <v>2550583654</v>
      </c>
      <c r="H609" s="769">
        <f t="shared" si="41"/>
        <v>404429</v>
      </c>
      <c r="I609" s="769">
        <f t="shared" si="41"/>
        <v>-1196123</v>
      </c>
      <c r="J609" s="769">
        <f t="shared" si="41"/>
        <v>70511016</v>
      </c>
      <c r="K609" s="769">
        <f t="shared" si="41"/>
        <v>0</v>
      </c>
      <c r="L609" s="769">
        <f t="shared" si="41"/>
        <v>-12022193</v>
      </c>
      <c r="M609" s="769">
        <f t="shared" si="41"/>
        <v>20456533424</v>
      </c>
      <c r="O609" s="322" t="str">
        <f>IF(M609&lt;&gt;M1107,"Error","OK")</f>
        <v>OK</v>
      </c>
    </row>
    <row r="610" spans="1:15" ht="19.5" customHeight="1">
      <c r="B610" s="822" t="s">
        <v>178</v>
      </c>
      <c r="C610" s="822"/>
      <c r="D610" s="769"/>
      <c r="E610" s="769"/>
      <c r="F610" s="769"/>
      <c r="G610" s="1167"/>
      <c r="H610" s="1167"/>
      <c r="I610" s="1167"/>
      <c r="J610" s="1167"/>
      <c r="K610" s="1167"/>
      <c r="L610" s="769"/>
      <c r="M610" s="769"/>
      <c r="O610" s="322"/>
    </row>
    <row r="611" spans="1:15" ht="19.5" hidden="1" customHeight="1" outlineLevel="1">
      <c r="B611" s="823" t="str">
        <f>'AUSM FGD'!$B$2</f>
        <v>The University of Texas at Austin Medical School (M)</v>
      </c>
      <c r="C611" s="771"/>
      <c r="D611" s="723">
        <f>'AUSM FGD'!$D$65</f>
        <v>786081</v>
      </c>
      <c r="E611" s="723">
        <f>'AUSM FGD'!$E$65</f>
        <v>5532788</v>
      </c>
      <c r="F611" s="723">
        <f>'AUSM FGD'!$F$65</f>
        <v>0</v>
      </c>
      <c r="G611" s="1049">
        <f>'AUSM FGD'!$G$65</f>
        <v>1898396</v>
      </c>
      <c r="H611" s="1049">
        <f>'AUSM FGD'!$H$65</f>
        <v>0</v>
      </c>
      <c r="I611" s="1049">
        <f>'AUSM FGD'!$I$65</f>
        <v>0</v>
      </c>
      <c r="J611" s="1049">
        <f>'AUSM FGD'!$J$65</f>
        <v>0</v>
      </c>
      <c r="K611" s="1049">
        <f>'AUSM FGD'!$K$65</f>
        <v>0</v>
      </c>
      <c r="L611" s="723">
        <f>'AUSM FGD'!$L$65</f>
        <v>0</v>
      </c>
      <c r="M611" s="723">
        <f>'AUSM FGD'!$M$65</f>
        <v>8217265</v>
      </c>
      <c r="O611" s="322"/>
    </row>
    <row r="612" spans="1:15" ht="19.5" hidden="1" customHeight="1" outlineLevel="1">
      <c r="B612" s="823" t="str">
        <f>'HSH FGD'!$B$2</f>
        <v>The University of Texas Health Science Center at Houston</v>
      </c>
      <c r="C612" s="771"/>
      <c r="D612" s="723">
        <f>'HSH FGD'!$D$65</f>
        <v>115279335</v>
      </c>
      <c r="E612" s="723">
        <f>'HSH FGD'!$E$65</f>
        <v>795202246</v>
      </c>
      <c r="F612" s="723">
        <f>'HSH FGD'!$F$65</f>
        <v>0</v>
      </c>
      <c r="G612" s="1049">
        <f>'HSH FGD'!$G$65</f>
        <v>10408435</v>
      </c>
      <c r="H612" s="1049">
        <f>'HSH FGD'!$H$65</f>
        <v>0</v>
      </c>
      <c r="I612" s="1049">
        <f>'HSH FGD'!$I$65</f>
        <v>0</v>
      </c>
      <c r="J612" s="1049">
        <f>'HSH FGD'!$J$65</f>
        <v>0</v>
      </c>
      <c r="K612" s="1049">
        <f>'HSH FGD'!$K$65</f>
        <v>0</v>
      </c>
      <c r="L612" s="723">
        <f>'HSH FGD'!$L$65</f>
        <v>0</v>
      </c>
      <c r="M612" s="723">
        <f>'HSH FGD'!$M$65</f>
        <v>920890016</v>
      </c>
      <c r="O612" s="322"/>
    </row>
    <row r="613" spans="1:15" ht="19.5" hidden="1" customHeight="1" outlineLevel="1">
      <c r="B613" s="823" t="str">
        <f>'HSSA FGD'!$B$2</f>
        <v>The University of Texas Health Science Center at San Antonio</v>
      </c>
      <c r="C613" s="771"/>
      <c r="D613" s="723">
        <f>'HSSA FGD'!$D$65</f>
        <v>108802290</v>
      </c>
      <c r="E613" s="723">
        <f>'HSSA FGD'!$E$65</f>
        <v>325162391</v>
      </c>
      <c r="F613" s="723">
        <f>'HSSA FGD'!$F$65</f>
        <v>0</v>
      </c>
      <c r="G613" s="1049">
        <f>'HSSA FGD'!$G$65</f>
        <v>13332358</v>
      </c>
      <c r="H613" s="1049">
        <f>'HSSA FGD'!$H$65</f>
        <v>0</v>
      </c>
      <c r="I613" s="1049">
        <f>'HSSA FGD'!$I$65</f>
        <v>0</v>
      </c>
      <c r="J613" s="1049">
        <f>'HSSA FGD'!$J$65</f>
        <v>0</v>
      </c>
      <c r="K613" s="1049">
        <f>'HSSA FGD'!$K$65</f>
        <v>0</v>
      </c>
      <c r="L613" s="723">
        <f>'HSSA FGD'!$L$65</f>
        <v>0</v>
      </c>
      <c r="M613" s="723">
        <f>'HSSA FGD'!$M$65</f>
        <v>447297039</v>
      </c>
      <c r="O613" s="322"/>
    </row>
    <row r="614" spans="1:15" ht="19.5" hidden="1" customHeight="1" outlineLevel="1">
      <c r="B614" s="823" t="str">
        <f>'MBG FGD'!$B$2</f>
        <v>The University of Texas Medical Branch at Galveston</v>
      </c>
      <c r="C614" s="771"/>
      <c r="D614" s="723">
        <f>'MBG FGD'!$D$65</f>
        <v>88507871</v>
      </c>
      <c r="E614" s="723">
        <f>'MBG FGD'!$E$65</f>
        <v>326863007</v>
      </c>
      <c r="F614" s="723">
        <f>'MBG FGD'!$F$65</f>
        <v>0</v>
      </c>
      <c r="G614" s="1049">
        <f>'MBG FGD'!$G$65</f>
        <v>14723436</v>
      </c>
      <c r="H614" s="1049">
        <f>'MBG FGD'!$H$65</f>
        <v>0</v>
      </c>
      <c r="I614" s="1049">
        <f>'MBG FGD'!$I$65</f>
        <v>0</v>
      </c>
      <c r="J614" s="1049">
        <f>'MBG FGD'!$J$65</f>
        <v>0</v>
      </c>
      <c r="K614" s="1049">
        <f>'MBG FGD'!$K$65</f>
        <v>0</v>
      </c>
      <c r="L614" s="723">
        <f>'MBG FGD'!$L$65</f>
        <v>0</v>
      </c>
      <c r="M614" s="723">
        <f>'MBG FGD'!$M$65</f>
        <v>430094314</v>
      </c>
      <c r="O614" s="322"/>
    </row>
    <row r="615" spans="1:15" ht="19.5" hidden="1" customHeight="1" outlineLevel="1">
      <c r="B615" s="823" t="str">
        <f>'MDA FGD'!$B$2</f>
        <v>The University of Texas M.D. Anderson Cancer Center</v>
      </c>
      <c r="C615" s="771"/>
      <c r="D615" s="723">
        <f>'MDA FGD'!$D$65</f>
        <v>95643594</v>
      </c>
      <c r="E615" s="723">
        <f>'MDA FGD'!$E$65</f>
        <v>2299006</v>
      </c>
      <c r="F615" s="723">
        <f>'MDA FGD'!$F$65</f>
        <v>0</v>
      </c>
      <c r="G615" s="1049">
        <f>'MDA FGD'!$G$65</f>
        <v>2001489</v>
      </c>
      <c r="H615" s="1049">
        <f>'MDA FGD'!$H$65</f>
        <v>0</v>
      </c>
      <c r="I615" s="1049">
        <f>'MDA FGD'!$I$65</f>
        <v>0</v>
      </c>
      <c r="J615" s="1049">
        <f>'MDA FGD'!$J$65</f>
        <v>0</v>
      </c>
      <c r="K615" s="1049">
        <f>'MDA FGD'!$K$65</f>
        <v>0</v>
      </c>
      <c r="L615" s="723">
        <f>'MDA FGD'!$L$65</f>
        <v>0</v>
      </c>
      <c r="M615" s="723">
        <f>'MDA FGD'!$M$65</f>
        <v>99944089</v>
      </c>
      <c r="O615" s="322"/>
    </row>
    <row r="616" spans="1:15" ht="19.5" hidden="1" customHeight="1" outlineLevel="1">
      <c r="B616" s="823" t="str">
        <f>'RGVM FGD'!$B$2</f>
        <v>The University of Texas Rio Grande Valley Medical School (M)</v>
      </c>
      <c r="C616" s="771"/>
      <c r="D616" s="723">
        <f>'RGVM FGD'!$D$65</f>
        <v>25899574</v>
      </c>
      <c r="E616" s="723">
        <f>'RGVM FGD'!$E$65</f>
        <v>18645037</v>
      </c>
      <c r="F616" s="723">
        <f>'RGVM FGD'!$F$65</f>
        <v>0</v>
      </c>
      <c r="G616" s="1049">
        <f>'RGVM FGD'!$G$65</f>
        <v>794227</v>
      </c>
      <c r="H616" s="1049">
        <f>'RGVM FGD'!$H$65</f>
        <v>0</v>
      </c>
      <c r="I616" s="1049">
        <f>'RGVM FGD'!$I$65</f>
        <v>0</v>
      </c>
      <c r="J616" s="1049">
        <f>'RGVM FGD'!$J$65</f>
        <v>0</v>
      </c>
      <c r="K616" s="1049">
        <f>'RGVM FGD'!$K$65</f>
        <v>0</v>
      </c>
      <c r="L616" s="723">
        <f>'RGVM FGD'!$L$65</f>
        <v>0</v>
      </c>
      <c r="M616" s="723">
        <f>'RGVM FGD'!$M$65</f>
        <v>45338838</v>
      </c>
      <c r="O616" s="322"/>
    </row>
    <row r="617" spans="1:15" ht="19.5" hidden="1" customHeight="1" outlineLevel="1">
      <c r="B617" s="823" t="str">
        <f>'SWM FGD'!$B$2</f>
        <v>The University of Texas Southwestern Medical Center</v>
      </c>
      <c r="C617" s="771"/>
      <c r="D617" s="723">
        <f>'SWM FGD'!$D$65</f>
        <v>76798190</v>
      </c>
      <c r="E617" s="723">
        <f>'SWM FGD'!$E$65</f>
        <v>1157351162</v>
      </c>
      <c r="F617" s="723">
        <f>'SWM FGD'!$F$65</f>
        <v>0</v>
      </c>
      <c r="G617" s="1049">
        <f>'SWM FGD'!$G$65</f>
        <v>8568989</v>
      </c>
      <c r="H617" s="1049">
        <f>'SWM FGD'!$H$65</f>
        <v>0</v>
      </c>
      <c r="I617" s="1049">
        <f>'SWM FGD'!$I$65</f>
        <v>0</v>
      </c>
      <c r="J617" s="1049">
        <f>'SWM FGD'!$J$65</f>
        <v>0</v>
      </c>
      <c r="K617" s="1049">
        <f>'SWM FGD'!$K$65</f>
        <v>0</v>
      </c>
      <c r="L617" s="723">
        <f>'SWM FGD'!$L$65</f>
        <v>0</v>
      </c>
      <c r="M617" s="723">
        <f>'SWM FGD'!$M$65</f>
        <v>1242718341</v>
      </c>
      <c r="O617" s="322"/>
    </row>
    <row r="618" spans="1:15" ht="19.5" hidden="1" customHeight="1" outlineLevel="1">
      <c r="B618" s="823" t="str">
        <f>'TAMHSC FGD'!$B$2</f>
        <v>Texas A&amp;M University System Health Science Center</v>
      </c>
      <c r="C618" s="771"/>
      <c r="D618" s="723">
        <f>'TAMHSC FGD'!$D$65</f>
        <v>87659597</v>
      </c>
      <c r="E618" s="723">
        <f>'TAMHSC FGD'!$E$65</f>
        <v>36238654</v>
      </c>
      <c r="F618" s="723">
        <f>'TAMHSC FGD'!$F$65</f>
        <v>0</v>
      </c>
      <c r="G618" s="1049">
        <f>'TAMHSC FGD'!$G$65</f>
        <v>1848253</v>
      </c>
      <c r="H618" s="1049">
        <f>'TAMHSC FGD'!$H$65</f>
        <v>0</v>
      </c>
      <c r="I618" s="1049">
        <f>'TAMHSC FGD'!$I$65</f>
        <v>0</v>
      </c>
      <c r="J618" s="1049">
        <f>'TAMHSC FGD'!$J$65</f>
        <v>0</v>
      </c>
      <c r="K618" s="1049">
        <f>'TAMHSC FGD'!$K$65</f>
        <v>0</v>
      </c>
      <c r="L618" s="723">
        <f>'TAMHSC FGD'!$L$65</f>
        <v>0</v>
      </c>
      <c r="M618" s="723">
        <f>'TAMHSC FGD'!$M$65</f>
        <v>125746504</v>
      </c>
      <c r="O618" s="322"/>
    </row>
    <row r="619" spans="1:15" ht="19.5" hidden="1" customHeight="1" outlineLevel="1">
      <c r="B619" s="823" t="str">
        <f>'THC FGD'!$B$2</f>
        <v>The University of Texas Health Science Center at Tyler</v>
      </c>
      <c r="C619" s="771"/>
      <c r="D619" s="723">
        <f>'THC FGD'!$D$65</f>
        <v>13035152</v>
      </c>
      <c r="E619" s="723">
        <f>'THC FGD'!$E$65</f>
        <v>57546142</v>
      </c>
      <c r="F619" s="723">
        <f>'THC FGD'!$F$65</f>
        <v>0</v>
      </c>
      <c r="G619" s="1049">
        <f>'THC FGD'!$G$65</f>
        <v>9521172</v>
      </c>
      <c r="H619" s="1049">
        <f>'THC FGD'!$H$65</f>
        <v>0</v>
      </c>
      <c r="I619" s="1049">
        <f>'THC FGD'!$I$65</f>
        <v>0</v>
      </c>
      <c r="J619" s="1049">
        <f>'THC FGD'!$J$65</f>
        <v>0</v>
      </c>
      <c r="K619" s="1049">
        <f>'THC FGD'!$K$65</f>
        <v>0</v>
      </c>
      <c r="L619" s="723">
        <f>'THC FGD'!$L$65</f>
        <v>0</v>
      </c>
      <c r="M619" s="723">
        <f>'THC FGD'!$M$65</f>
        <v>80102466</v>
      </c>
      <c r="O619" s="322"/>
    </row>
    <row r="620" spans="1:15" ht="19.5" hidden="1" customHeight="1" outlineLevel="1">
      <c r="B620" s="823" t="str">
        <f>'TTUHSC FGD'!$B$2</f>
        <v>Texas Tech University Health Sciences Center</v>
      </c>
      <c r="C620" s="771"/>
      <c r="D620" s="723">
        <f>'TTUHSC FGD'!$D$65</f>
        <v>80185433</v>
      </c>
      <c r="E620" s="723">
        <f>'TTUHSC FGD'!$E$65</f>
        <v>81632484</v>
      </c>
      <c r="F620" s="723">
        <f>'TTUHSC FGD'!$F$65</f>
        <v>0</v>
      </c>
      <c r="G620" s="1049">
        <f>'TTUHSC FGD'!$G$65</f>
        <v>65612785</v>
      </c>
      <c r="H620" s="1049">
        <f>'TTUHSC FGD'!$H$65</f>
        <v>0</v>
      </c>
      <c r="I620" s="1049">
        <f>'TTUHSC FGD'!$I$65</f>
        <v>0</v>
      </c>
      <c r="J620" s="1049">
        <f>'TTUHSC FGD'!$J$65</f>
        <v>0</v>
      </c>
      <c r="K620" s="1049">
        <f>'TTUHSC FGD'!$K$65</f>
        <v>0</v>
      </c>
      <c r="L620" s="723">
        <f>'TTUHSC FGD'!$L$65</f>
        <v>0</v>
      </c>
      <c r="M620" s="723">
        <f>'TTUHSC FGD'!$M$65</f>
        <v>227430702</v>
      </c>
      <c r="O620" s="322"/>
    </row>
    <row r="621" spans="1:15" ht="19.5" hidden="1" customHeight="1" outlineLevel="1">
      <c r="B621" s="823" t="str">
        <f>'TTUHSCEP FGD'!$B$2</f>
        <v>Texas Tech University Health Sciences Center at El Paso</v>
      </c>
      <c r="C621" s="771"/>
      <c r="D621" s="723">
        <f>'TTUHSCEP FGD'!$D$65</f>
        <v>31491788</v>
      </c>
      <c r="E621" s="723">
        <f>'TTUHSCEP FGD'!$E$65</f>
        <v>77709232</v>
      </c>
      <c r="F621" s="723">
        <f>'TTUHSCEP FGD'!$F$65</f>
        <v>0</v>
      </c>
      <c r="G621" s="1049">
        <f>'TTUHSCEP FGD'!$G$65</f>
        <v>15737108</v>
      </c>
      <c r="H621" s="1049">
        <f>'TTUHSCEP FGD'!$H$65</f>
        <v>0</v>
      </c>
      <c r="I621" s="1049">
        <f>'TTUHSCEP FGD'!$I$65</f>
        <v>0</v>
      </c>
      <c r="J621" s="1049">
        <f>'TTUHSCEP FGD'!$J$65</f>
        <v>0</v>
      </c>
      <c r="K621" s="1049">
        <f>'TTUHSCEP FGD'!$K$65</f>
        <v>0</v>
      </c>
      <c r="L621" s="723">
        <f>'TTUHSCEP FGD'!$L$65</f>
        <v>0</v>
      </c>
      <c r="M621" s="723">
        <f>'TTUHSCEP FGD'!$M$65</f>
        <v>124938128</v>
      </c>
      <c r="O621" s="322"/>
    </row>
    <row r="622" spans="1:15" ht="19.5" hidden="1" customHeight="1" outlineLevel="1">
      <c r="B622" s="823" t="str">
        <f>'UHM FGD'!$B$2</f>
        <v>University of Houston Medical School (M)</v>
      </c>
      <c r="C622" s="771"/>
      <c r="D622" s="723">
        <f>'UHM FGD'!$D$65</f>
        <v>7725940</v>
      </c>
      <c r="E622" s="723">
        <f>'UHM FGD'!$E$65</f>
        <v>737421</v>
      </c>
      <c r="F622" s="723">
        <f>'UHM FGD'!$F$65</f>
        <v>0</v>
      </c>
      <c r="G622" s="1049">
        <f>'UHM FGD'!$G$65</f>
        <v>118380</v>
      </c>
      <c r="H622" s="1049">
        <f>'UHM FGD'!$H$65</f>
        <v>0</v>
      </c>
      <c r="I622" s="1049">
        <f>'UHM FGD'!$I$65</f>
        <v>0</v>
      </c>
      <c r="J622" s="1049">
        <f>'UHM FGD'!$J$65</f>
        <v>0</v>
      </c>
      <c r="K622" s="1049">
        <f>'UHM FGD'!$K$65</f>
        <v>0</v>
      </c>
      <c r="L622" s="723">
        <f>'UHM FGD'!$L$65</f>
        <v>0</v>
      </c>
      <c r="M622" s="723">
        <f>'UHM FGD'!$M$65</f>
        <v>8581741</v>
      </c>
      <c r="O622" s="322"/>
    </row>
    <row r="623" spans="1:15" ht="19.5" hidden="1" customHeight="1" outlineLevel="1">
      <c r="B623" s="823" t="str">
        <f>'UNTHSC1 FGD'!$B$2</f>
        <v>University of North Texas Health Science Center at Fort Worth (Public Medical)</v>
      </c>
      <c r="C623" s="771"/>
      <c r="D623" s="723">
        <f>'UNTHSC1 FGD'!$D$65</f>
        <v>46750586</v>
      </c>
      <c r="E623" s="723">
        <f>'UNTHSC1 FGD'!$E$65</f>
        <v>30487973</v>
      </c>
      <c r="F623" s="723">
        <f>'UNTHSC1 FGD'!$F$65</f>
        <v>0</v>
      </c>
      <c r="G623" s="1049">
        <f>'UNTHSC1 FGD'!$G$65</f>
        <v>2300177</v>
      </c>
      <c r="H623" s="1049">
        <f>'UNTHSC1 FGD'!$H$65</f>
        <v>0</v>
      </c>
      <c r="I623" s="1049">
        <f>'UNTHSC1 FGD'!$I$65</f>
        <v>0</v>
      </c>
      <c r="J623" s="1049">
        <f>'UNTHSC1 FGD'!$J$65</f>
        <v>0</v>
      </c>
      <c r="K623" s="1049">
        <f>'UNTHSC1 FGD'!$K$65</f>
        <v>0</v>
      </c>
      <c r="L623" s="723">
        <f>'UNTHSC1 FGD'!$L$65</f>
        <v>0</v>
      </c>
      <c r="M623" s="723">
        <f>'UNTHSC1 FGD'!$M$65</f>
        <v>79538736</v>
      </c>
      <c r="O623" s="322"/>
    </row>
    <row r="624" spans="1:15" ht="13.5" customHeight="1" collapsed="1">
      <c r="A624" s="460">
        <v>48</v>
      </c>
      <c r="B624" s="823" t="s">
        <v>92</v>
      </c>
      <c r="C624" s="823"/>
      <c r="D624" s="762">
        <f t="shared" ref="D624:M624" si="42">SUM(D611:D623)</f>
        <v>778565431</v>
      </c>
      <c r="E624" s="762">
        <f t="shared" si="42"/>
        <v>2915407543</v>
      </c>
      <c r="F624" s="762">
        <f t="shared" si="42"/>
        <v>0</v>
      </c>
      <c r="G624" s="762">
        <f t="shared" si="42"/>
        <v>146865205</v>
      </c>
      <c r="H624" s="762">
        <f t="shared" si="42"/>
        <v>0</v>
      </c>
      <c r="I624" s="762">
        <f t="shared" si="42"/>
        <v>0</v>
      </c>
      <c r="J624" s="762">
        <f t="shared" si="42"/>
        <v>0</v>
      </c>
      <c r="K624" s="762">
        <f t="shared" si="42"/>
        <v>0</v>
      </c>
      <c r="L624" s="762">
        <f t="shared" si="42"/>
        <v>0</v>
      </c>
      <c r="M624" s="723">
        <f t="shared" si="42"/>
        <v>3840838179</v>
      </c>
      <c r="O624" s="492"/>
    </row>
    <row r="625" spans="1:15" ht="13.5" customHeight="1" outlineLevel="1">
      <c r="B625" s="823" t="str">
        <f>'AUSM FGD'!$B$2</f>
        <v>The University of Texas at Austin Medical School (M)</v>
      </c>
      <c r="C625" s="823"/>
      <c r="D625" s="762">
        <f>'AUSM FGD'!$D$66</f>
        <v>7759866</v>
      </c>
      <c r="E625" s="762">
        <f>'AUSM FGD'!$E$66</f>
        <v>8727240</v>
      </c>
      <c r="F625" s="762">
        <f>'AUSM FGD'!$F$66</f>
        <v>0</v>
      </c>
      <c r="G625" s="762">
        <f>'AUSM FGD'!$G$66</f>
        <v>23633358</v>
      </c>
      <c r="H625" s="762">
        <f>'AUSM FGD'!$H$66</f>
        <v>0</v>
      </c>
      <c r="I625" s="762">
        <f>'AUSM FGD'!$I$66</f>
        <v>0</v>
      </c>
      <c r="J625" s="762">
        <f>'AUSM FGD'!$J$66</f>
        <v>0</v>
      </c>
      <c r="K625" s="762">
        <f>'AUSM FGD'!$K$66</f>
        <v>0</v>
      </c>
      <c r="L625" s="762">
        <f>'AUSM FGD'!$L$66</f>
        <v>0</v>
      </c>
      <c r="M625" s="723">
        <f>'AUSM FGD'!$M$66</f>
        <v>40120464</v>
      </c>
      <c r="O625" s="492"/>
    </row>
    <row r="626" spans="1:15" ht="13.5" customHeight="1" outlineLevel="1">
      <c r="B626" s="823" t="str">
        <f>'HSH FGD'!$B$2</f>
        <v>The University of Texas Health Science Center at Houston</v>
      </c>
      <c r="C626" s="823"/>
      <c r="D626" s="762">
        <f>'HSH FGD'!$D$66</f>
        <v>27975970</v>
      </c>
      <c r="E626" s="762">
        <f>'HSH FGD'!$E$66</f>
        <v>30987037</v>
      </c>
      <c r="F626" s="762">
        <f>'HSH FGD'!$F$66</f>
        <v>0</v>
      </c>
      <c r="G626" s="762">
        <f>'HSH FGD'!$G$66</f>
        <v>191639647</v>
      </c>
      <c r="H626" s="762">
        <f>'HSH FGD'!$H$66</f>
        <v>0</v>
      </c>
      <c r="I626" s="762">
        <f>'HSH FGD'!$I$66</f>
        <v>0</v>
      </c>
      <c r="J626" s="762">
        <f>'HSH FGD'!$J$66</f>
        <v>0</v>
      </c>
      <c r="K626" s="762">
        <f>'HSH FGD'!$K$66</f>
        <v>0</v>
      </c>
      <c r="L626" s="762">
        <f>'HSH FGD'!$L$66</f>
        <v>0</v>
      </c>
      <c r="M626" s="723">
        <f>'HSH FGD'!$M$66</f>
        <v>250602654</v>
      </c>
      <c r="O626" s="492"/>
    </row>
    <row r="627" spans="1:15" ht="13.5" customHeight="1" outlineLevel="1">
      <c r="B627" s="823" t="str">
        <f>'HSSA FGD'!$B$2</f>
        <v>The University of Texas Health Science Center at San Antonio</v>
      </c>
      <c r="C627" s="823"/>
      <c r="D627" s="762">
        <f>'HSSA FGD'!$D$66</f>
        <v>18551253</v>
      </c>
      <c r="E627" s="762">
        <f>'HSSA FGD'!$E$66</f>
        <v>24605145</v>
      </c>
      <c r="F627" s="762">
        <f>'HSSA FGD'!$F$66</f>
        <v>0</v>
      </c>
      <c r="G627" s="762">
        <f>'HSSA FGD'!$G$66</f>
        <v>125933748</v>
      </c>
      <c r="H627" s="762">
        <f>'HSSA FGD'!$H$66</f>
        <v>0</v>
      </c>
      <c r="I627" s="762">
        <f>'HSSA FGD'!$I$66</f>
        <v>0</v>
      </c>
      <c r="J627" s="762">
        <f>'HSSA FGD'!$J$66</f>
        <v>0</v>
      </c>
      <c r="K627" s="762">
        <f>'HSSA FGD'!$K$66</f>
        <v>0</v>
      </c>
      <c r="L627" s="762">
        <f>'HSSA FGD'!$L$66</f>
        <v>0</v>
      </c>
      <c r="M627" s="723">
        <f>'HSSA FGD'!$M$66</f>
        <v>169090146</v>
      </c>
      <c r="O627" s="492"/>
    </row>
    <row r="628" spans="1:15" ht="13.5" customHeight="1" outlineLevel="1">
      <c r="B628" s="823" t="str">
        <f>'MBG FGD'!$B$2</f>
        <v>The University of Texas Medical Branch at Galveston</v>
      </c>
      <c r="C628" s="823"/>
      <c r="D628" s="762">
        <f>'MBG FGD'!$D$66</f>
        <v>803370</v>
      </c>
      <c r="E628" s="762">
        <f>'MBG FGD'!$E$66</f>
        <v>19275958</v>
      </c>
      <c r="F628" s="762">
        <f>'MBG FGD'!$F$66</f>
        <v>0</v>
      </c>
      <c r="G628" s="762">
        <f>'MBG FGD'!$G$66</f>
        <v>107847355</v>
      </c>
      <c r="H628" s="762">
        <f>'MBG FGD'!$H$66</f>
        <v>0</v>
      </c>
      <c r="I628" s="762">
        <f>'MBG FGD'!$I$66</f>
        <v>0</v>
      </c>
      <c r="J628" s="762">
        <f>'MBG FGD'!$J$66</f>
        <v>0</v>
      </c>
      <c r="K628" s="762">
        <f>'MBG FGD'!$K$66</f>
        <v>0</v>
      </c>
      <c r="L628" s="762">
        <f>'MBG FGD'!$L$66</f>
        <v>0</v>
      </c>
      <c r="M628" s="723">
        <f>'MBG FGD'!$M$66</f>
        <v>127926683</v>
      </c>
      <c r="O628" s="492"/>
    </row>
    <row r="629" spans="1:15" ht="13.5" customHeight="1" outlineLevel="1">
      <c r="B629" s="823" t="str">
        <f>'MDA FGD'!$B$2</f>
        <v>The University of Texas M.D. Anderson Cancer Center</v>
      </c>
      <c r="C629" s="823"/>
      <c r="D629" s="762">
        <f>'MDA FGD'!$D$66</f>
        <v>262748909</v>
      </c>
      <c r="E629" s="762">
        <f>'MDA FGD'!$E$66</f>
        <v>129508549</v>
      </c>
      <c r="F629" s="762">
        <f>'MDA FGD'!$F$66</f>
        <v>0</v>
      </c>
      <c r="G629" s="762">
        <f>'MDA FGD'!$G$66</f>
        <v>551578944</v>
      </c>
      <c r="H629" s="762">
        <f>'MDA FGD'!$H$66</f>
        <v>0</v>
      </c>
      <c r="I629" s="762">
        <f>'MDA FGD'!$I$66</f>
        <v>0</v>
      </c>
      <c r="J629" s="762">
        <f>'MDA FGD'!$J$66</f>
        <v>0</v>
      </c>
      <c r="K629" s="762">
        <f>'MDA FGD'!$K$66</f>
        <v>0</v>
      </c>
      <c r="L629" s="762">
        <f>'MDA FGD'!$L$66</f>
        <v>0</v>
      </c>
      <c r="M629" s="723">
        <f>'MDA FGD'!$M$66</f>
        <v>943836402</v>
      </c>
      <c r="O629" s="492"/>
    </row>
    <row r="630" spans="1:15" ht="13.5" customHeight="1" outlineLevel="1">
      <c r="B630" s="823" t="str">
        <f>'RGVM FGD'!$B$2</f>
        <v>The University of Texas Rio Grande Valley Medical School (M)</v>
      </c>
      <c r="C630" s="823"/>
      <c r="D630" s="762">
        <f>'RGVM FGD'!$D$66</f>
        <v>3714246</v>
      </c>
      <c r="E630" s="762">
        <f>'RGVM FGD'!$E$66</f>
        <v>1880099</v>
      </c>
      <c r="F630" s="762">
        <f>'RGVM FGD'!$F$66</f>
        <v>0</v>
      </c>
      <c r="G630" s="762">
        <f>'RGVM FGD'!$G$66</f>
        <v>9144407</v>
      </c>
      <c r="H630" s="762">
        <f>'RGVM FGD'!$H$66</f>
        <v>0</v>
      </c>
      <c r="I630" s="762">
        <f>'RGVM FGD'!$I$66</f>
        <v>0</v>
      </c>
      <c r="J630" s="762">
        <f>'RGVM FGD'!$J$66</f>
        <v>0</v>
      </c>
      <c r="K630" s="762">
        <f>'RGVM FGD'!$K$66</f>
        <v>0</v>
      </c>
      <c r="L630" s="762">
        <f>'RGVM FGD'!$L$66</f>
        <v>0</v>
      </c>
      <c r="M630" s="723">
        <f>'RGVM FGD'!$M$66</f>
        <v>14738752</v>
      </c>
      <c r="O630" s="492"/>
    </row>
    <row r="631" spans="1:15" ht="13.5" customHeight="1" outlineLevel="1">
      <c r="B631" s="823" t="str">
        <f>'SWM FGD'!$B$2</f>
        <v>The University of Texas Southwestern Medical Center</v>
      </c>
      <c r="C631" s="823"/>
      <c r="D631" s="762">
        <f>'SWM FGD'!$D$66</f>
        <v>42528278</v>
      </c>
      <c r="E631" s="762">
        <f>'SWM FGD'!$E$66</f>
        <v>54220184</v>
      </c>
      <c r="F631" s="762">
        <f>'SWM FGD'!$F$66</f>
        <v>0</v>
      </c>
      <c r="G631" s="762">
        <f>'SWM FGD'!$G$66</f>
        <v>385259376</v>
      </c>
      <c r="H631" s="762">
        <f>'SWM FGD'!$H$66</f>
        <v>0</v>
      </c>
      <c r="I631" s="762">
        <f>'SWM FGD'!$I$66</f>
        <v>0</v>
      </c>
      <c r="J631" s="762">
        <f>'SWM FGD'!$J$66</f>
        <v>0</v>
      </c>
      <c r="K631" s="762">
        <f>'SWM FGD'!$K$66</f>
        <v>0</v>
      </c>
      <c r="L631" s="762">
        <f>'SWM FGD'!$L$66</f>
        <v>0</v>
      </c>
      <c r="M631" s="723">
        <f>'SWM FGD'!$M$66</f>
        <v>482007838</v>
      </c>
      <c r="O631" s="492"/>
    </row>
    <row r="632" spans="1:15" ht="13.5" customHeight="1" outlineLevel="1">
      <c r="B632" s="823" t="str">
        <f>'TAMHSC FGD'!$B$2</f>
        <v>Texas A&amp;M University System Health Science Center</v>
      </c>
      <c r="C632" s="823"/>
      <c r="D632" s="762">
        <f>'TAMHSC FGD'!$D$66</f>
        <v>20717481</v>
      </c>
      <c r="E632" s="762">
        <f>'TAMHSC FGD'!$E$66</f>
        <v>13516750</v>
      </c>
      <c r="F632" s="762">
        <f>'TAMHSC FGD'!$F$66</f>
        <v>0</v>
      </c>
      <c r="G632" s="762">
        <f>'TAMHSC FGD'!$G$66</f>
        <v>67089624</v>
      </c>
      <c r="H632" s="762">
        <f>'TAMHSC FGD'!$H$66</f>
        <v>0</v>
      </c>
      <c r="I632" s="762">
        <f>'TAMHSC FGD'!$I$66</f>
        <v>0</v>
      </c>
      <c r="J632" s="762">
        <f>'TAMHSC FGD'!$J$66</f>
        <v>0</v>
      </c>
      <c r="K632" s="762">
        <f>'TAMHSC FGD'!$K$66</f>
        <v>0</v>
      </c>
      <c r="L632" s="762">
        <f>'TAMHSC FGD'!$L$66</f>
        <v>0</v>
      </c>
      <c r="M632" s="723">
        <f>'TAMHSC FGD'!$M$66</f>
        <v>101323855</v>
      </c>
      <c r="O632" s="492"/>
    </row>
    <row r="633" spans="1:15" ht="13.5" customHeight="1" outlineLevel="1">
      <c r="B633" s="823" t="str">
        <f>'THC FGD'!$B$2</f>
        <v>The University of Texas Health Science Center at Tyler</v>
      </c>
      <c r="C633" s="823"/>
      <c r="D633" s="762">
        <f>'THC FGD'!$D$66</f>
        <v>8530132</v>
      </c>
      <c r="E633" s="762">
        <f>'THC FGD'!$E$66</f>
        <v>2177832</v>
      </c>
      <c r="F633" s="762">
        <f>'THC FGD'!$F$66</f>
        <v>0</v>
      </c>
      <c r="G633" s="762">
        <f>'THC FGD'!$G$66</f>
        <v>13568407</v>
      </c>
      <c r="H633" s="762">
        <f>'THC FGD'!$H$66</f>
        <v>0</v>
      </c>
      <c r="I633" s="762">
        <f>'THC FGD'!$I$66</f>
        <v>0</v>
      </c>
      <c r="J633" s="762">
        <f>'THC FGD'!$J$66</f>
        <v>0</v>
      </c>
      <c r="K633" s="762">
        <f>'THC FGD'!$K$66</f>
        <v>0</v>
      </c>
      <c r="L633" s="762">
        <f>'THC FGD'!$L$66</f>
        <v>0</v>
      </c>
      <c r="M633" s="723">
        <f>'THC FGD'!$M$66</f>
        <v>24276371</v>
      </c>
      <c r="O633" s="492"/>
    </row>
    <row r="634" spans="1:15" ht="13.5" customHeight="1" outlineLevel="1">
      <c r="B634" s="823" t="str">
        <f>'TTUHSC FGD'!$B$2</f>
        <v>Texas Tech University Health Sciences Center</v>
      </c>
      <c r="C634" s="823"/>
      <c r="D634" s="762">
        <f>'TTUHSC FGD'!$D$66</f>
        <v>11102349</v>
      </c>
      <c r="E634" s="762">
        <f>'TTUHSC FGD'!$E$66</f>
        <v>10282796</v>
      </c>
      <c r="F634" s="762">
        <f>'TTUHSC FGD'!$F$66</f>
        <v>0</v>
      </c>
      <c r="G634" s="762">
        <f>'TTUHSC FGD'!$G$66</f>
        <v>17331630</v>
      </c>
      <c r="H634" s="762">
        <f>'TTUHSC FGD'!$H$66</f>
        <v>0</v>
      </c>
      <c r="I634" s="762">
        <f>'TTUHSC FGD'!$I$66</f>
        <v>0</v>
      </c>
      <c r="J634" s="762">
        <f>'TTUHSC FGD'!$J$66</f>
        <v>42508</v>
      </c>
      <c r="K634" s="762">
        <f>'TTUHSC FGD'!$K$66</f>
        <v>0</v>
      </c>
      <c r="L634" s="762">
        <f>'TTUHSC FGD'!$L$66</f>
        <v>0</v>
      </c>
      <c r="M634" s="723">
        <f>'TTUHSC FGD'!$M$66</f>
        <v>38759283</v>
      </c>
      <c r="O634" s="492"/>
    </row>
    <row r="635" spans="1:15" ht="13.5" customHeight="1" outlineLevel="1">
      <c r="B635" s="823" t="str">
        <f>'TTUHSCEP FGD'!$B$2</f>
        <v>Texas Tech University Health Sciences Center at El Paso</v>
      </c>
      <c r="C635" s="823"/>
      <c r="D635" s="762">
        <f>'TTUHSCEP FGD'!$D$66</f>
        <v>2834029</v>
      </c>
      <c r="E635" s="762">
        <f>'TTUHSCEP FGD'!$E$66</f>
        <v>4430073</v>
      </c>
      <c r="F635" s="762">
        <f>'TTUHSCEP FGD'!$F$66</f>
        <v>0</v>
      </c>
      <c r="G635" s="762">
        <f>'TTUHSCEP FGD'!$G$66</f>
        <v>5034658</v>
      </c>
      <c r="H635" s="762">
        <f>'TTUHSCEP FGD'!$H$66</f>
        <v>0</v>
      </c>
      <c r="I635" s="762">
        <f>'TTUHSCEP FGD'!$I$66</f>
        <v>0</v>
      </c>
      <c r="J635" s="762">
        <f>'TTUHSCEP FGD'!$J$66</f>
        <v>0</v>
      </c>
      <c r="K635" s="762">
        <f>'TTUHSCEP FGD'!$K$66</f>
        <v>0</v>
      </c>
      <c r="L635" s="762">
        <f>'TTUHSCEP FGD'!$L$66</f>
        <v>0</v>
      </c>
      <c r="M635" s="723">
        <f>'TTUHSCEP FGD'!$M$66</f>
        <v>12298760</v>
      </c>
      <c r="O635" s="492"/>
    </row>
    <row r="636" spans="1:15" ht="13.5" customHeight="1" outlineLevel="1">
      <c r="B636" s="823" t="str">
        <f>'UHM FGD'!$B$2</f>
        <v>University of Houston Medical School (M)</v>
      </c>
      <c r="C636" s="823"/>
      <c r="D636" s="762">
        <f>'UHM FGD'!$D$66</f>
        <v>4618</v>
      </c>
      <c r="E636" s="762">
        <f>'UHM FGD'!$E$66</f>
        <v>250</v>
      </c>
      <c r="F636" s="762">
        <f>'UHM FGD'!$F$66</f>
        <v>0</v>
      </c>
      <c r="G636" s="762">
        <f>'UHM FGD'!$G$66</f>
        <v>790334</v>
      </c>
      <c r="H636" s="762">
        <f>'UHM FGD'!$H$66</f>
        <v>0</v>
      </c>
      <c r="I636" s="762">
        <f>'UHM FGD'!$I$66</f>
        <v>0</v>
      </c>
      <c r="J636" s="762">
        <f>'UHM FGD'!$J$66</f>
        <v>0</v>
      </c>
      <c r="K636" s="762">
        <f>'UHM FGD'!$K$66</f>
        <v>0</v>
      </c>
      <c r="L636" s="762">
        <f>'UHM FGD'!$L$66</f>
        <v>0</v>
      </c>
      <c r="M636" s="723">
        <f>'UHM FGD'!$M$66</f>
        <v>795202</v>
      </c>
      <c r="O636" s="492"/>
    </row>
    <row r="637" spans="1:15" ht="13.5" customHeight="1" outlineLevel="1">
      <c r="B637" s="823" t="str">
        <f>'UNTHSC1 FGD'!$B$2</f>
        <v>University of North Texas Health Science Center at Fort Worth (Public Medical)</v>
      </c>
      <c r="C637" s="823"/>
      <c r="D637" s="762">
        <f>'UNTHSC1 FGD'!$D$66</f>
        <v>2993099</v>
      </c>
      <c r="E637" s="762">
        <f>'UNTHSC1 FGD'!$E$66</f>
        <v>8129319</v>
      </c>
      <c r="F637" s="762">
        <f>'UNTHSC1 FGD'!$F$66</f>
        <v>0</v>
      </c>
      <c r="G637" s="762">
        <f>'UNTHSC1 FGD'!$G$66</f>
        <v>35293862</v>
      </c>
      <c r="H637" s="762">
        <f>'UNTHSC1 FGD'!$H$66</f>
        <v>0</v>
      </c>
      <c r="I637" s="762">
        <f>'UNTHSC1 FGD'!$I$66</f>
        <v>0</v>
      </c>
      <c r="J637" s="762">
        <f>'UNTHSC1 FGD'!$J$66</f>
        <v>0</v>
      </c>
      <c r="K637" s="762">
        <f>'UNTHSC1 FGD'!$K$66</f>
        <v>0</v>
      </c>
      <c r="L637" s="762">
        <f>'UNTHSC1 FGD'!$L$66</f>
        <v>0</v>
      </c>
      <c r="M637" s="723">
        <f>'UNTHSC1 FGD'!$M$66</f>
        <v>46416280</v>
      </c>
      <c r="O637" s="492"/>
    </row>
    <row r="638" spans="1:15">
      <c r="A638" s="460">
        <v>49</v>
      </c>
      <c r="B638" s="823" t="s">
        <v>179</v>
      </c>
      <c r="C638" s="823"/>
      <c r="D638" s="762">
        <f t="shared" ref="D638:M638" si="43">SUM(D625:D637)</f>
        <v>410263600</v>
      </c>
      <c r="E638" s="762">
        <f t="shared" si="43"/>
        <v>307741232</v>
      </c>
      <c r="F638" s="762">
        <f t="shared" si="43"/>
        <v>0</v>
      </c>
      <c r="G638" s="762">
        <f t="shared" si="43"/>
        <v>1534145350</v>
      </c>
      <c r="H638" s="762">
        <f t="shared" si="43"/>
        <v>0</v>
      </c>
      <c r="I638" s="762">
        <f t="shared" si="43"/>
        <v>0</v>
      </c>
      <c r="J638" s="762">
        <f t="shared" si="43"/>
        <v>42508</v>
      </c>
      <c r="K638" s="762">
        <f t="shared" si="43"/>
        <v>0</v>
      </c>
      <c r="L638" s="762">
        <f t="shared" si="43"/>
        <v>0</v>
      </c>
      <c r="M638" s="723">
        <f t="shared" si="43"/>
        <v>2252192690</v>
      </c>
      <c r="O638" s="723"/>
    </row>
    <row r="639" spans="1:15" hidden="1" outlineLevel="1">
      <c r="B639" s="823" t="str">
        <f>'AUSM FGD'!$B$2</f>
        <v>The University of Texas at Austin Medical School (M)</v>
      </c>
      <c r="C639" s="823"/>
      <c r="D639" s="762">
        <f>'AUSM FGD'!$D$67</f>
        <v>155998</v>
      </c>
      <c r="E639" s="762">
        <f>'AUSM FGD'!$E$67</f>
        <v>1777262</v>
      </c>
      <c r="F639" s="762">
        <f>'AUSM FGD'!$F$67</f>
        <v>0</v>
      </c>
      <c r="G639" s="762">
        <f>'AUSM FGD'!$G$67</f>
        <v>2170902</v>
      </c>
      <c r="H639" s="762">
        <f>'AUSM FGD'!$H$67</f>
        <v>0</v>
      </c>
      <c r="I639" s="762">
        <f>'AUSM FGD'!$I$67</f>
        <v>0</v>
      </c>
      <c r="J639" s="762">
        <f>'AUSM FGD'!$J$67</f>
        <v>0</v>
      </c>
      <c r="K639" s="762">
        <f>'AUSM FGD'!$K$67</f>
        <v>0</v>
      </c>
      <c r="L639" s="762">
        <f>'AUSM FGD'!$L$67</f>
        <v>0</v>
      </c>
      <c r="M639" s="723">
        <f>'AUSM FGD'!$M$67</f>
        <v>4104162</v>
      </c>
      <c r="O639" s="723"/>
    </row>
    <row r="640" spans="1:15" hidden="1" outlineLevel="1">
      <c r="B640" s="823" t="str">
        <f>'HSH FGD'!$B$2</f>
        <v>The University of Texas Health Science Center at Houston</v>
      </c>
      <c r="C640" s="823"/>
      <c r="D640" s="762">
        <f>'HSH FGD'!$D$67</f>
        <v>5474835</v>
      </c>
      <c r="E640" s="762">
        <f>'HSH FGD'!$E$67</f>
        <v>5824197</v>
      </c>
      <c r="F640" s="762">
        <f>'HSH FGD'!$F$67</f>
        <v>0</v>
      </c>
      <c r="G640" s="762">
        <f>'HSH FGD'!$G$67</f>
        <v>49469787</v>
      </c>
      <c r="H640" s="762">
        <f>'HSH FGD'!$H$67</f>
        <v>0</v>
      </c>
      <c r="I640" s="762">
        <f>'HSH FGD'!$I$67</f>
        <v>0</v>
      </c>
      <c r="J640" s="762">
        <f>'HSH FGD'!$J$67</f>
        <v>0</v>
      </c>
      <c r="K640" s="762">
        <f>'HSH FGD'!$K$67</f>
        <v>0</v>
      </c>
      <c r="L640" s="762">
        <f>'HSH FGD'!$L$67</f>
        <v>0</v>
      </c>
      <c r="M640" s="723">
        <f>'HSH FGD'!$M$67</f>
        <v>60768819</v>
      </c>
      <c r="O640" s="723"/>
    </row>
    <row r="641" spans="1:15" hidden="1" outlineLevel="1">
      <c r="B641" s="823" t="str">
        <f>'HSSA FGD'!$B$2</f>
        <v>The University of Texas Health Science Center at San Antonio</v>
      </c>
      <c r="C641" s="823"/>
      <c r="D641" s="762">
        <f>'HSSA FGD'!$D$67</f>
        <v>4318488</v>
      </c>
      <c r="E641" s="762">
        <f>'HSSA FGD'!$E$67</f>
        <v>1841486</v>
      </c>
      <c r="F641" s="762">
        <f>'HSSA FGD'!$F$67</f>
        <v>0</v>
      </c>
      <c r="G641" s="762">
        <f>'HSSA FGD'!$G$67</f>
        <v>95019855</v>
      </c>
      <c r="H641" s="762">
        <f>'HSSA FGD'!$H$67</f>
        <v>0</v>
      </c>
      <c r="I641" s="762">
        <f>'HSSA FGD'!$I$67</f>
        <v>0</v>
      </c>
      <c r="J641" s="762">
        <f>'HSSA FGD'!$J$67</f>
        <v>0</v>
      </c>
      <c r="K641" s="762">
        <f>'HSSA FGD'!$K$67</f>
        <v>0</v>
      </c>
      <c r="L641" s="762">
        <f>'HSSA FGD'!$L$67</f>
        <v>0</v>
      </c>
      <c r="M641" s="723">
        <f>'HSSA FGD'!$M$67</f>
        <v>101179829</v>
      </c>
      <c r="O641" s="723"/>
    </row>
    <row r="642" spans="1:15" hidden="1" outlineLevel="1">
      <c r="B642" s="823" t="str">
        <f>'MBG FGD'!$B$2</f>
        <v>The University of Texas Medical Branch at Galveston</v>
      </c>
      <c r="C642" s="823"/>
      <c r="D642" s="762">
        <f>'MBG FGD'!$D$67</f>
        <v>2855317</v>
      </c>
      <c r="E642" s="762">
        <f>'MBG FGD'!$E$67</f>
        <v>2817128</v>
      </c>
      <c r="F642" s="762">
        <f>'MBG FGD'!$F$67</f>
        <v>0</v>
      </c>
      <c r="G642" s="762">
        <f>'MBG FGD'!$G$67</f>
        <v>17988802</v>
      </c>
      <c r="H642" s="762">
        <f>'MBG FGD'!$H$67</f>
        <v>0</v>
      </c>
      <c r="I642" s="762">
        <f>'MBG FGD'!$I$67</f>
        <v>0</v>
      </c>
      <c r="J642" s="762">
        <f>'MBG FGD'!$J$67</f>
        <v>0</v>
      </c>
      <c r="K642" s="762">
        <f>'MBG FGD'!$K$67</f>
        <v>0</v>
      </c>
      <c r="L642" s="762">
        <f>'MBG FGD'!$L$67</f>
        <v>0</v>
      </c>
      <c r="M642" s="723">
        <f>'MBG FGD'!$M$67</f>
        <v>23661247</v>
      </c>
      <c r="O642" s="723"/>
    </row>
    <row r="643" spans="1:15" hidden="1" outlineLevel="1">
      <c r="B643" s="823" t="str">
        <f>'MDA FGD'!$B$2</f>
        <v>The University of Texas M.D. Anderson Cancer Center</v>
      </c>
      <c r="C643" s="823"/>
      <c r="D643" s="762">
        <f>'MDA FGD'!$D$67</f>
        <v>10294879</v>
      </c>
      <c r="E643" s="762">
        <f>'MDA FGD'!$E$67</f>
        <v>6443825</v>
      </c>
      <c r="F643" s="762">
        <f>'MDA FGD'!$F$67</f>
        <v>0</v>
      </c>
      <c r="G643" s="762">
        <f>'MDA FGD'!$G$67</f>
        <v>5685287</v>
      </c>
      <c r="H643" s="762">
        <f>'MDA FGD'!$H$67</f>
        <v>0</v>
      </c>
      <c r="I643" s="762">
        <f>'MDA FGD'!$I$67</f>
        <v>0</v>
      </c>
      <c r="J643" s="762">
        <f>'MDA FGD'!$J$67</f>
        <v>0</v>
      </c>
      <c r="K643" s="762">
        <f>'MDA FGD'!$K$67</f>
        <v>0</v>
      </c>
      <c r="L643" s="762">
        <f>'MDA FGD'!$L$67</f>
        <v>0</v>
      </c>
      <c r="M643" s="723">
        <f>'MDA FGD'!$M$67</f>
        <v>22423991</v>
      </c>
      <c r="O643" s="723"/>
    </row>
    <row r="644" spans="1:15" hidden="1" outlineLevel="1">
      <c r="B644" s="823" t="str">
        <f>'RGVM FGD'!$B$2</f>
        <v>The University of Texas Rio Grande Valley Medical School (M)</v>
      </c>
      <c r="C644" s="823"/>
      <c r="D644" s="762">
        <f>'RGVM FGD'!$D$67</f>
        <v>359155</v>
      </c>
      <c r="E644" s="762">
        <f>'RGVM FGD'!$E$67</f>
        <v>43526</v>
      </c>
      <c r="F644" s="762">
        <f>'RGVM FGD'!$F$67</f>
        <v>0</v>
      </c>
      <c r="G644" s="762">
        <f>'RGVM FGD'!$G$67</f>
        <v>3034672</v>
      </c>
      <c r="H644" s="762">
        <f>'RGVM FGD'!$H$67</f>
        <v>0</v>
      </c>
      <c r="I644" s="762">
        <f>'RGVM FGD'!$I$67</f>
        <v>0</v>
      </c>
      <c r="J644" s="762">
        <f>'RGVM FGD'!$J$67</f>
        <v>0</v>
      </c>
      <c r="K644" s="762">
        <f>'RGVM FGD'!$K$67</f>
        <v>0</v>
      </c>
      <c r="L644" s="762">
        <f>'RGVM FGD'!$L$67</f>
        <v>0</v>
      </c>
      <c r="M644" s="723">
        <f>'RGVM FGD'!$M$67</f>
        <v>3437353</v>
      </c>
      <c r="O644" s="723"/>
    </row>
    <row r="645" spans="1:15" hidden="1" outlineLevel="1">
      <c r="B645" s="823" t="str">
        <f>'SWM FGD'!$B$2</f>
        <v>The University of Texas Southwestern Medical Center</v>
      </c>
      <c r="C645" s="823"/>
      <c r="D645" s="762">
        <f>'SWM FGD'!$D$67</f>
        <v>20062</v>
      </c>
      <c r="E645" s="762">
        <f>'SWM FGD'!$E$67</f>
        <v>26010495</v>
      </c>
      <c r="F645" s="762">
        <f>'SWM FGD'!$F$67</f>
        <v>0</v>
      </c>
      <c r="G645" s="762">
        <f>'SWM FGD'!$G$67</f>
        <v>932127</v>
      </c>
      <c r="H645" s="762">
        <f>'SWM FGD'!$H$67</f>
        <v>0</v>
      </c>
      <c r="I645" s="762">
        <f>'SWM FGD'!$I$67</f>
        <v>0</v>
      </c>
      <c r="J645" s="762">
        <f>'SWM FGD'!$J$67</f>
        <v>0</v>
      </c>
      <c r="K645" s="762">
        <f>'SWM FGD'!$K$67</f>
        <v>0</v>
      </c>
      <c r="L645" s="762">
        <f>'SWM FGD'!$L$67</f>
        <v>0</v>
      </c>
      <c r="M645" s="723">
        <f>'SWM FGD'!$M$67</f>
        <v>26962684</v>
      </c>
      <c r="O645" s="723"/>
    </row>
    <row r="646" spans="1:15" hidden="1" outlineLevel="1">
      <c r="B646" s="823" t="str">
        <f>'TAMHSC FGD'!$B$2</f>
        <v>Texas A&amp;M University System Health Science Center</v>
      </c>
      <c r="C646" s="823"/>
      <c r="D646" s="762">
        <f>'TAMHSC FGD'!$D$67</f>
        <v>3281051</v>
      </c>
      <c r="E646" s="762">
        <f>'TAMHSC FGD'!$E$67</f>
        <v>4153009</v>
      </c>
      <c r="F646" s="762">
        <f>'TAMHSC FGD'!$F$67</f>
        <v>0</v>
      </c>
      <c r="G646" s="762">
        <f>'TAMHSC FGD'!$G$67</f>
        <v>9972844</v>
      </c>
      <c r="H646" s="762">
        <f>'TAMHSC FGD'!$H$67</f>
        <v>0</v>
      </c>
      <c r="I646" s="762">
        <f>'TAMHSC FGD'!$I$67</f>
        <v>0</v>
      </c>
      <c r="J646" s="762">
        <f>'TAMHSC FGD'!$J$67</f>
        <v>0</v>
      </c>
      <c r="K646" s="762">
        <f>'TAMHSC FGD'!$K$67</f>
        <v>0</v>
      </c>
      <c r="L646" s="762">
        <f>'TAMHSC FGD'!$L$67</f>
        <v>0</v>
      </c>
      <c r="M646" s="723">
        <f>'TAMHSC FGD'!$M$67</f>
        <v>17406904</v>
      </c>
      <c r="O646" s="723"/>
    </row>
    <row r="647" spans="1:15" hidden="1" outlineLevel="1">
      <c r="B647" s="823" t="str">
        <f>'THC FGD'!$B$2</f>
        <v>The University of Texas Health Science Center at Tyler</v>
      </c>
      <c r="C647" s="823"/>
      <c r="D647" s="762">
        <f>'THC FGD'!$D$67</f>
        <v>0</v>
      </c>
      <c r="E647" s="762">
        <f>'THC FGD'!$E$67</f>
        <v>0</v>
      </c>
      <c r="F647" s="762">
        <f>'THC FGD'!$F$67</f>
        <v>0</v>
      </c>
      <c r="G647" s="762">
        <f>'THC FGD'!$G$67</f>
        <v>152558</v>
      </c>
      <c r="H647" s="762">
        <f>'THC FGD'!$H$67</f>
        <v>0</v>
      </c>
      <c r="I647" s="762">
        <f>'THC FGD'!$I$67</f>
        <v>0</v>
      </c>
      <c r="J647" s="762">
        <f>'THC FGD'!$J$67</f>
        <v>0</v>
      </c>
      <c r="K647" s="762">
        <f>'THC FGD'!$K$67</f>
        <v>0</v>
      </c>
      <c r="L647" s="762">
        <f>'THC FGD'!$L$67</f>
        <v>0</v>
      </c>
      <c r="M647" s="723">
        <f>'THC FGD'!$M$67</f>
        <v>152558</v>
      </c>
      <c r="O647" s="723"/>
    </row>
    <row r="648" spans="1:15" hidden="1" outlineLevel="1">
      <c r="B648" s="823" t="str">
        <f>'TTUHSC FGD'!$B$2</f>
        <v>Texas Tech University Health Sciences Center</v>
      </c>
      <c r="C648" s="823"/>
      <c r="D648" s="762">
        <f>'TTUHSC FGD'!$D$67</f>
        <v>10272029</v>
      </c>
      <c r="E648" s="762">
        <f>'TTUHSC FGD'!$E$67</f>
        <v>4102824</v>
      </c>
      <c r="F648" s="762">
        <f>'TTUHSC FGD'!$F$67</f>
        <v>0</v>
      </c>
      <c r="G648" s="762">
        <f>'TTUHSC FGD'!$G$67</f>
        <v>135230455</v>
      </c>
      <c r="H648" s="762">
        <f>'TTUHSC FGD'!$H$67</f>
        <v>0</v>
      </c>
      <c r="I648" s="762">
        <f>'TTUHSC FGD'!$I$67</f>
        <v>0</v>
      </c>
      <c r="J648" s="762">
        <f>'TTUHSC FGD'!$J$67</f>
        <v>0</v>
      </c>
      <c r="K648" s="762">
        <f>'TTUHSC FGD'!$K$67</f>
        <v>0</v>
      </c>
      <c r="L648" s="762">
        <f>'TTUHSC FGD'!$L$67</f>
        <v>0</v>
      </c>
      <c r="M648" s="723">
        <f>'TTUHSC FGD'!$M$67</f>
        <v>149605308</v>
      </c>
      <c r="O648" s="723"/>
    </row>
    <row r="649" spans="1:15" hidden="1" outlineLevel="1">
      <c r="B649" s="823" t="str">
        <f>'TTUHSCEP FGD'!$B$2</f>
        <v>Texas Tech University Health Sciences Center at El Paso</v>
      </c>
      <c r="C649" s="823"/>
      <c r="D649" s="762">
        <f>'TTUHSCEP FGD'!$D$67</f>
        <v>2508506</v>
      </c>
      <c r="E649" s="762">
        <f>'TTUHSCEP FGD'!$E$67</f>
        <v>541679</v>
      </c>
      <c r="F649" s="762">
        <f>'TTUHSCEP FGD'!$F$67</f>
        <v>0</v>
      </c>
      <c r="G649" s="762">
        <f>'TTUHSCEP FGD'!$G$67</f>
        <v>1022373</v>
      </c>
      <c r="H649" s="762">
        <f>'TTUHSCEP FGD'!$H$67</f>
        <v>0</v>
      </c>
      <c r="I649" s="762">
        <f>'TTUHSCEP FGD'!$I$67</f>
        <v>0</v>
      </c>
      <c r="J649" s="762">
        <f>'TTUHSCEP FGD'!$J$67</f>
        <v>0</v>
      </c>
      <c r="K649" s="762">
        <f>'TTUHSCEP FGD'!$K$67</f>
        <v>0</v>
      </c>
      <c r="L649" s="762">
        <f>'TTUHSCEP FGD'!$L$67</f>
        <v>0</v>
      </c>
      <c r="M649" s="723">
        <f>'TTUHSCEP FGD'!$M$67</f>
        <v>4072558</v>
      </c>
      <c r="O649" s="723"/>
    </row>
    <row r="650" spans="1:15" hidden="1" outlineLevel="1">
      <c r="B650" s="823" t="str">
        <f>'UHM FGD'!$B$2</f>
        <v>University of Houston Medical School (M)</v>
      </c>
      <c r="C650" s="823"/>
      <c r="D650" s="762">
        <f>'UHM FGD'!$D$67</f>
        <v>0</v>
      </c>
      <c r="E650" s="762">
        <f>'UHM FGD'!$E$67</f>
        <v>2036680</v>
      </c>
      <c r="F650" s="762">
        <f>'UHM FGD'!$F$67</f>
        <v>0</v>
      </c>
      <c r="G650" s="762">
        <f>'UHM FGD'!$G$67</f>
        <v>0</v>
      </c>
      <c r="H650" s="762">
        <f>'UHM FGD'!$H$67</f>
        <v>0</v>
      </c>
      <c r="I650" s="762">
        <f>'UHM FGD'!$I$67</f>
        <v>0</v>
      </c>
      <c r="J650" s="762">
        <f>'UHM FGD'!$J$67</f>
        <v>0</v>
      </c>
      <c r="K650" s="762">
        <f>'UHM FGD'!$K$67</f>
        <v>0</v>
      </c>
      <c r="L650" s="762">
        <f>'UHM FGD'!$L$67</f>
        <v>0</v>
      </c>
      <c r="M650" s="723">
        <f>'UHM FGD'!$M$67</f>
        <v>2036680</v>
      </c>
      <c r="O650" s="723"/>
    </row>
    <row r="651" spans="1:15" hidden="1" outlineLevel="1">
      <c r="B651" s="823" t="str">
        <f>'UNTHSC1 FGD'!$B$2</f>
        <v>University of North Texas Health Science Center at Fort Worth (Public Medical)</v>
      </c>
      <c r="C651" s="823"/>
      <c r="D651" s="762">
        <f>'UNTHSC1 FGD'!$D$67</f>
        <v>19194062</v>
      </c>
      <c r="E651" s="762">
        <f>'UNTHSC1 FGD'!$E$67</f>
        <v>21050906</v>
      </c>
      <c r="F651" s="762">
        <f>'UNTHSC1 FGD'!$F$67</f>
        <v>0</v>
      </c>
      <c r="G651" s="762">
        <f>'UNTHSC1 FGD'!$G$67</f>
        <v>6271699</v>
      </c>
      <c r="H651" s="762">
        <f>'UNTHSC1 FGD'!$H$67</f>
        <v>0</v>
      </c>
      <c r="I651" s="762">
        <f>'UNTHSC1 FGD'!$I$67</f>
        <v>0</v>
      </c>
      <c r="J651" s="762">
        <f>'UNTHSC1 FGD'!$J$67</f>
        <v>0</v>
      </c>
      <c r="K651" s="762">
        <f>'UNTHSC1 FGD'!$K$67</f>
        <v>0</v>
      </c>
      <c r="L651" s="762">
        <f>'UNTHSC1 FGD'!$L$67</f>
        <v>0</v>
      </c>
      <c r="M651" s="723">
        <f>'UNTHSC1 FGD'!$M$67</f>
        <v>46516667</v>
      </c>
      <c r="O651" s="723"/>
    </row>
    <row r="652" spans="1:15" collapsed="1">
      <c r="A652" s="460">
        <v>50</v>
      </c>
      <c r="B652" s="823" t="s">
        <v>180</v>
      </c>
      <c r="C652" s="823"/>
      <c r="D652" s="762">
        <f t="shared" ref="D652:M652" si="44">SUM(D639:D651)</f>
        <v>58734382</v>
      </c>
      <c r="E652" s="762">
        <f t="shared" si="44"/>
        <v>76643017</v>
      </c>
      <c r="F652" s="762">
        <f t="shared" si="44"/>
        <v>0</v>
      </c>
      <c r="G652" s="762">
        <f t="shared" si="44"/>
        <v>326951361</v>
      </c>
      <c r="H652" s="762">
        <f t="shared" si="44"/>
        <v>0</v>
      </c>
      <c r="I652" s="762">
        <f t="shared" si="44"/>
        <v>0</v>
      </c>
      <c r="J652" s="762">
        <f t="shared" si="44"/>
        <v>0</v>
      </c>
      <c r="K652" s="762">
        <f t="shared" si="44"/>
        <v>0</v>
      </c>
      <c r="L652" s="762">
        <f t="shared" si="44"/>
        <v>0</v>
      </c>
      <c r="M652" s="723">
        <f t="shared" si="44"/>
        <v>462328760</v>
      </c>
      <c r="O652" s="723"/>
    </row>
    <row r="653" spans="1:15" hidden="1" outlineLevel="1">
      <c r="B653" s="823" t="str">
        <f>'AUSM FGD'!$B$2</f>
        <v>The University of Texas at Austin Medical School (M)</v>
      </c>
      <c r="C653" s="823"/>
      <c r="D653" s="762">
        <f>'AUSM FGD'!$D$68</f>
        <v>4993042</v>
      </c>
      <c r="E653" s="762">
        <f>'AUSM FGD'!$E$68</f>
        <v>113855782</v>
      </c>
      <c r="F653" s="762">
        <f>'AUSM FGD'!$F$68</f>
        <v>0</v>
      </c>
      <c r="G653" s="762">
        <f>'AUSM FGD'!$G$68</f>
        <v>7568708</v>
      </c>
      <c r="H653" s="762">
        <f>'AUSM FGD'!$H$68</f>
        <v>0</v>
      </c>
      <c r="I653" s="762">
        <f>'AUSM FGD'!$I$68</f>
        <v>0</v>
      </c>
      <c r="J653" s="762">
        <f>'AUSM FGD'!$J$68</f>
        <v>0</v>
      </c>
      <c r="K653" s="762">
        <f>'AUSM FGD'!$K$68</f>
        <v>0</v>
      </c>
      <c r="L653" s="762">
        <f>'AUSM FGD'!$L$68</f>
        <v>0</v>
      </c>
      <c r="M653" s="723">
        <f>'AUSM FGD'!$M$68</f>
        <v>126417532</v>
      </c>
      <c r="O653" s="723"/>
    </row>
    <row r="654" spans="1:15" hidden="1" outlineLevel="1">
      <c r="B654" s="823" t="str">
        <f>'HSH FGD'!$B$2</f>
        <v>The University of Texas Health Science Center at Houston</v>
      </c>
      <c r="C654" s="823"/>
      <c r="D654" s="762">
        <f>'HSH FGD'!$D$68</f>
        <v>83057104</v>
      </c>
      <c r="E654" s="762">
        <f>'HSH FGD'!$E$68</f>
        <v>387221213</v>
      </c>
      <c r="F654" s="762">
        <f>'HSH FGD'!$F$68</f>
        <v>0</v>
      </c>
      <c r="G654" s="762">
        <f>'HSH FGD'!$G$68</f>
        <v>71095443</v>
      </c>
      <c r="H654" s="762">
        <f>'HSH FGD'!$H$68</f>
        <v>0</v>
      </c>
      <c r="I654" s="762">
        <f>'HSH FGD'!$I$68</f>
        <v>0</v>
      </c>
      <c r="J654" s="762">
        <f>'HSH FGD'!$J$68</f>
        <v>0</v>
      </c>
      <c r="K654" s="762">
        <f>'HSH FGD'!$K$68</f>
        <v>0</v>
      </c>
      <c r="L654" s="762">
        <f>'HSH FGD'!$L$68</f>
        <v>0</v>
      </c>
      <c r="M654" s="723">
        <f>'HSH FGD'!$M$68</f>
        <v>541373760</v>
      </c>
      <c r="O654" s="723"/>
    </row>
    <row r="655" spans="1:15" hidden="1" outlineLevel="1">
      <c r="B655" s="823" t="str">
        <f>'HSSA FGD'!$B$2</f>
        <v>The University of Texas Health Science Center at San Antonio</v>
      </c>
      <c r="C655" s="823"/>
      <c r="D655" s="762">
        <f>'HSSA FGD'!$D$68</f>
        <v>0</v>
      </c>
      <c r="E655" s="762">
        <f>'HSSA FGD'!$E$68</f>
        <v>207378571</v>
      </c>
      <c r="F655" s="762">
        <f>'HSSA FGD'!$F$68</f>
        <v>0</v>
      </c>
      <c r="G655" s="762">
        <f>'HSSA FGD'!$G$68</f>
        <v>0</v>
      </c>
      <c r="H655" s="762">
        <f>'HSSA FGD'!$H$68</f>
        <v>0</v>
      </c>
      <c r="I655" s="762">
        <f>'HSSA FGD'!$I$68</f>
        <v>0</v>
      </c>
      <c r="J655" s="762">
        <f>'HSSA FGD'!$J$68</f>
        <v>0</v>
      </c>
      <c r="K655" s="762">
        <f>'HSSA FGD'!$K$68</f>
        <v>0</v>
      </c>
      <c r="L655" s="762">
        <f>'HSSA FGD'!$L$68</f>
        <v>0</v>
      </c>
      <c r="M655" s="723">
        <f>'HSSA FGD'!$M$68</f>
        <v>207378571</v>
      </c>
      <c r="O655" s="723"/>
    </row>
    <row r="656" spans="1:15" hidden="1" outlineLevel="1">
      <c r="B656" s="823" t="str">
        <f>'MBG FGD'!$B$2</f>
        <v>The University of Texas Medical Branch at Galveston</v>
      </c>
      <c r="C656" s="823"/>
      <c r="D656" s="762">
        <f>'MBG FGD'!$D$68</f>
        <v>787868911</v>
      </c>
      <c r="E656" s="762">
        <f>'MBG FGD'!$E$68</f>
        <v>812861825</v>
      </c>
      <c r="F656" s="762">
        <f>'MBG FGD'!$F$68</f>
        <v>0</v>
      </c>
      <c r="G656" s="762">
        <f>'MBG FGD'!$G$68</f>
        <v>20145916</v>
      </c>
      <c r="H656" s="762">
        <f>'MBG FGD'!$H$68</f>
        <v>0</v>
      </c>
      <c r="I656" s="762">
        <f>'MBG FGD'!$I$68</f>
        <v>0</v>
      </c>
      <c r="J656" s="762">
        <f>'MBG FGD'!$J$68</f>
        <v>0</v>
      </c>
      <c r="K656" s="762">
        <f>'MBG FGD'!$K$68</f>
        <v>0</v>
      </c>
      <c r="L656" s="762">
        <f>'MBG FGD'!$L$68</f>
        <v>0</v>
      </c>
      <c r="M656" s="723">
        <f>'MBG FGD'!$M$68</f>
        <v>1620876652</v>
      </c>
      <c r="O656" s="723"/>
    </row>
    <row r="657" spans="1:15" hidden="1" outlineLevel="1">
      <c r="B657" s="823" t="str">
        <f>'MDA FGD'!$B$2</f>
        <v>The University of Texas M.D. Anderson Cancer Center</v>
      </c>
      <c r="C657" s="823"/>
      <c r="D657" s="762">
        <f>'MDA FGD'!$D$68</f>
        <v>3163335472</v>
      </c>
      <c r="E657" s="762">
        <f>'MDA FGD'!$E$68</f>
        <v>597048095</v>
      </c>
      <c r="F657" s="762">
        <f>'MDA FGD'!$F$68</f>
        <v>0</v>
      </c>
      <c r="G657" s="762">
        <f>'MDA FGD'!$G$68</f>
        <v>4100321</v>
      </c>
      <c r="H657" s="762">
        <f>'MDA FGD'!$H$68</f>
        <v>0</v>
      </c>
      <c r="I657" s="762">
        <f>'MDA FGD'!$I$68</f>
        <v>0</v>
      </c>
      <c r="J657" s="762">
        <f>'MDA FGD'!$J$68</f>
        <v>0</v>
      </c>
      <c r="K657" s="762">
        <f>'MDA FGD'!$K$68</f>
        <v>0</v>
      </c>
      <c r="L657" s="762">
        <f>'MDA FGD'!$L$68</f>
        <v>0</v>
      </c>
      <c r="M657" s="723">
        <f>'MDA FGD'!$M$68</f>
        <v>3764483888</v>
      </c>
      <c r="O657" s="723"/>
    </row>
    <row r="658" spans="1:15" hidden="1" outlineLevel="1">
      <c r="B658" s="823" t="str">
        <f>'RGVM FGD'!$B$2</f>
        <v>The University of Texas Rio Grande Valley Medical School (M)</v>
      </c>
      <c r="C658" s="823"/>
      <c r="D658" s="762">
        <f>'RGVM FGD'!$D$68</f>
        <v>10592797</v>
      </c>
      <c r="E658" s="762">
        <f>'RGVM FGD'!$E$68</f>
        <v>33292110</v>
      </c>
      <c r="F658" s="762">
        <f>'RGVM FGD'!$F$68</f>
        <v>0</v>
      </c>
      <c r="G658" s="762">
        <f>'RGVM FGD'!$G$68</f>
        <v>35967</v>
      </c>
      <c r="H658" s="762">
        <f>'RGVM FGD'!$H$68</f>
        <v>0</v>
      </c>
      <c r="I658" s="762">
        <f>'RGVM FGD'!$I$68</f>
        <v>0</v>
      </c>
      <c r="J658" s="762">
        <f>'RGVM FGD'!$J$68</f>
        <v>0</v>
      </c>
      <c r="K658" s="762">
        <f>'RGVM FGD'!$K$68</f>
        <v>0</v>
      </c>
      <c r="L658" s="762">
        <f>'RGVM FGD'!$L$68</f>
        <v>0</v>
      </c>
      <c r="M658" s="723">
        <f>'RGVM FGD'!$M$68</f>
        <v>43920874</v>
      </c>
      <c r="O658" s="723"/>
    </row>
    <row r="659" spans="1:15" hidden="1" outlineLevel="1">
      <c r="B659" s="823" t="str">
        <f>'SWM FGD'!$B$2</f>
        <v>The University of Texas Southwestern Medical Center</v>
      </c>
      <c r="C659" s="823"/>
      <c r="D659" s="762">
        <f>'SWM FGD'!$D$68</f>
        <v>0</v>
      </c>
      <c r="E659" s="762">
        <f>'SWM FGD'!$E$68</f>
        <v>2011177395</v>
      </c>
      <c r="F659" s="762">
        <f>'SWM FGD'!$F$68</f>
        <v>0</v>
      </c>
      <c r="G659" s="762">
        <f>'SWM FGD'!$G$68</f>
        <v>607438</v>
      </c>
      <c r="H659" s="762">
        <f>'SWM FGD'!$H$68</f>
        <v>0</v>
      </c>
      <c r="I659" s="762">
        <f>'SWM FGD'!$I$68</f>
        <v>0</v>
      </c>
      <c r="J659" s="762">
        <f>'SWM FGD'!$J$68</f>
        <v>0</v>
      </c>
      <c r="K659" s="762">
        <f>'SWM FGD'!$K$68</f>
        <v>0</v>
      </c>
      <c r="L659" s="762">
        <f>'SWM FGD'!$L$68</f>
        <v>0</v>
      </c>
      <c r="M659" s="723">
        <f>'SWM FGD'!$M$68</f>
        <v>2011784833</v>
      </c>
      <c r="O659" s="723"/>
    </row>
    <row r="660" spans="1:15" hidden="1" outlineLevel="1">
      <c r="B660" s="823" t="str">
        <f>'TAMHSC FGD'!$B$2</f>
        <v>Texas A&amp;M University System Health Science Center</v>
      </c>
      <c r="C660" s="823"/>
      <c r="D660" s="762">
        <f>'TAMHSC FGD'!$D$68</f>
        <v>0</v>
      </c>
      <c r="E660" s="762">
        <f>'TAMHSC FGD'!$E$68</f>
        <v>0</v>
      </c>
      <c r="F660" s="762">
        <f>'TAMHSC FGD'!$F$68</f>
        <v>0</v>
      </c>
      <c r="G660" s="762">
        <f>'TAMHSC FGD'!$G$68</f>
        <v>0</v>
      </c>
      <c r="H660" s="762">
        <f>'TAMHSC FGD'!$H$68</f>
        <v>0</v>
      </c>
      <c r="I660" s="762">
        <f>'TAMHSC FGD'!$I$68</f>
        <v>0</v>
      </c>
      <c r="J660" s="762">
        <f>'TAMHSC FGD'!$J$68</f>
        <v>0</v>
      </c>
      <c r="K660" s="762">
        <f>'TAMHSC FGD'!$K$68</f>
        <v>0</v>
      </c>
      <c r="L660" s="762">
        <f>'TAMHSC FGD'!$L$68</f>
        <v>0</v>
      </c>
      <c r="M660" s="723">
        <f>'TAMHSC FGD'!$M$68</f>
        <v>0</v>
      </c>
      <c r="O660" s="723"/>
    </row>
    <row r="661" spans="1:15" hidden="1" outlineLevel="1">
      <c r="B661" s="823" t="str">
        <f>'THC FGD'!$B$2</f>
        <v>The University of Texas Health Science Center at Tyler</v>
      </c>
      <c r="C661" s="823"/>
      <c r="D661" s="762">
        <f>'THC FGD'!$D$68</f>
        <v>174731355</v>
      </c>
      <c r="E661" s="762">
        <f>'THC FGD'!$E$68</f>
        <v>30558988</v>
      </c>
      <c r="F661" s="762">
        <f>'THC FGD'!$F$68</f>
        <v>0</v>
      </c>
      <c r="G661" s="762">
        <f>'THC FGD'!$G$68</f>
        <v>6457805</v>
      </c>
      <c r="H661" s="762">
        <f>'THC FGD'!$H$68</f>
        <v>0</v>
      </c>
      <c r="I661" s="762">
        <f>'THC FGD'!$I$68</f>
        <v>0</v>
      </c>
      <c r="J661" s="762">
        <f>'THC FGD'!$J$68</f>
        <v>0</v>
      </c>
      <c r="K661" s="762">
        <f>'THC FGD'!$K$68</f>
        <v>0</v>
      </c>
      <c r="L661" s="762">
        <f>'THC FGD'!$L$68</f>
        <v>0</v>
      </c>
      <c r="M661" s="723">
        <f>'THC FGD'!$M$68</f>
        <v>211748148</v>
      </c>
      <c r="O661" s="723"/>
    </row>
    <row r="662" spans="1:15" hidden="1" outlineLevel="1">
      <c r="B662" s="823" t="str">
        <f>'TTUHSC FGD'!$B$2</f>
        <v>Texas Tech University Health Sciences Center</v>
      </c>
      <c r="C662" s="823"/>
      <c r="D662" s="762">
        <f>'TTUHSC FGD'!$D$68</f>
        <v>1641079</v>
      </c>
      <c r="E662" s="762">
        <f>'TTUHSC FGD'!$E$68</f>
        <v>74973044</v>
      </c>
      <c r="F662" s="762">
        <f>'TTUHSC FGD'!$F$68</f>
        <v>0</v>
      </c>
      <c r="G662" s="762">
        <f>'TTUHSC FGD'!$G$68</f>
        <v>15534617</v>
      </c>
      <c r="H662" s="762">
        <f>'TTUHSC FGD'!$H$68</f>
        <v>0</v>
      </c>
      <c r="I662" s="762">
        <f>'TTUHSC FGD'!$I$68</f>
        <v>0</v>
      </c>
      <c r="J662" s="762">
        <f>'TTUHSC FGD'!$J$68</f>
        <v>0</v>
      </c>
      <c r="K662" s="762">
        <f>'TTUHSC FGD'!$K$68</f>
        <v>0</v>
      </c>
      <c r="L662" s="762">
        <f>'TTUHSC FGD'!$L$68</f>
        <v>0</v>
      </c>
      <c r="M662" s="723">
        <f>'TTUHSC FGD'!$M$68</f>
        <v>92148740</v>
      </c>
      <c r="O662" s="723"/>
    </row>
    <row r="663" spans="1:15" hidden="1" outlineLevel="1">
      <c r="B663" s="823" t="str">
        <f>'TTUHSCEP FGD'!$B$2</f>
        <v>Texas Tech University Health Sciences Center at El Paso</v>
      </c>
      <c r="C663" s="823"/>
      <c r="D663" s="762">
        <f>'TTUHSCEP FGD'!$D$68</f>
        <v>1817584</v>
      </c>
      <c r="E663" s="762">
        <f>'TTUHSCEP FGD'!$E$68</f>
        <v>21758551</v>
      </c>
      <c r="F663" s="762">
        <f>'TTUHSCEP FGD'!$F$68</f>
        <v>0</v>
      </c>
      <c r="G663" s="762">
        <f>'TTUHSCEP FGD'!$G$68</f>
        <v>722037</v>
      </c>
      <c r="H663" s="762">
        <f>'TTUHSCEP FGD'!$H$68</f>
        <v>0</v>
      </c>
      <c r="I663" s="762">
        <f>'TTUHSCEP FGD'!$I$68</f>
        <v>0</v>
      </c>
      <c r="J663" s="762">
        <f>'TTUHSCEP FGD'!$J$68</f>
        <v>0</v>
      </c>
      <c r="K663" s="762">
        <f>'TTUHSCEP FGD'!$K$68</f>
        <v>0</v>
      </c>
      <c r="L663" s="762">
        <f>'TTUHSCEP FGD'!$L$68</f>
        <v>0</v>
      </c>
      <c r="M663" s="723">
        <f>'TTUHSCEP FGD'!$M$68</f>
        <v>24298172</v>
      </c>
      <c r="O663" s="723"/>
    </row>
    <row r="664" spans="1:15" hidden="1" outlineLevel="1">
      <c r="B664" s="823" t="str">
        <f>'UHM FGD'!$B$2</f>
        <v>University of Houston Medical School (M)</v>
      </c>
      <c r="C664" s="823"/>
      <c r="D664" s="762">
        <f>'UHM FGD'!$D$68</f>
        <v>0</v>
      </c>
      <c r="E664" s="762">
        <f>'UHM FGD'!$E$68</f>
        <v>0</v>
      </c>
      <c r="F664" s="762">
        <f>'UHM FGD'!$F$68</f>
        <v>0</v>
      </c>
      <c r="G664" s="762">
        <f>'UHM FGD'!$G$68</f>
        <v>0</v>
      </c>
      <c r="H664" s="762">
        <f>'UHM FGD'!$H$68</f>
        <v>0</v>
      </c>
      <c r="I664" s="762">
        <f>'UHM FGD'!$I$68</f>
        <v>0</v>
      </c>
      <c r="J664" s="762">
        <f>'UHM FGD'!$J$68</f>
        <v>0</v>
      </c>
      <c r="K664" s="762">
        <f>'UHM FGD'!$K$68</f>
        <v>0</v>
      </c>
      <c r="L664" s="762">
        <f>'UHM FGD'!$L$68</f>
        <v>0</v>
      </c>
      <c r="M664" s="723">
        <f>'UHM FGD'!$M$68</f>
        <v>0</v>
      </c>
      <c r="O664" s="723"/>
    </row>
    <row r="665" spans="1:15" hidden="1" outlineLevel="1">
      <c r="B665" s="823" t="str">
        <f>'UNTHSC1 FGD'!$B$2</f>
        <v>University of North Texas Health Science Center at Fort Worth (Public Medical)</v>
      </c>
      <c r="C665" s="823"/>
      <c r="D665" s="762">
        <f>'UNTHSC1 FGD'!$D$68</f>
        <v>0</v>
      </c>
      <c r="E665" s="762">
        <f>'UNTHSC1 FGD'!$E$68</f>
        <v>0</v>
      </c>
      <c r="F665" s="762">
        <f>'UNTHSC1 FGD'!$F$68</f>
        <v>0</v>
      </c>
      <c r="G665" s="762">
        <f>'UNTHSC1 FGD'!$G$68</f>
        <v>0</v>
      </c>
      <c r="H665" s="762">
        <f>'UNTHSC1 FGD'!$H$68</f>
        <v>0</v>
      </c>
      <c r="I665" s="762">
        <f>'UNTHSC1 FGD'!$I$68</f>
        <v>0</v>
      </c>
      <c r="J665" s="762">
        <f>'UNTHSC1 FGD'!$J$68</f>
        <v>0</v>
      </c>
      <c r="K665" s="762">
        <f>'UNTHSC1 FGD'!$K$68</f>
        <v>0</v>
      </c>
      <c r="L665" s="762">
        <f>'UNTHSC1 FGD'!$L$68</f>
        <v>0</v>
      </c>
      <c r="M665" s="723">
        <f>'UNTHSC1 FGD'!$M$68</f>
        <v>0</v>
      </c>
      <c r="O665" s="723"/>
    </row>
    <row r="666" spans="1:15" collapsed="1">
      <c r="A666" s="460">
        <v>51</v>
      </c>
      <c r="B666" s="823" t="s">
        <v>164</v>
      </c>
      <c r="C666" s="823"/>
      <c r="D666" s="762">
        <f t="shared" ref="D666:M666" si="45">SUM(D653:D665)</f>
        <v>4228037344</v>
      </c>
      <c r="E666" s="762">
        <f t="shared" si="45"/>
        <v>4290125574</v>
      </c>
      <c r="F666" s="762">
        <f t="shared" si="45"/>
        <v>0</v>
      </c>
      <c r="G666" s="762">
        <f t="shared" si="45"/>
        <v>126268252</v>
      </c>
      <c r="H666" s="762">
        <f t="shared" si="45"/>
        <v>0</v>
      </c>
      <c r="I666" s="762">
        <f t="shared" si="45"/>
        <v>0</v>
      </c>
      <c r="J666" s="762">
        <f t="shared" si="45"/>
        <v>0</v>
      </c>
      <c r="K666" s="762">
        <f t="shared" si="45"/>
        <v>0</v>
      </c>
      <c r="L666" s="762">
        <f t="shared" si="45"/>
        <v>0</v>
      </c>
      <c r="M666" s="723">
        <f t="shared" si="45"/>
        <v>8644431170</v>
      </c>
      <c r="O666" s="723"/>
    </row>
    <row r="667" spans="1:15" hidden="1" outlineLevel="1">
      <c r="B667" s="823" t="str">
        <f>'AUSM FGD'!$B$2</f>
        <v>The University of Texas at Austin Medical School (M)</v>
      </c>
      <c r="C667" s="823"/>
      <c r="D667" s="762">
        <f>'AUSM FGD'!$D$69</f>
        <v>25577810</v>
      </c>
      <c r="E667" s="762">
        <f>'AUSM FGD'!$E$69</f>
        <v>10948846</v>
      </c>
      <c r="F667" s="762">
        <f>'AUSM FGD'!$F$69</f>
        <v>0</v>
      </c>
      <c r="G667" s="762">
        <f>'AUSM FGD'!$G$69</f>
        <v>2152628</v>
      </c>
      <c r="H667" s="762">
        <f>'AUSM FGD'!$H$69</f>
        <v>0</v>
      </c>
      <c r="I667" s="762">
        <f>'AUSM FGD'!$I$69</f>
        <v>0</v>
      </c>
      <c r="J667" s="762">
        <f>'AUSM FGD'!$J$69</f>
        <v>0</v>
      </c>
      <c r="K667" s="762">
        <f>'AUSM FGD'!$K$69</f>
        <v>0</v>
      </c>
      <c r="L667" s="762">
        <f>'AUSM FGD'!$L$69</f>
        <v>0</v>
      </c>
      <c r="M667" s="723">
        <f>'AUSM FGD'!$M$69</f>
        <v>38679284</v>
      </c>
      <c r="O667" s="723"/>
    </row>
    <row r="668" spans="1:15" hidden="1" outlineLevel="1">
      <c r="B668" s="823" t="str">
        <f>'HSH FGD'!$B$2</f>
        <v>The University of Texas Health Science Center at Houston</v>
      </c>
      <c r="C668" s="823"/>
      <c r="D668" s="762">
        <f>'HSH FGD'!$D$69</f>
        <v>31120162</v>
      </c>
      <c r="E668" s="762">
        <f>'HSH FGD'!$E$69</f>
        <v>30269467</v>
      </c>
      <c r="F668" s="762">
        <f>'HSH FGD'!$F$69</f>
        <v>0</v>
      </c>
      <c r="G668" s="762">
        <f>'HSH FGD'!$G$69</f>
        <v>5951230</v>
      </c>
      <c r="H668" s="762">
        <f>'HSH FGD'!$H$69</f>
        <v>0</v>
      </c>
      <c r="I668" s="762">
        <f>'HSH FGD'!$I$69</f>
        <v>0</v>
      </c>
      <c r="J668" s="762">
        <f>'HSH FGD'!$J$69</f>
        <v>0</v>
      </c>
      <c r="K668" s="762">
        <f>'HSH FGD'!$K$69</f>
        <v>0</v>
      </c>
      <c r="L668" s="762">
        <f>'HSH FGD'!$L$69</f>
        <v>0</v>
      </c>
      <c r="M668" s="723">
        <f>'HSH FGD'!$M$69</f>
        <v>67340859</v>
      </c>
      <c r="O668" s="723"/>
    </row>
    <row r="669" spans="1:15" hidden="1" outlineLevel="1">
      <c r="B669" s="823" t="str">
        <f>'HSSA FGD'!$B$2</f>
        <v>The University of Texas Health Science Center at San Antonio</v>
      </c>
      <c r="C669" s="823"/>
      <c r="D669" s="762">
        <f>'HSSA FGD'!$D$69</f>
        <v>36638963</v>
      </c>
      <c r="E669" s="762">
        <f>'HSSA FGD'!$E$69</f>
        <v>15446898</v>
      </c>
      <c r="F669" s="762">
        <f>'HSSA FGD'!$F$69</f>
        <v>0</v>
      </c>
      <c r="G669" s="762">
        <f>'HSSA FGD'!$G$69</f>
        <v>1836423</v>
      </c>
      <c r="H669" s="762">
        <f>'HSSA FGD'!$H$69</f>
        <v>0</v>
      </c>
      <c r="I669" s="762">
        <f>'HSSA FGD'!$I$69</f>
        <v>0</v>
      </c>
      <c r="J669" s="762">
        <f>'HSSA FGD'!$J$69</f>
        <v>0</v>
      </c>
      <c r="K669" s="762">
        <f>'HSSA FGD'!$K$69</f>
        <v>0</v>
      </c>
      <c r="L669" s="762">
        <f>'HSSA FGD'!$L$69</f>
        <v>0</v>
      </c>
      <c r="M669" s="723">
        <f>'HSSA FGD'!$M$69</f>
        <v>53922284</v>
      </c>
      <c r="O669" s="723"/>
    </row>
    <row r="670" spans="1:15" hidden="1" outlineLevel="1">
      <c r="B670" s="823" t="str">
        <f>'MBG FGD'!$B$2</f>
        <v>The University of Texas Medical Branch at Galveston</v>
      </c>
      <c r="C670" s="823"/>
      <c r="D670" s="762">
        <f>'MBG FGD'!$D$69</f>
        <v>21749978</v>
      </c>
      <c r="E670" s="762">
        <f>'MBG FGD'!$E$69</f>
        <v>16282349</v>
      </c>
      <c r="F670" s="762">
        <f>'MBG FGD'!$F$69</f>
        <v>0</v>
      </c>
      <c r="G670" s="762">
        <f>'MBG FGD'!$G$69</f>
        <v>2266599</v>
      </c>
      <c r="H670" s="762">
        <f>'MBG FGD'!$H$69</f>
        <v>0</v>
      </c>
      <c r="I670" s="762">
        <f>'MBG FGD'!$I$69</f>
        <v>0</v>
      </c>
      <c r="J670" s="762">
        <f>'MBG FGD'!$J$69</f>
        <v>0</v>
      </c>
      <c r="K670" s="762">
        <f>'MBG FGD'!$K$69</f>
        <v>0</v>
      </c>
      <c r="L670" s="762">
        <f>'MBG FGD'!$L$69</f>
        <v>0</v>
      </c>
      <c r="M670" s="723">
        <f>'MBG FGD'!$M$69</f>
        <v>40298926</v>
      </c>
      <c r="O670" s="723"/>
    </row>
    <row r="671" spans="1:15" hidden="1" outlineLevel="1">
      <c r="B671" s="823" t="str">
        <f>'MDA FGD'!$B$2</f>
        <v>The University of Texas M.D. Anderson Cancer Center</v>
      </c>
      <c r="C671" s="823"/>
      <c r="D671" s="762">
        <f>'MDA FGD'!$D$69</f>
        <v>199484889</v>
      </c>
      <c r="E671" s="762">
        <f>'MDA FGD'!$E$69</f>
        <v>1893284</v>
      </c>
      <c r="F671" s="762">
        <f>'MDA FGD'!$F$69</f>
        <v>0</v>
      </c>
      <c r="G671" s="762">
        <f>'MDA FGD'!$G$69</f>
        <v>319123</v>
      </c>
      <c r="H671" s="762">
        <f>'MDA FGD'!$H$69</f>
        <v>0</v>
      </c>
      <c r="I671" s="762">
        <f>'MDA FGD'!$I$69</f>
        <v>0</v>
      </c>
      <c r="J671" s="762">
        <f>'MDA FGD'!$J$69</f>
        <v>0</v>
      </c>
      <c r="K671" s="762">
        <f>'MDA FGD'!$K$69</f>
        <v>0</v>
      </c>
      <c r="L671" s="762">
        <f>'MDA FGD'!$L$69</f>
        <v>0</v>
      </c>
      <c r="M671" s="723">
        <f>'MDA FGD'!$M$69</f>
        <v>201697296</v>
      </c>
      <c r="O671" s="723"/>
    </row>
    <row r="672" spans="1:15" hidden="1" outlineLevel="1">
      <c r="B672" s="823" t="str">
        <f>'RGVM FGD'!$B$2</f>
        <v>The University of Texas Rio Grande Valley Medical School (M)</v>
      </c>
      <c r="C672" s="823"/>
      <c r="D672" s="762">
        <f>'RGVM FGD'!$D$69</f>
        <v>11725560</v>
      </c>
      <c r="E672" s="762">
        <f>'RGVM FGD'!$E$69</f>
        <v>6619353</v>
      </c>
      <c r="F672" s="762">
        <f>'RGVM FGD'!$F$69</f>
        <v>0</v>
      </c>
      <c r="G672" s="762">
        <f>'RGVM FGD'!$G$69</f>
        <v>3063203</v>
      </c>
      <c r="H672" s="762">
        <f>'RGVM FGD'!$H$69</f>
        <v>0</v>
      </c>
      <c r="I672" s="762">
        <f>'RGVM FGD'!$I$69</f>
        <v>0</v>
      </c>
      <c r="J672" s="762">
        <f>'RGVM FGD'!$J$69</f>
        <v>0</v>
      </c>
      <c r="K672" s="762">
        <f>'RGVM FGD'!$K$69</f>
        <v>0</v>
      </c>
      <c r="L672" s="762">
        <f>'RGVM FGD'!$L$69</f>
        <v>0</v>
      </c>
      <c r="M672" s="723">
        <f>'RGVM FGD'!$M$69</f>
        <v>21408116</v>
      </c>
      <c r="O672" s="723"/>
    </row>
    <row r="673" spans="1:15" hidden="1" outlineLevel="1">
      <c r="B673" s="823" t="str">
        <f>'SWM FGD'!$B$2</f>
        <v>The University of Texas Southwestern Medical Center</v>
      </c>
      <c r="C673" s="823"/>
      <c r="D673" s="762">
        <f>'SWM FGD'!$D$69</f>
        <v>32986879</v>
      </c>
      <c r="E673" s="762">
        <f>'SWM FGD'!$E$69</f>
        <v>46829068</v>
      </c>
      <c r="F673" s="762">
        <f>'SWM FGD'!$F$69</f>
        <v>0</v>
      </c>
      <c r="G673" s="762">
        <f>'SWM FGD'!$G$69</f>
        <v>1250159</v>
      </c>
      <c r="H673" s="762">
        <f>'SWM FGD'!$H$69</f>
        <v>0</v>
      </c>
      <c r="I673" s="762">
        <f>'SWM FGD'!$I$69</f>
        <v>0</v>
      </c>
      <c r="J673" s="762">
        <f>'SWM FGD'!$J$69</f>
        <v>0</v>
      </c>
      <c r="K673" s="762">
        <f>'SWM FGD'!$K$69</f>
        <v>0</v>
      </c>
      <c r="L673" s="762">
        <f>'SWM FGD'!$L$69</f>
        <v>0</v>
      </c>
      <c r="M673" s="723">
        <f>'SWM FGD'!$M$69</f>
        <v>81066106</v>
      </c>
      <c r="O673" s="723"/>
    </row>
    <row r="674" spans="1:15" hidden="1" outlineLevel="1">
      <c r="B674" s="823" t="str">
        <f>'TAMHSC FGD'!$B$2</f>
        <v>Texas A&amp;M University System Health Science Center</v>
      </c>
      <c r="C674" s="823"/>
      <c r="D674" s="762">
        <f>'TAMHSC FGD'!$D$69</f>
        <v>31686869</v>
      </c>
      <c r="E674" s="762">
        <f>'TAMHSC FGD'!$E$69</f>
        <v>5940433</v>
      </c>
      <c r="F674" s="762">
        <f>'TAMHSC FGD'!$F$69</f>
        <v>0</v>
      </c>
      <c r="G674" s="762">
        <f>'TAMHSC FGD'!$G$69</f>
        <v>806554</v>
      </c>
      <c r="H674" s="762">
        <f>'TAMHSC FGD'!$H$69</f>
        <v>0</v>
      </c>
      <c r="I674" s="762">
        <f>'TAMHSC FGD'!$I$69</f>
        <v>0</v>
      </c>
      <c r="J674" s="762">
        <f>'TAMHSC FGD'!$J$69</f>
        <v>0</v>
      </c>
      <c r="K674" s="762">
        <f>'TAMHSC FGD'!$K$69</f>
        <v>0</v>
      </c>
      <c r="L674" s="762">
        <f>'TAMHSC FGD'!$L$69</f>
        <v>0</v>
      </c>
      <c r="M674" s="723">
        <f>'TAMHSC FGD'!$M$69</f>
        <v>38433856</v>
      </c>
      <c r="O674" s="723"/>
    </row>
    <row r="675" spans="1:15" hidden="1" outlineLevel="1">
      <c r="B675" s="823" t="str">
        <f>'THC FGD'!$B$2</f>
        <v>The University of Texas Health Science Center at Tyler</v>
      </c>
      <c r="C675" s="823"/>
      <c r="D675" s="762">
        <f>'THC FGD'!$D$69</f>
        <v>2203707</v>
      </c>
      <c r="E675" s="762">
        <f>'THC FGD'!$E$69</f>
        <v>126418</v>
      </c>
      <c r="F675" s="762">
        <f>'THC FGD'!$F$69</f>
        <v>0</v>
      </c>
      <c r="G675" s="762">
        <f>'THC FGD'!$G$69</f>
        <v>160921</v>
      </c>
      <c r="H675" s="762">
        <f>'THC FGD'!$H$69</f>
        <v>0</v>
      </c>
      <c r="I675" s="762">
        <f>'THC FGD'!$I$69</f>
        <v>0</v>
      </c>
      <c r="J675" s="762">
        <f>'THC FGD'!$J$69</f>
        <v>0</v>
      </c>
      <c r="K675" s="762">
        <f>'THC FGD'!$K$69</f>
        <v>0</v>
      </c>
      <c r="L675" s="762">
        <f>'THC FGD'!$L$69</f>
        <v>0</v>
      </c>
      <c r="M675" s="723">
        <f>'THC FGD'!$M$69</f>
        <v>2491046</v>
      </c>
      <c r="O675" s="723"/>
    </row>
    <row r="676" spans="1:15" hidden="1" outlineLevel="1">
      <c r="B676" s="823" t="str">
        <f>'TTUHSC FGD'!$B$2</f>
        <v>Texas Tech University Health Sciences Center</v>
      </c>
      <c r="C676" s="823"/>
      <c r="D676" s="762">
        <f>'TTUHSC FGD'!$D$69</f>
        <v>47418727</v>
      </c>
      <c r="E676" s="762">
        <f>'TTUHSC FGD'!$E$69</f>
        <v>81176982</v>
      </c>
      <c r="F676" s="762">
        <f>'TTUHSC FGD'!$F$69</f>
        <v>0</v>
      </c>
      <c r="G676" s="762">
        <f>'TTUHSC FGD'!$G$69</f>
        <v>3911781</v>
      </c>
      <c r="H676" s="762">
        <f>'TTUHSC FGD'!$H$69</f>
        <v>0</v>
      </c>
      <c r="I676" s="762">
        <f>'TTUHSC FGD'!$I$69</f>
        <v>0</v>
      </c>
      <c r="J676" s="762">
        <f>'TTUHSC FGD'!$J$69</f>
        <v>7699</v>
      </c>
      <c r="K676" s="762">
        <f>'TTUHSC FGD'!$K$69</f>
        <v>0</v>
      </c>
      <c r="L676" s="762">
        <f>'TTUHSC FGD'!$L$69</f>
        <v>0</v>
      </c>
      <c r="M676" s="723">
        <f>'TTUHSC FGD'!$M$69</f>
        <v>132515189</v>
      </c>
      <c r="O676" s="723"/>
    </row>
    <row r="677" spans="1:15" hidden="1" outlineLevel="1">
      <c r="B677" s="823" t="str">
        <f>'TTUHSCEP FGD'!$B$2</f>
        <v>Texas Tech University Health Sciences Center at El Paso</v>
      </c>
      <c r="C677" s="823"/>
      <c r="D677" s="762">
        <f>'TTUHSCEP FGD'!$D$69</f>
        <v>18819182</v>
      </c>
      <c r="E677" s="762">
        <f>'TTUHSCEP FGD'!$E$69</f>
        <v>38465122</v>
      </c>
      <c r="F677" s="762">
        <f>'TTUHSCEP FGD'!$F$69</f>
        <v>0</v>
      </c>
      <c r="G677" s="762">
        <f>'TTUHSCEP FGD'!$G$69</f>
        <v>1854758</v>
      </c>
      <c r="H677" s="762">
        <f>'TTUHSCEP FGD'!$H$69</f>
        <v>0</v>
      </c>
      <c r="I677" s="762">
        <f>'TTUHSCEP FGD'!$I$69</f>
        <v>0</v>
      </c>
      <c r="J677" s="762">
        <f>'TTUHSCEP FGD'!$J$69</f>
        <v>0</v>
      </c>
      <c r="K677" s="762">
        <f>'TTUHSCEP FGD'!$K$69</f>
        <v>0</v>
      </c>
      <c r="L677" s="762">
        <f>'TTUHSCEP FGD'!$L$69</f>
        <v>0</v>
      </c>
      <c r="M677" s="723">
        <f>'TTUHSCEP FGD'!$M$69</f>
        <v>59139062</v>
      </c>
      <c r="O677" s="723"/>
    </row>
    <row r="678" spans="1:15" hidden="1" outlineLevel="1">
      <c r="B678" s="823" t="str">
        <f>'UHM FGD'!$B$2</f>
        <v>University of Houston Medical School (M)</v>
      </c>
      <c r="C678" s="823"/>
      <c r="D678" s="762">
        <f>'UHM FGD'!$D$69</f>
        <v>6385656</v>
      </c>
      <c r="E678" s="762">
        <f>'UHM FGD'!$E$69</f>
        <v>1626440</v>
      </c>
      <c r="F678" s="762">
        <f>'UHM FGD'!$F$69</f>
        <v>0</v>
      </c>
      <c r="G678" s="762">
        <f>'UHM FGD'!$G$69</f>
        <v>1157890</v>
      </c>
      <c r="H678" s="762">
        <f>'UHM FGD'!$H$69</f>
        <v>0</v>
      </c>
      <c r="I678" s="762">
        <f>'UHM FGD'!$I$69</f>
        <v>0</v>
      </c>
      <c r="J678" s="762">
        <f>'UHM FGD'!$J$69</f>
        <v>0</v>
      </c>
      <c r="K678" s="762">
        <f>'UHM FGD'!$K$69</f>
        <v>0</v>
      </c>
      <c r="L678" s="762">
        <f>'UHM FGD'!$L$69</f>
        <v>0</v>
      </c>
      <c r="M678" s="723">
        <f>'UHM FGD'!$M$69</f>
        <v>9169986</v>
      </c>
      <c r="O678" s="723"/>
    </row>
    <row r="679" spans="1:15" hidden="1" outlineLevel="1">
      <c r="B679" s="823" t="str">
        <f>'UNTHSC1 FGD'!$B$2</f>
        <v>University of North Texas Health Science Center at Fort Worth (Public Medical)</v>
      </c>
      <c r="C679" s="823"/>
      <c r="D679" s="762">
        <f>'UNTHSC1 FGD'!$D$69</f>
        <v>16043698</v>
      </c>
      <c r="E679" s="762">
        <f>'UNTHSC1 FGD'!$E$69</f>
        <v>11036464</v>
      </c>
      <c r="F679" s="762">
        <f>'UNTHSC1 FGD'!$F$69</f>
        <v>0</v>
      </c>
      <c r="G679" s="762">
        <f>'UNTHSC1 FGD'!$G$69</f>
        <v>329496</v>
      </c>
      <c r="H679" s="762">
        <f>'UNTHSC1 FGD'!$H$69</f>
        <v>0</v>
      </c>
      <c r="I679" s="762">
        <f>'UNTHSC1 FGD'!$I$69</f>
        <v>0</v>
      </c>
      <c r="J679" s="762">
        <f>'UNTHSC1 FGD'!$J$69</f>
        <v>0</v>
      </c>
      <c r="K679" s="762">
        <f>'UNTHSC1 FGD'!$K$69</f>
        <v>0</v>
      </c>
      <c r="L679" s="762">
        <f>'UNTHSC1 FGD'!$L$69</f>
        <v>0</v>
      </c>
      <c r="M679" s="723">
        <f>'UNTHSC1 FGD'!$M$69</f>
        <v>27409658</v>
      </c>
      <c r="O679" s="723"/>
    </row>
    <row r="680" spans="1:15" collapsed="1">
      <c r="A680" s="460">
        <v>52</v>
      </c>
      <c r="B680" s="823" t="s">
        <v>181</v>
      </c>
      <c r="C680" s="823"/>
      <c r="D680" s="762">
        <f t="shared" ref="D680:M680" si="46">SUM(D667:D679)</f>
        <v>481842080</v>
      </c>
      <c r="E680" s="762">
        <f t="shared" si="46"/>
        <v>266661124</v>
      </c>
      <c r="F680" s="762">
        <f t="shared" si="46"/>
        <v>0</v>
      </c>
      <c r="G680" s="762">
        <f t="shared" si="46"/>
        <v>25060765</v>
      </c>
      <c r="H680" s="762">
        <f t="shared" si="46"/>
        <v>0</v>
      </c>
      <c r="I680" s="762">
        <f t="shared" si="46"/>
        <v>0</v>
      </c>
      <c r="J680" s="762">
        <f t="shared" si="46"/>
        <v>7699</v>
      </c>
      <c r="K680" s="762">
        <f t="shared" si="46"/>
        <v>0</v>
      </c>
      <c r="L680" s="762">
        <f t="shared" si="46"/>
        <v>0</v>
      </c>
      <c r="M680" s="723">
        <f t="shared" si="46"/>
        <v>773571668</v>
      </c>
      <c r="O680" s="723"/>
    </row>
    <row r="681" spans="1:15" hidden="1" outlineLevel="1">
      <c r="B681" s="823" t="str">
        <f>'AUSM FGD'!$B$2</f>
        <v>The University of Texas at Austin Medical School (M)</v>
      </c>
      <c r="C681" s="823"/>
      <c r="D681" s="762">
        <f>'AUSM FGD'!$D$70</f>
        <v>0</v>
      </c>
      <c r="E681" s="762">
        <f>'AUSM FGD'!$E$70</f>
        <v>0</v>
      </c>
      <c r="F681" s="762">
        <f>'AUSM FGD'!$F$70</f>
        <v>0</v>
      </c>
      <c r="G681" s="762">
        <f>'AUSM FGD'!$G$70</f>
        <v>15621</v>
      </c>
      <c r="H681" s="762">
        <f>'AUSM FGD'!$H$70</f>
        <v>0</v>
      </c>
      <c r="I681" s="762">
        <f>'AUSM FGD'!$I$70</f>
        <v>0</v>
      </c>
      <c r="J681" s="762">
        <f>'AUSM FGD'!$J$70</f>
        <v>0</v>
      </c>
      <c r="K681" s="762">
        <f>'AUSM FGD'!$K$70</f>
        <v>0</v>
      </c>
      <c r="L681" s="762">
        <f>'AUSM FGD'!$L$70</f>
        <v>0</v>
      </c>
      <c r="M681" s="723">
        <f>'AUSM FGD'!$M$70</f>
        <v>15621</v>
      </c>
      <c r="O681" s="723"/>
    </row>
    <row r="682" spans="1:15" hidden="1" outlineLevel="1">
      <c r="B682" s="823" t="str">
        <f>'HSH FGD'!$B$2</f>
        <v>The University of Texas Health Science Center at Houston</v>
      </c>
      <c r="C682" s="823"/>
      <c r="D682" s="762">
        <f>'HSH FGD'!$D$70</f>
        <v>2922371</v>
      </c>
      <c r="E682" s="762">
        <f>'HSH FGD'!$E$70</f>
        <v>7592363</v>
      </c>
      <c r="F682" s="762">
        <f>'HSH FGD'!$F$70</f>
        <v>0</v>
      </c>
      <c r="G682" s="762">
        <f>'HSH FGD'!$G$70</f>
        <v>2542220</v>
      </c>
      <c r="H682" s="762">
        <f>'HSH FGD'!$H$70</f>
        <v>93316</v>
      </c>
      <c r="I682" s="762">
        <f>'HSH FGD'!$I$70</f>
        <v>0</v>
      </c>
      <c r="J682" s="762">
        <f>'HSH FGD'!$J$70</f>
        <v>0</v>
      </c>
      <c r="K682" s="762">
        <f>'HSH FGD'!$K$70</f>
        <v>0</v>
      </c>
      <c r="L682" s="762">
        <f>'HSH FGD'!$L$70</f>
        <v>0</v>
      </c>
      <c r="M682" s="723">
        <f>'HSH FGD'!$M$70</f>
        <v>13150270</v>
      </c>
      <c r="O682" s="723"/>
    </row>
    <row r="683" spans="1:15" hidden="1" outlineLevel="1">
      <c r="B683" s="823" t="str">
        <f>'HSSA FGD'!$B$2</f>
        <v>The University of Texas Health Science Center at San Antonio</v>
      </c>
      <c r="C683" s="823"/>
      <c r="D683" s="762">
        <f>'HSSA FGD'!$D$70</f>
        <v>2248620</v>
      </c>
      <c r="E683" s="762">
        <f>'HSSA FGD'!$E$70</f>
        <v>334248</v>
      </c>
      <c r="F683" s="762">
        <f>'HSSA FGD'!$F$70</f>
        <v>0</v>
      </c>
      <c r="G683" s="762">
        <f>'HSSA FGD'!$G$70</f>
        <v>3107</v>
      </c>
      <c r="H683" s="762">
        <f>'HSSA FGD'!$H$70</f>
        <v>242045</v>
      </c>
      <c r="I683" s="762">
        <f>'HSSA FGD'!$I$70</f>
        <v>0</v>
      </c>
      <c r="J683" s="762">
        <f>'HSSA FGD'!$J$70</f>
        <v>0</v>
      </c>
      <c r="K683" s="762">
        <f>'HSSA FGD'!$K$70</f>
        <v>0</v>
      </c>
      <c r="L683" s="762">
        <f>'HSSA FGD'!$L$70</f>
        <v>0</v>
      </c>
      <c r="M683" s="723">
        <f>'HSSA FGD'!$M$70</f>
        <v>2828020</v>
      </c>
      <c r="O683" s="723"/>
    </row>
    <row r="684" spans="1:15" hidden="1" outlineLevel="1">
      <c r="B684" s="823" t="str">
        <f>'MBG FGD'!$B$2</f>
        <v>The University of Texas Medical Branch at Galveston</v>
      </c>
      <c r="C684" s="823"/>
      <c r="D684" s="762">
        <f>'MBG FGD'!$D$70</f>
        <v>4679724</v>
      </c>
      <c r="E684" s="762">
        <f>'MBG FGD'!$E$70</f>
        <v>2070185</v>
      </c>
      <c r="F684" s="762">
        <f>'MBG FGD'!$F$70</f>
        <v>0</v>
      </c>
      <c r="G684" s="762">
        <f>'MBG FGD'!$G$70</f>
        <v>483794</v>
      </c>
      <c r="H684" s="762">
        <f>'MBG FGD'!$H$70</f>
        <v>4</v>
      </c>
      <c r="I684" s="762">
        <f>'MBG FGD'!$I$70</f>
        <v>0</v>
      </c>
      <c r="J684" s="762">
        <f>'MBG FGD'!$J$70</f>
        <v>0</v>
      </c>
      <c r="K684" s="762">
        <f>'MBG FGD'!$K$70</f>
        <v>0</v>
      </c>
      <c r="L684" s="762">
        <f>'MBG FGD'!$L$70</f>
        <v>0</v>
      </c>
      <c r="M684" s="723">
        <f>'MBG FGD'!$M$70</f>
        <v>7233707</v>
      </c>
      <c r="O684" s="723"/>
    </row>
    <row r="685" spans="1:15" hidden="1" outlineLevel="1">
      <c r="B685" s="823" t="str">
        <f>'MDA FGD'!$B$2</f>
        <v>The University of Texas M.D. Anderson Cancer Center</v>
      </c>
      <c r="C685" s="823"/>
      <c r="D685" s="762">
        <f>'MDA FGD'!$D$70</f>
        <v>842888</v>
      </c>
      <c r="E685" s="762">
        <f>'MDA FGD'!$E$70</f>
        <v>0</v>
      </c>
      <c r="F685" s="762">
        <f>'MDA FGD'!$F$70</f>
        <v>0</v>
      </c>
      <c r="G685" s="762">
        <f>'MDA FGD'!$G$70</f>
        <v>2592231</v>
      </c>
      <c r="H685" s="762">
        <f>'MDA FGD'!$H$70</f>
        <v>0</v>
      </c>
      <c r="I685" s="762">
        <f>'MDA FGD'!$I$70</f>
        <v>0</v>
      </c>
      <c r="J685" s="762">
        <f>'MDA FGD'!$J$70</f>
        <v>0</v>
      </c>
      <c r="K685" s="762">
        <f>'MDA FGD'!$K$70</f>
        <v>0</v>
      </c>
      <c r="L685" s="762">
        <f>'MDA FGD'!$L$70</f>
        <v>0</v>
      </c>
      <c r="M685" s="723">
        <f>'MDA FGD'!$M$70</f>
        <v>3435119</v>
      </c>
      <c r="O685" s="723"/>
    </row>
    <row r="686" spans="1:15" hidden="1" outlineLevel="1">
      <c r="B686" s="823" t="str">
        <f>'RGVM FGD'!$B$2</f>
        <v>The University of Texas Rio Grande Valley Medical School (M)</v>
      </c>
      <c r="C686" s="823"/>
      <c r="D686" s="762">
        <f>'RGVM FGD'!$D$70</f>
        <v>2560886</v>
      </c>
      <c r="E686" s="762">
        <f>'RGVM FGD'!$E$70</f>
        <v>974048</v>
      </c>
      <c r="F686" s="762">
        <f>'RGVM FGD'!$F$70</f>
        <v>0</v>
      </c>
      <c r="G686" s="762">
        <f>'RGVM FGD'!$G$70</f>
        <v>107955</v>
      </c>
      <c r="H686" s="762">
        <f>'RGVM FGD'!$H$70</f>
        <v>0</v>
      </c>
      <c r="I686" s="762">
        <f>'RGVM FGD'!$I$70</f>
        <v>0</v>
      </c>
      <c r="J686" s="762">
        <f>'RGVM FGD'!$J$70</f>
        <v>0</v>
      </c>
      <c r="K686" s="762">
        <f>'RGVM FGD'!$K$70</f>
        <v>0</v>
      </c>
      <c r="L686" s="762">
        <f>'RGVM FGD'!$L$70</f>
        <v>0</v>
      </c>
      <c r="M686" s="723">
        <f>'RGVM FGD'!$M$70</f>
        <v>3642889</v>
      </c>
      <c r="O686" s="723"/>
    </row>
    <row r="687" spans="1:15" hidden="1" outlineLevel="1">
      <c r="B687" s="823" t="str">
        <f>'SWM FGD'!$B$2</f>
        <v>The University of Texas Southwestern Medical Center</v>
      </c>
      <c r="C687" s="823"/>
      <c r="D687" s="762">
        <f>'SWM FGD'!$D$70</f>
        <v>450406</v>
      </c>
      <c r="E687" s="762">
        <f>'SWM FGD'!$E$70</f>
        <v>1082100</v>
      </c>
      <c r="F687" s="762">
        <f>'SWM FGD'!$F$70</f>
        <v>0</v>
      </c>
      <c r="G687" s="762">
        <f>'SWM FGD'!$G$70</f>
        <v>279124</v>
      </c>
      <c r="H687" s="762">
        <f>'SWM FGD'!$H$70</f>
        <v>339790</v>
      </c>
      <c r="I687" s="762">
        <f>'SWM FGD'!$I$70</f>
        <v>0</v>
      </c>
      <c r="J687" s="762">
        <f>'SWM FGD'!$J$70</f>
        <v>0</v>
      </c>
      <c r="K687" s="762">
        <f>'SWM FGD'!$K$70</f>
        <v>0</v>
      </c>
      <c r="L687" s="762">
        <f>'SWM FGD'!$L$70</f>
        <v>0</v>
      </c>
      <c r="M687" s="723">
        <f>'SWM FGD'!$M$70</f>
        <v>2151420</v>
      </c>
      <c r="O687" s="723"/>
    </row>
    <row r="688" spans="1:15" hidden="1" outlineLevel="1">
      <c r="B688" s="823" t="str">
        <f>'TAMHSC FGD'!$B$2</f>
        <v>Texas A&amp;M University System Health Science Center</v>
      </c>
      <c r="C688" s="823"/>
      <c r="D688" s="762">
        <f>'TAMHSC FGD'!$D$70</f>
        <v>3109581</v>
      </c>
      <c r="E688" s="762">
        <f>'TAMHSC FGD'!$E$70</f>
        <v>2259181</v>
      </c>
      <c r="F688" s="762">
        <f>'TAMHSC FGD'!$F$70</f>
        <v>0</v>
      </c>
      <c r="G688" s="762">
        <f>'TAMHSC FGD'!$G$70</f>
        <v>72674</v>
      </c>
      <c r="H688" s="762">
        <f>'TAMHSC FGD'!$H$70</f>
        <v>7308</v>
      </c>
      <c r="I688" s="762">
        <f>'TAMHSC FGD'!$I$70</f>
        <v>0</v>
      </c>
      <c r="J688" s="762">
        <f>'TAMHSC FGD'!$J$70</f>
        <v>0</v>
      </c>
      <c r="K688" s="762">
        <f>'TAMHSC FGD'!$K$70</f>
        <v>0</v>
      </c>
      <c r="L688" s="762">
        <f>'TAMHSC FGD'!$L$70</f>
        <v>0</v>
      </c>
      <c r="M688" s="723">
        <f>'TAMHSC FGD'!$M$70</f>
        <v>5448744</v>
      </c>
      <c r="O688" s="723"/>
    </row>
    <row r="689" spans="1:15" hidden="1" outlineLevel="1">
      <c r="B689" s="823" t="str">
        <f>'THC FGD'!$B$2</f>
        <v>The University of Texas Health Science Center at Tyler</v>
      </c>
      <c r="C689" s="823"/>
      <c r="D689" s="762">
        <f>'THC FGD'!$D$70</f>
        <v>189250</v>
      </c>
      <c r="E689" s="762">
        <f>'THC FGD'!$E$70</f>
        <v>270777</v>
      </c>
      <c r="F689" s="762">
        <f>'THC FGD'!$F$70</f>
        <v>0</v>
      </c>
      <c r="G689" s="762">
        <f>'THC FGD'!$G$70</f>
        <v>0</v>
      </c>
      <c r="H689" s="762">
        <f>'THC FGD'!$H$70</f>
        <v>0</v>
      </c>
      <c r="I689" s="762">
        <f>'THC FGD'!$I$70</f>
        <v>0</v>
      </c>
      <c r="J689" s="762">
        <f>'THC FGD'!$J$70</f>
        <v>0</v>
      </c>
      <c r="K689" s="762">
        <f>'THC FGD'!$K$70</f>
        <v>0</v>
      </c>
      <c r="L689" s="762">
        <f>'THC FGD'!$L$70</f>
        <v>0</v>
      </c>
      <c r="M689" s="723">
        <f>'THC FGD'!$M$70</f>
        <v>460027</v>
      </c>
      <c r="O689" s="723"/>
    </row>
    <row r="690" spans="1:15" hidden="1" outlineLevel="1">
      <c r="B690" s="823" t="str">
        <f>'TTUHSC FGD'!$B$2</f>
        <v>Texas Tech University Health Sciences Center</v>
      </c>
      <c r="C690" s="823"/>
      <c r="D690" s="762">
        <f>'TTUHSC FGD'!$D$70</f>
        <v>1955496</v>
      </c>
      <c r="E690" s="762">
        <f>'TTUHSC FGD'!$E$70</f>
        <v>22483652</v>
      </c>
      <c r="F690" s="762">
        <f>'TTUHSC FGD'!$F$70</f>
        <v>0</v>
      </c>
      <c r="G690" s="762">
        <f>'TTUHSC FGD'!$G$70</f>
        <v>10247</v>
      </c>
      <c r="H690" s="762">
        <f>'TTUHSC FGD'!$H$70</f>
        <v>95714</v>
      </c>
      <c r="I690" s="762">
        <f>'TTUHSC FGD'!$I$70</f>
        <v>0</v>
      </c>
      <c r="J690" s="762">
        <f>'TTUHSC FGD'!$J$70</f>
        <v>0</v>
      </c>
      <c r="K690" s="762">
        <f>'TTUHSC FGD'!$K$70</f>
        <v>0</v>
      </c>
      <c r="L690" s="762">
        <f>'TTUHSC FGD'!$L$70</f>
        <v>0</v>
      </c>
      <c r="M690" s="723">
        <f>'TTUHSC FGD'!$M$70</f>
        <v>24545109</v>
      </c>
      <c r="O690" s="723"/>
    </row>
    <row r="691" spans="1:15" hidden="1" outlineLevel="1">
      <c r="B691" s="823" t="str">
        <f>'TTUHSCEP FGD'!$B$2</f>
        <v>Texas Tech University Health Sciences Center at El Paso</v>
      </c>
      <c r="C691" s="823"/>
      <c r="D691" s="762">
        <f>'TTUHSCEP FGD'!$D$70</f>
        <v>1012746</v>
      </c>
      <c r="E691" s="762">
        <f>'TTUHSCEP FGD'!$E$70</f>
        <v>3857939</v>
      </c>
      <c r="F691" s="762">
        <f>'TTUHSCEP FGD'!$F$70</f>
        <v>0</v>
      </c>
      <c r="G691" s="762">
        <f>'TTUHSCEP FGD'!$G$70</f>
        <v>6618</v>
      </c>
      <c r="H691" s="762">
        <f>'TTUHSCEP FGD'!$H$70</f>
        <v>6241</v>
      </c>
      <c r="I691" s="762">
        <f>'TTUHSCEP FGD'!$I$70</f>
        <v>0</v>
      </c>
      <c r="J691" s="762">
        <f>'TTUHSCEP FGD'!$J$70</f>
        <v>0</v>
      </c>
      <c r="K691" s="762">
        <f>'TTUHSCEP FGD'!$K$70</f>
        <v>0</v>
      </c>
      <c r="L691" s="762">
        <f>'TTUHSCEP FGD'!$L$70</f>
        <v>0</v>
      </c>
      <c r="M691" s="723">
        <f>'TTUHSCEP FGD'!$M$70</f>
        <v>4883544</v>
      </c>
      <c r="O691" s="723"/>
    </row>
    <row r="692" spans="1:15" hidden="1" outlineLevel="1">
      <c r="B692" s="823" t="str">
        <f>'UHM FGD'!$B$2</f>
        <v>University of Houston Medical School (M)</v>
      </c>
      <c r="C692" s="823"/>
      <c r="D692" s="762">
        <f>'UHM FGD'!$D$70</f>
        <v>0</v>
      </c>
      <c r="E692" s="762">
        <f>'UHM FGD'!$E$70</f>
        <v>0</v>
      </c>
      <c r="F692" s="762">
        <f>'UHM FGD'!$F$70</f>
        <v>0</v>
      </c>
      <c r="G692" s="762">
        <f>'UHM FGD'!$G$70</f>
        <v>0</v>
      </c>
      <c r="H692" s="762">
        <f>'UHM FGD'!$H$70</f>
        <v>0</v>
      </c>
      <c r="I692" s="762">
        <f>'UHM FGD'!$I$70</f>
        <v>0</v>
      </c>
      <c r="J692" s="762">
        <f>'UHM FGD'!$J$70</f>
        <v>0</v>
      </c>
      <c r="K692" s="762">
        <f>'UHM FGD'!$K$70</f>
        <v>0</v>
      </c>
      <c r="L692" s="762">
        <f>'UHM FGD'!$L$70</f>
        <v>0</v>
      </c>
      <c r="M692" s="723">
        <f>'UHM FGD'!$M$70</f>
        <v>0</v>
      </c>
      <c r="O692" s="723"/>
    </row>
    <row r="693" spans="1:15" hidden="1" outlineLevel="1">
      <c r="B693" s="823" t="str">
        <f>'UNTHSC1 FGD'!$B$2</f>
        <v>University of North Texas Health Science Center at Fort Worth (Public Medical)</v>
      </c>
      <c r="C693" s="823"/>
      <c r="D693" s="762">
        <f>'UNTHSC1 FGD'!$D$70</f>
        <v>4205952</v>
      </c>
      <c r="E693" s="762">
        <f>'UNTHSC1 FGD'!$E$70</f>
        <v>3762476</v>
      </c>
      <c r="F693" s="762">
        <f>'UNTHSC1 FGD'!$F$70</f>
        <v>0</v>
      </c>
      <c r="G693" s="762">
        <f>'UNTHSC1 FGD'!$G$70</f>
        <v>40525</v>
      </c>
      <c r="H693" s="762">
        <f>'UNTHSC1 FGD'!$H$70</f>
        <v>9635</v>
      </c>
      <c r="I693" s="762">
        <f>'UNTHSC1 FGD'!$I$70</f>
        <v>0</v>
      </c>
      <c r="J693" s="762">
        <f>'UNTHSC1 FGD'!$J$70</f>
        <v>0</v>
      </c>
      <c r="K693" s="762">
        <f>'UNTHSC1 FGD'!$K$70</f>
        <v>0</v>
      </c>
      <c r="L693" s="762">
        <f>'UNTHSC1 FGD'!$L$70</f>
        <v>0</v>
      </c>
      <c r="M693" s="723">
        <f>'UNTHSC1 FGD'!$M$70</f>
        <v>8018588</v>
      </c>
      <c r="O693" s="723"/>
    </row>
    <row r="694" spans="1:15" collapsed="1">
      <c r="A694" s="460">
        <v>53</v>
      </c>
      <c r="B694" s="823" t="s">
        <v>182</v>
      </c>
      <c r="C694" s="823"/>
      <c r="D694" s="762">
        <f t="shared" ref="D694:M694" si="47">SUM(D681:D693)</f>
        <v>24177920</v>
      </c>
      <c r="E694" s="762">
        <f t="shared" si="47"/>
        <v>44686969</v>
      </c>
      <c r="F694" s="762">
        <f t="shared" si="47"/>
        <v>0</v>
      </c>
      <c r="G694" s="762">
        <f t="shared" si="47"/>
        <v>6154116</v>
      </c>
      <c r="H694" s="762">
        <f t="shared" si="47"/>
        <v>794053</v>
      </c>
      <c r="I694" s="762">
        <f t="shared" si="47"/>
        <v>0</v>
      </c>
      <c r="J694" s="762">
        <f t="shared" si="47"/>
        <v>0</v>
      </c>
      <c r="K694" s="762">
        <f t="shared" si="47"/>
        <v>0</v>
      </c>
      <c r="L694" s="762">
        <f t="shared" si="47"/>
        <v>0</v>
      </c>
      <c r="M694" s="723">
        <f t="shared" si="47"/>
        <v>75813058</v>
      </c>
      <c r="O694" s="723"/>
    </row>
    <row r="695" spans="1:15" hidden="1" outlineLevel="1">
      <c r="B695" s="823" t="str">
        <f>'AUSM FGD'!$B$2</f>
        <v>The University of Texas at Austin Medical School (M)</v>
      </c>
      <c r="C695" s="823"/>
      <c r="D695" s="762">
        <f>'AUSM FGD'!$D$71</f>
        <v>7803301</v>
      </c>
      <c r="E695" s="762">
        <f>'AUSM FGD'!$E$71</f>
        <v>15290763</v>
      </c>
      <c r="F695" s="762">
        <f>'AUSM FGD'!$F$71</f>
        <v>0</v>
      </c>
      <c r="G695" s="762">
        <f>'AUSM FGD'!$G$71</f>
        <v>1528493</v>
      </c>
      <c r="H695" s="762">
        <f>'AUSM FGD'!$H$71</f>
        <v>0</v>
      </c>
      <c r="I695" s="762">
        <f>'AUSM FGD'!$I$71</f>
        <v>0</v>
      </c>
      <c r="J695" s="762">
        <f>'AUSM FGD'!$J$71</f>
        <v>0</v>
      </c>
      <c r="K695" s="762">
        <f>'AUSM FGD'!$K$71</f>
        <v>0</v>
      </c>
      <c r="L695" s="762">
        <f>'AUSM FGD'!$L$71</f>
        <v>0</v>
      </c>
      <c r="M695" s="723">
        <f>'AUSM FGD'!$M$71</f>
        <v>24622557</v>
      </c>
      <c r="O695" s="723"/>
    </row>
    <row r="696" spans="1:15" hidden="1" outlineLevel="1">
      <c r="B696" s="823" t="str">
        <f>'HSH FGD'!$B$2</f>
        <v>The University of Texas Health Science Center at Houston</v>
      </c>
      <c r="C696" s="823"/>
      <c r="D696" s="762">
        <f>'HSH FGD'!$D$71</f>
        <v>46767228</v>
      </c>
      <c r="E696" s="762">
        <f>'HSH FGD'!$E$71</f>
        <v>40048082</v>
      </c>
      <c r="F696" s="762">
        <f>'HSH FGD'!$F$71</f>
        <v>0</v>
      </c>
      <c r="G696" s="762">
        <f>'HSH FGD'!$G$71</f>
        <v>2030709</v>
      </c>
      <c r="H696" s="762">
        <f>'HSH FGD'!$H$71</f>
        <v>0</v>
      </c>
      <c r="I696" s="762">
        <f>'HSH FGD'!$I$71</f>
        <v>0</v>
      </c>
      <c r="J696" s="762">
        <f>'HSH FGD'!$J$71</f>
        <v>0</v>
      </c>
      <c r="K696" s="762">
        <f>'HSH FGD'!$K$71</f>
        <v>0</v>
      </c>
      <c r="L696" s="762">
        <f>'HSH FGD'!$L$71</f>
        <v>0</v>
      </c>
      <c r="M696" s="723">
        <f>'HSH FGD'!$M$71</f>
        <v>88846019</v>
      </c>
      <c r="O696" s="723"/>
    </row>
    <row r="697" spans="1:15" hidden="1" outlineLevel="1">
      <c r="B697" s="823" t="str">
        <f>'HSSA FGD'!$B$2</f>
        <v>The University of Texas Health Science Center at San Antonio</v>
      </c>
      <c r="C697" s="823"/>
      <c r="D697" s="762">
        <f>'HSSA FGD'!$D$71</f>
        <v>36959374</v>
      </c>
      <c r="E697" s="762">
        <f>'HSSA FGD'!$E$71</f>
        <v>26210259</v>
      </c>
      <c r="F697" s="762">
        <f>'HSSA FGD'!$F$71</f>
        <v>0</v>
      </c>
      <c r="G697" s="762">
        <f>'HSSA FGD'!$G$71</f>
        <v>542044</v>
      </c>
      <c r="H697" s="762">
        <f>'HSSA FGD'!$H$71</f>
        <v>0</v>
      </c>
      <c r="I697" s="762">
        <f>'HSSA FGD'!$I$71</f>
        <v>0</v>
      </c>
      <c r="J697" s="762">
        <f>'HSSA FGD'!$J$71</f>
        <v>0</v>
      </c>
      <c r="K697" s="762">
        <f>'HSSA FGD'!$K$71</f>
        <v>0</v>
      </c>
      <c r="L697" s="762">
        <f>'HSSA FGD'!$L$71</f>
        <v>0</v>
      </c>
      <c r="M697" s="723">
        <f>'HSSA FGD'!$M$71</f>
        <v>63711677</v>
      </c>
      <c r="O697" s="723"/>
    </row>
    <row r="698" spans="1:15" hidden="1" outlineLevel="1">
      <c r="B698" s="823" t="str">
        <f>'MBG FGD'!$B$2</f>
        <v>The University of Texas Medical Branch at Galveston</v>
      </c>
      <c r="C698" s="823"/>
      <c r="D698" s="762">
        <f>'MBG FGD'!$D$71</f>
        <v>82574104</v>
      </c>
      <c r="E698" s="762">
        <f>'MBG FGD'!$E$71</f>
        <v>17301574</v>
      </c>
      <c r="F698" s="762">
        <f>'MBG FGD'!$F$71</f>
        <v>0</v>
      </c>
      <c r="G698" s="762">
        <f>'MBG FGD'!$G$71</f>
        <v>2966770</v>
      </c>
      <c r="H698" s="762">
        <f>'MBG FGD'!$H$71</f>
        <v>0</v>
      </c>
      <c r="I698" s="762">
        <f>'MBG FGD'!$I$71</f>
        <v>0</v>
      </c>
      <c r="J698" s="762">
        <f>'MBG FGD'!$J$71</f>
        <v>0</v>
      </c>
      <c r="K698" s="762">
        <f>'MBG FGD'!$K$71</f>
        <v>0</v>
      </c>
      <c r="L698" s="762">
        <f>'MBG FGD'!$L$71</f>
        <v>0</v>
      </c>
      <c r="M698" s="723">
        <f>'MBG FGD'!$M$71</f>
        <v>102842448</v>
      </c>
      <c r="O698" s="723"/>
    </row>
    <row r="699" spans="1:15" hidden="1" outlineLevel="1">
      <c r="B699" s="823" t="str">
        <f>'MDA FGD'!$B$2</f>
        <v>The University of Texas M.D. Anderson Cancer Center</v>
      </c>
      <c r="C699" s="823"/>
      <c r="D699" s="762">
        <f>'MDA FGD'!$D$71</f>
        <v>167318035</v>
      </c>
      <c r="E699" s="762">
        <f>'MDA FGD'!$E$71</f>
        <v>22780144</v>
      </c>
      <c r="F699" s="762">
        <f>'MDA FGD'!$F$71</f>
        <v>0</v>
      </c>
      <c r="G699" s="762">
        <f>'MDA FGD'!$G$71</f>
        <v>3975590</v>
      </c>
      <c r="H699" s="762">
        <f>'MDA FGD'!$H$71</f>
        <v>0</v>
      </c>
      <c r="I699" s="762">
        <f>'MDA FGD'!$I$71</f>
        <v>0</v>
      </c>
      <c r="J699" s="762">
        <f>'MDA FGD'!$J$71</f>
        <v>0</v>
      </c>
      <c r="K699" s="762">
        <f>'MDA FGD'!$K$71</f>
        <v>0</v>
      </c>
      <c r="L699" s="762">
        <f>'MDA FGD'!$L$71</f>
        <v>0</v>
      </c>
      <c r="M699" s="723">
        <f>'MDA FGD'!$M$71</f>
        <v>194073769</v>
      </c>
      <c r="O699" s="723"/>
    </row>
    <row r="700" spans="1:15" hidden="1" outlineLevel="1">
      <c r="B700" s="823" t="str">
        <f>'RGVM FGD'!$B$2</f>
        <v>The University of Texas Rio Grande Valley Medical School (M)</v>
      </c>
      <c r="C700" s="823"/>
      <c r="D700" s="762">
        <f>'RGVM FGD'!$D$71</f>
        <v>0</v>
      </c>
      <c r="E700" s="762">
        <f>'RGVM FGD'!$E$71</f>
        <v>0</v>
      </c>
      <c r="F700" s="762">
        <f>'RGVM FGD'!$F$71</f>
        <v>0</v>
      </c>
      <c r="G700" s="762">
        <f>'RGVM FGD'!$G$71</f>
        <v>20958</v>
      </c>
      <c r="H700" s="762">
        <f>'RGVM FGD'!$H$71</f>
        <v>0</v>
      </c>
      <c r="I700" s="762">
        <f>'RGVM FGD'!$I$71</f>
        <v>0</v>
      </c>
      <c r="J700" s="762">
        <f>'RGVM FGD'!$J$71</f>
        <v>0</v>
      </c>
      <c r="K700" s="762">
        <f>'RGVM FGD'!$K$71</f>
        <v>0</v>
      </c>
      <c r="L700" s="762">
        <f>'RGVM FGD'!$L$71</f>
        <v>0</v>
      </c>
      <c r="M700" s="723">
        <f>'RGVM FGD'!$M$71</f>
        <v>20958</v>
      </c>
      <c r="O700" s="723"/>
    </row>
    <row r="701" spans="1:15" hidden="1" outlineLevel="1">
      <c r="B701" s="823" t="str">
        <f>'SWM FGD'!$B$2</f>
        <v>The University of Texas Southwestern Medical Center</v>
      </c>
      <c r="C701" s="823"/>
      <c r="D701" s="762">
        <f>'SWM FGD'!$D$71</f>
        <v>42513182</v>
      </c>
      <c r="E701" s="762">
        <f>'SWM FGD'!$E$71</f>
        <v>24571243</v>
      </c>
      <c r="F701" s="762">
        <f>'SWM FGD'!$F$71</f>
        <v>0</v>
      </c>
      <c r="G701" s="762">
        <f>'SWM FGD'!$G$71</f>
        <v>32840262</v>
      </c>
      <c r="H701" s="762">
        <f>'SWM FGD'!$H$71</f>
        <v>0</v>
      </c>
      <c r="I701" s="762">
        <f>'SWM FGD'!$I$71</f>
        <v>0</v>
      </c>
      <c r="J701" s="762">
        <f>'SWM FGD'!$J$71</f>
        <v>0</v>
      </c>
      <c r="K701" s="762">
        <f>'SWM FGD'!$K$71</f>
        <v>0</v>
      </c>
      <c r="L701" s="762">
        <f>'SWM FGD'!$L$71</f>
        <v>0</v>
      </c>
      <c r="M701" s="723">
        <f>'SWM FGD'!$M$71</f>
        <v>99924687</v>
      </c>
      <c r="O701" s="723"/>
    </row>
    <row r="702" spans="1:15" hidden="1" outlineLevel="1">
      <c r="B702" s="823" t="str">
        <f>'TAMHSC FGD'!$B$2</f>
        <v>Texas A&amp;M University System Health Science Center</v>
      </c>
      <c r="C702" s="823"/>
      <c r="D702" s="762">
        <f>'TAMHSC FGD'!$D$71</f>
        <v>9474555</v>
      </c>
      <c r="E702" s="762">
        <f>'TAMHSC FGD'!$E$71</f>
        <v>1852176</v>
      </c>
      <c r="F702" s="762">
        <f>'TAMHSC FGD'!$F$71</f>
        <v>0</v>
      </c>
      <c r="G702" s="762">
        <f>'TAMHSC FGD'!$G$71</f>
        <v>13628</v>
      </c>
      <c r="H702" s="762">
        <f>'TAMHSC FGD'!$H$71</f>
        <v>0</v>
      </c>
      <c r="I702" s="762">
        <f>'TAMHSC FGD'!$I$71</f>
        <v>0</v>
      </c>
      <c r="J702" s="762">
        <f>'TAMHSC FGD'!$J$71</f>
        <v>0</v>
      </c>
      <c r="K702" s="762">
        <f>'TAMHSC FGD'!$K$71</f>
        <v>0</v>
      </c>
      <c r="L702" s="762">
        <f>'TAMHSC FGD'!$L$71</f>
        <v>0</v>
      </c>
      <c r="M702" s="723">
        <f>'TAMHSC FGD'!$M$71</f>
        <v>11340359</v>
      </c>
      <c r="O702" s="723"/>
    </row>
    <row r="703" spans="1:15" hidden="1" outlineLevel="1">
      <c r="B703" s="823" t="str">
        <f>'THC FGD'!$B$2</f>
        <v>The University of Texas Health Science Center at Tyler</v>
      </c>
      <c r="C703" s="823"/>
      <c r="D703" s="762">
        <f>'THC FGD'!$D$71</f>
        <v>10971174</v>
      </c>
      <c r="E703" s="762">
        <f>'THC FGD'!$E$71</f>
        <v>3973732</v>
      </c>
      <c r="F703" s="762">
        <f>'THC FGD'!$F$71</f>
        <v>0</v>
      </c>
      <c r="G703" s="762">
        <f>'THC FGD'!$G$71</f>
        <v>199014</v>
      </c>
      <c r="H703" s="762">
        <f>'THC FGD'!$H$71</f>
        <v>0</v>
      </c>
      <c r="I703" s="762">
        <f>'THC FGD'!$I$71</f>
        <v>0</v>
      </c>
      <c r="J703" s="762">
        <f>'THC FGD'!$J$71</f>
        <v>0</v>
      </c>
      <c r="K703" s="762">
        <f>'THC FGD'!$K$71</f>
        <v>0</v>
      </c>
      <c r="L703" s="762">
        <f>'THC FGD'!$L$71</f>
        <v>0</v>
      </c>
      <c r="M703" s="723">
        <f>'THC FGD'!$M$71</f>
        <v>15143920</v>
      </c>
      <c r="O703" s="723"/>
    </row>
    <row r="704" spans="1:15" hidden="1" outlineLevel="1">
      <c r="B704" s="823" t="str">
        <f>'TTUHSC FGD'!$B$2</f>
        <v>Texas Tech University Health Sciences Center</v>
      </c>
      <c r="C704" s="823"/>
      <c r="D704" s="762">
        <f>'TTUHSC FGD'!$D$71</f>
        <v>22500774</v>
      </c>
      <c r="E704" s="762">
        <f>'TTUHSC FGD'!$E$71</f>
        <v>9105738</v>
      </c>
      <c r="F704" s="762">
        <f>'TTUHSC FGD'!$F$71</f>
        <v>0</v>
      </c>
      <c r="G704" s="762">
        <f>'TTUHSC FGD'!$G$71</f>
        <v>2683455</v>
      </c>
      <c r="H704" s="762">
        <f>'TTUHSC FGD'!$H$71</f>
        <v>0</v>
      </c>
      <c r="I704" s="762">
        <f>'TTUHSC FGD'!$I$71</f>
        <v>0</v>
      </c>
      <c r="J704" s="762">
        <f>'TTUHSC FGD'!$J$71</f>
        <v>0</v>
      </c>
      <c r="K704" s="762">
        <f>'TTUHSC FGD'!$K$71</f>
        <v>0</v>
      </c>
      <c r="L704" s="762">
        <f>'TTUHSC FGD'!$L$71</f>
        <v>0</v>
      </c>
      <c r="M704" s="723">
        <f>'TTUHSC FGD'!$M$71</f>
        <v>34289967</v>
      </c>
      <c r="O704" s="723"/>
    </row>
    <row r="705" spans="1:15" hidden="1" outlineLevel="1">
      <c r="B705" s="823" t="str">
        <f>'TTUHSCEP FGD'!$B$2</f>
        <v>Texas Tech University Health Sciences Center at El Paso</v>
      </c>
      <c r="C705" s="823"/>
      <c r="D705" s="762">
        <f>'TTUHSCEP FGD'!$D$71</f>
        <v>12104274</v>
      </c>
      <c r="E705" s="762">
        <f>'TTUHSCEP FGD'!$E$71</f>
        <v>6484012</v>
      </c>
      <c r="F705" s="762">
        <f>'TTUHSCEP FGD'!$F$71</f>
        <v>0</v>
      </c>
      <c r="G705" s="762">
        <f>'TTUHSCEP FGD'!$G$71</f>
        <v>415428</v>
      </c>
      <c r="H705" s="762">
        <f>'TTUHSCEP FGD'!$H$71</f>
        <v>0</v>
      </c>
      <c r="I705" s="762">
        <f>'TTUHSCEP FGD'!$I$71</f>
        <v>0</v>
      </c>
      <c r="J705" s="762">
        <f>'TTUHSCEP FGD'!$J$71</f>
        <v>0</v>
      </c>
      <c r="K705" s="762">
        <f>'TTUHSCEP FGD'!$K$71</f>
        <v>0</v>
      </c>
      <c r="L705" s="762">
        <f>'TTUHSCEP FGD'!$L$71</f>
        <v>0</v>
      </c>
      <c r="M705" s="723">
        <f>'TTUHSCEP FGD'!$M$71</f>
        <v>19003714</v>
      </c>
      <c r="O705" s="723"/>
    </row>
    <row r="706" spans="1:15" hidden="1" outlineLevel="1">
      <c r="B706" s="823" t="str">
        <f>'UHM FGD'!$B$2</f>
        <v>University of Houston Medical School (M)</v>
      </c>
      <c r="C706" s="823"/>
      <c r="D706" s="762">
        <f>'UHM FGD'!$D$71</f>
        <v>339945</v>
      </c>
      <c r="E706" s="762">
        <f>'UHM FGD'!$E$71</f>
        <v>13378</v>
      </c>
      <c r="F706" s="762">
        <f>'UHM FGD'!$F$71</f>
        <v>0</v>
      </c>
      <c r="G706" s="762">
        <f>'UHM FGD'!$G$71</f>
        <v>0</v>
      </c>
      <c r="H706" s="762">
        <f>'UHM FGD'!$H$71</f>
        <v>0</v>
      </c>
      <c r="I706" s="762">
        <f>'UHM FGD'!$I$71</f>
        <v>0</v>
      </c>
      <c r="J706" s="762">
        <f>'UHM FGD'!$J$71</f>
        <v>0</v>
      </c>
      <c r="K706" s="762">
        <f>'UHM FGD'!$K$71</f>
        <v>0</v>
      </c>
      <c r="L706" s="762">
        <f>'UHM FGD'!$L$71</f>
        <v>0</v>
      </c>
      <c r="M706" s="723">
        <f>'UHM FGD'!$M$71</f>
        <v>353323</v>
      </c>
      <c r="O706" s="723"/>
    </row>
    <row r="707" spans="1:15" hidden="1" outlineLevel="1">
      <c r="B707" s="823" t="str">
        <f>'UNTHSC1 FGD'!$B$2</f>
        <v>University of North Texas Health Science Center at Fort Worth (Public Medical)</v>
      </c>
      <c r="C707" s="823"/>
      <c r="D707" s="762">
        <f>'UNTHSC1 FGD'!$D$71</f>
        <v>14630723</v>
      </c>
      <c r="E707" s="762">
        <f>'UNTHSC1 FGD'!$E$71</f>
        <v>6741642</v>
      </c>
      <c r="F707" s="762">
        <f>'UNTHSC1 FGD'!$F$71</f>
        <v>0</v>
      </c>
      <c r="G707" s="762">
        <f>'UNTHSC1 FGD'!$G$71</f>
        <v>380580</v>
      </c>
      <c r="H707" s="762">
        <f>'UNTHSC1 FGD'!$H$71</f>
        <v>0</v>
      </c>
      <c r="I707" s="762">
        <f>'UNTHSC1 FGD'!$I$71</f>
        <v>107653</v>
      </c>
      <c r="J707" s="762">
        <f>'UNTHSC1 FGD'!$J$71</f>
        <v>209</v>
      </c>
      <c r="K707" s="762">
        <f>'UNTHSC1 FGD'!$K$71</f>
        <v>0</v>
      </c>
      <c r="L707" s="762">
        <f>'UNTHSC1 FGD'!$L$71</f>
        <v>0</v>
      </c>
      <c r="M707" s="723">
        <f>'UNTHSC1 FGD'!$M$71</f>
        <v>21860807</v>
      </c>
      <c r="O707" s="723"/>
    </row>
    <row r="708" spans="1:15" collapsed="1">
      <c r="A708" s="460">
        <v>54</v>
      </c>
      <c r="B708" s="823" t="s">
        <v>183</v>
      </c>
      <c r="C708" s="823"/>
      <c r="D708" s="762">
        <f t="shared" ref="D708:M708" si="48">SUM(D695:D707)</f>
        <v>453956669</v>
      </c>
      <c r="E708" s="762">
        <f t="shared" si="48"/>
        <v>174372743</v>
      </c>
      <c r="F708" s="762">
        <f t="shared" si="48"/>
        <v>0</v>
      </c>
      <c r="G708" s="762">
        <f t="shared" si="48"/>
        <v>47596931</v>
      </c>
      <c r="H708" s="762">
        <f t="shared" si="48"/>
        <v>0</v>
      </c>
      <c r="I708" s="762">
        <f t="shared" si="48"/>
        <v>107653</v>
      </c>
      <c r="J708" s="762">
        <f t="shared" si="48"/>
        <v>209</v>
      </c>
      <c r="K708" s="762">
        <f t="shared" si="48"/>
        <v>0</v>
      </c>
      <c r="L708" s="762">
        <f t="shared" si="48"/>
        <v>0</v>
      </c>
      <c r="M708" s="723">
        <f t="shared" si="48"/>
        <v>676034205</v>
      </c>
      <c r="O708" s="723"/>
    </row>
    <row r="709" spans="1:15" hidden="1" outlineLevel="1">
      <c r="B709" s="823" t="str">
        <f>'AUSM FGD'!$B$2</f>
        <v>The University of Texas at Austin Medical School (M)</v>
      </c>
      <c r="C709" s="823"/>
      <c r="D709" s="762">
        <f>'AUSM FGD'!$D$72</f>
        <v>1871446</v>
      </c>
      <c r="E709" s="762">
        <f>'AUSM FGD'!$E$72</f>
        <v>0</v>
      </c>
      <c r="F709" s="762">
        <f>'AUSM FGD'!$F$72</f>
        <v>0</v>
      </c>
      <c r="G709" s="762">
        <f>'AUSM FGD'!$G$72</f>
        <v>0</v>
      </c>
      <c r="H709" s="762">
        <f>'AUSM FGD'!$H$72</f>
        <v>0</v>
      </c>
      <c r="I709" s="762">
        <f>'AUSM FGD'!$I$72</f>
        <v>0</v>
      </c>
      <c r="J709" s="762">
        <f>'AUSM FGD'!$J$72</f>
        <v>699062</v>
      </c>
      <c r="K709" s="762">
        <f>'AUSM FGD'!$K$72</f>
        <v>0</v>
      </c>
      <c r="L709" s="762">
        <f>'AUSM FGD'!$L$72</f>
        <v>0</v>
      </c>
      <c r="M709" s="723">
        <f>'AUSM FGD'!$M$72</f>
        <v>2570508</v>
      </c>
      <c r="O709" s="723"/>
    </row>
    <row r="710" spans="1:15" hidden="1" outlineLevel="1">
      <c r="B710" s="823" t="str">
        <f>'HSH FGD'!$B$2</f>
        <v>The University of Texas Health Science Center at Houston</v>
      </c>
      <c r="C710" s="823"/>
      <c r="D710" s="762">
        <f>'HSH FGD'!$D$72</f>
        <v>29682185</v>
      </c>
      <c r="E710" s="762">
        <f>'HSH FGD'!$E$72</f>
        <v>7756353</v>
      </c>
      <c r="F710" s="762">
        <f>'HSH FGD'!$F$72</f>
        <v>0</v>
      </c>
      <c r="G710" s="762">
        <f>'HSH FGD'!$G$72</f>
        <v>79487</v>
      </c>
      <c r="H710" s="762">
        <f>'HSH FGD'!$H$72</f>
        <v>0</v>
      </c>
      <c r="I710" s="762">
        <f>'HSH FGD'!$I$72</f>
        <v>0</v>
      </c>
      <c r="J710" s="762">
        <f>'HSH FGD'!$J$72</f>
        <v>2671071</v>
      </c>
      <c r="K710" s="762">
        <f>'HSH FGD'!$K$72</f>
        <v>0</v>
      </c>
      <c r="L710" s="762">
        <f>'HSH FGD'!$L$72</f>
        <v>0</v>
      </c>
      <c r="M710" s="723">
        <f>'HSH FGD'!$M$72</f>
        <v>40189096</v>
      </c>
      <c r="O710" s="723"/>
    </row>
    <row r="711" spans="1:15" hidden="1" outlineLevel="1">
      <c r="B711" s="823" t="str">
        <f>'HSSA FGD'!$B$2</f>
        <v>The University of Texas Health Science Center at San Antonio</v>
      </c>
      <c r="C711" s="823"/>
      <c r="D711" s="762">
        <f>'HSSA FGD'!$D$72</f>
        <v>15250710</v>
      </c>
      <c r="E711" s="762">
        <f>'HSSA FGD'!$E$72</f>
        <v>30114810</v>
      </c>
      <c r="F711" s="762">
        <f>'HSSA FGD'!$F$72</f>
        <v>0</v>
      </c>
      <c r="G711" s="762">
        <f>'HSSA FGD'!$G$72</f>
        <v>190519</v>
      </c>
      <c r="H711" s="762">
        <f>'HSSA FGD'!$H$72</f>
        <v>0</v>
      </c>
      <c r="I711" s="762">
        <f>'HSSA FGD'!$I$72</f>
        <v>0</v>
      </c>
      <c r="J711" s="762">
        <f>'HSSA FGD'!$J$72</f>
        <v>1536515</v>
      </c>
      <c r="K711" s="762">
        <f>'HSSA FGD'!$K$72</f>
        <v>0</v>
      </c>
      <c r="L711" s="762">
        <f>'HSSA FGD'!$L$72</f>
        <v>0</v>
      </c>
      <c r="M711" s="723">
        <f>'HSSA FGD'!$M$72</f>
        <v>47092554</v>
      </c>
      <c r="O711" s="723"/>
    </row>
    <row r="712" spans="1:15" hidden="1" outlineLevel="1">
      <c r="B712" s="823" t="str">
        <f>'MBG FGD'!$B$2</f>
        <v>The University of Texas Medical Branch at Galveston</v>
      </c>
      <c r="C712" s="823"/>
      <c r="D712" s="762">
        <f>'MBG FGD'!$D$72</f>
        <v>35337047</v>
      </c>
      <c r="E712" s="762">
        <f>'MBG FGD'!$E$72</f>
        <v>12330538</v>
      </c>
      <c r="F712" s="762">
        <f>'MBG FGD'!$F$72</f>
        <v>0</v>
      </c>
      <c r="G712" s="762">
        <f>'MBG FGD'!$G$72</f>
        <v>4171831</v>
      </c>
      <c r="H712" s="762">
        <f>'MBG FGD'!$H$72</f>
        <v>0</v>
      </c>
      <c r="I712" s="762">
        <f>'MBG FGD'!$I$72</f>
        <v>0</v>
      </c>
      <c r="J712" s="762">
        <f>'MBG FGD'!$J$72</f>
        <v>16440522</v>
      </c>
      <c r="K712" s="762">
        <f>'MBG FGD'!$K$72</f>
        <v>0</v>
      </c>
      <c r="L712" s="762">
        <f>'MBG FGD'!$L$72</f>
        <v>0</v>
      </c>
      <c r="M712" s="723">
        <f>'MBG FGD'!$M$72</f>
        <v>68279938</v>
      </c>
      <c r="O712" s="723"/>
    </row>
    <row r="713" spans="1:15" hidden="1" outlineLevel="1">
      <c r="B713" s="823" t="str">
        <f>'MDA FGD'!$B$2</f>
        <v>The University of Texas M.D. Anderson Cancer Center</v>
      </c>
      <c r="C713" s="823"/>
      <c r="D713" s="762">
        <f>'MDA FGD'!$D$72</f>
        <v>230348290</v>
      </c>
      <c r="E713" s="762">
        <f>'MDA FGD'!$E$72</f>
        <v>320532</v>
      </c>
      <c r="F713" s="762">
        <f>'MDA FGD'!$F$72</f>
        <v>0</v>
      </c>
      <c r="G713" s="762">
        <f>'MDA FGD'!$G$72</f>
        <v>32716</v>
      </c>
      <c r="H713" s="762">
        <f>'MDA FGD'!$H$72</f>
        <v>0</v>
      </c>
      <c r="I713" s="762">
        <f>'MDA FGD'!$I$72</f>
        <v>0</v>
      </c>
      <c r="J713" s="762">
        <f>'MDA FGD'!$J$72</f>
        <v>0</v>
      </c>
      <c r="K713" s="762">
        <f>'MDA FGD'!$K$72</f>
        <v>0</v>
      </c>
      <c r="L713" s="762">
        <f>'MDA FGD'!$L$72</f>
        <v>0</v>
      </c>
      <c r="M713" s="723">
        <f>'MDA FGD'!$M$72</f>
        <v>230701538</v>
      </c>
      <c r="O713" s="723"/>
    </row>
    <row r="714" spans="1:15" hidden="1" outlineLevel="1">
      <c r="B714" s="823" t="str">
        <f>'RGVM FGD'!$B$2</f>
        <v>The University of Texas Rio Grande Valley Medical School (M)</v>
      </c>
      <c r="C714" s="823"/>
      <c r="D714" s="762">
        <f>'RGVM FGD'!$D$72</f>
        <v>1486172</v>
      </c>
      <c r="E714" s="762">
        <f>'RGVM FGD'!$E$72</f>
        <v>1318172</v>
      </c>
      <c r="F714" s="762">
        <f>'RGVM FGD'!$F$72</f>
        <v>0</v>
      </c>
      <c r="G714" s="762">
        <f>'RGVM FGD'!$G$72</f>
        <v>0</v>
      </c>
      <c r="H714" s="762">
        <f>'RGVM FGD'!$H$72</f>
        <v>0</v>
      </c>
      <c r="I714" s="762">
        <f>'RGVM FGD'!$I$72</f>
        <v>0</v>
      </c>
      <c r="J714" s="762">
        <f>'RGVM FGD'!$J$72</f>
        <v>823147</v>
      </c>
      <c r="K714" s="762">
        <f>'RGVM FGD'!$K$72</f>
        <v>0</v>
      </c>
      <c r="L714" s="762">
        <f>'RGVM FGD'!$L$72</f>
        <v>0</v>
      </c>
      <c r="M714" s="723">
        <f>'RGVM FGD'!$M$72</f>
        <v>3627491</v>
      </c>
      <c r="O714" s="723"/>
    </row>
    <row r="715" spans="1:15" hidden="1" outlineLevel="1">
      <c r="B715" s="823" t="str">
        <f>'SWM FGD'!$B$2</f>
        <v>The University of Texas Southwestern Medical Center</v>
      </c>
      <c r="C715" s="823"/>
      <c r="D715" s="762">
        <f>'SWM FGD'!$D$72</f>
        <v>17745816</v>
      </c>
      <c r="E715" s="762">
        <f>'SWM FGD'!$E$72</f>
        <v>39721519</v>
      </c>
      <c r="F715" s="762">
        <f>'SWM FGD'!$F$72</f>
        <v>0</v>
      </c>
      <c r="G715" s="762">
        <f>'SWM FGD'!$G$72</f>
        <v>3051043</v>
      </c>
      <c r="H715" s="762">
        <f>'SWM FGD'!$H$72</f>
        <v>0</v>
      </c>
      <c r="I715" s="762">
        <f>'SWM FGD'!$I$72</f>
        <v>0</v>
      </c>
      <c r="J715" s="762">
        <f>'SWM FGD'!$J$72</f>
        <v>46438749</v>
      </c>
      <c r="K715" s="762">
        <f>'SWM FGD'!$K$72</f>
        <v>0</v>
      </c>
      <c r="L715" s="762">
        <f>'SWM FGD'!$L$72</f>
        <v>0</v>
      </c>
      <c r="M715" s="723">
        <f>'SWM FGD'!$M$72</f>
        <v>106957127</v>
      </c>
      <c r="O715" s="723"/>
    </row>
    <row r="716" spans="1:15" hidden="1" outlineLevel="1">
      <c r="B716" s="823" t="str">
        <f>'TAMHSC FGD'!$B$2</f>
        <v>Texas A&amp;M University System Health Science Center</v>
      </c>
      <c r="C716" s="823"/>
      <c r="D716" s="762">
        <f>'TAMHSC FGD'!$D$72</f>
        <v>23873278</v>
      </c>
      <c r="E716" s="762">
        <f>'TAMHSC FGD'!$E$72</f>
        <v>4610544</v>
      </c>
      <c r="F716" s="762">
        <f>'TAMHSC FGD'!$F$72</f>
        <v>0</v>
      </c>
      <c r="G716" s="762">
        <f>'TAMHSC FGD'!$G$72</f>
        <v>17558</v>
      </c>
      <c r="H716" s="762">
        <f>'TAMHSC FGD'!$H$72</f>
        <v>0</v>
      </c>
      <c r="I716" s="762">
        <f>'TAMHSC FGD'!$I$72</f>
        <v>0</v>
      </c>
      <c r="J716" s="762">
        <f>'TAMHSC FGD'!$J$72</f>
        <v>0</v>
      </c>
      <c r="K716" s="762">
        <f>'TAMHSC FGD'!$K$72</f>
        <v>0</v>
      </c>
      <c r="L716" s="762">
        <f>'TAMHSC FGD'!$L$72</f>
        <v>0</v>
      </c>
      <c r="M716" s="723">
        <f>'TAMHSC FGD'!$M$72</f>
        <v>28501380</v>
      </c>
      <c r="O716" s="723"/>
    </row>
    <row r="717" spans="1:15" hidden="1" outlineLevel="1">
      <c r="B717" s="823" t="str">
        <f>'THC FGD'!$B$2</f>
        <v>The University of Texas Health Science Center at Tyler</v>
      </c>
      <c r="C717" s="823"/>
      <c r="D717" s="762">
        <f>'THC FGD'!$D$72</f>
        <v>10186672</v>
      </c>
      <c r="E717" s="762">
        <f>'THC FGD'!$E$72</f>
        <v>0</v>
      </c>
      <c r="F717" s="762">
        <f>'THC FGD'!$F$72</f>
        <v>0</v>
      </c>
      <c r="G717" s="762">
        <f>'THC FGD'!$G$72</f>
        <v>0</v>
      </c>
      <c r="H717" s="762">
        <f>'THC FGD'!$H$72</f>
        <v>0</v>
      </c>
      <c r="I717" s="762">
        <f>'THC FGD'!$I$72</f>
        <v>0</v>
      </c>
      <c r="J717" s="762">
        <f>'THC FGD'!$J$72</f>
        <v>292407</v>
      </c>
      <c r="K717" s="762">
        <f>'THC FGD'!$K$72</f>
        <v>0</v>
      </c>
      <c r="L717" s="762">
        <f>'THC FGD'!$L$72</f>
        <v>0</v>
      </c>
      <c r="M717" s="723">
        <f>'THC FGD'!$M$72</f>
        <v>10479079</v>
      </c>
      <c r="O717" s="723"/>
    </row>
    <row r="718" spans="1:15" hidden="1" outlineLevel="1">
      <c r="B718" s="823" t="str">
        <f>'TTUHSC FGD'!$B$2</f>
        <v>Texas Tech University Health Sciences Center</v>
      </c>
      <c r="C718" s="823"/>
      <c r="D718" s="762">
        <f>'TTUHSC FGD'!$D$72</f>
        <v>11627788</v>
      </c>
      <c r="E718" s="762">
        <f>'TTUHSC FGD'!$E$72</f>
        <v>13032758</v>
      </c>
      <c r="F718" s="762">
        <f>'TTUHSC FGD'!$F$72</f>
        <v>0</v>
      </c>
      <c r="G718" s="762">
        <f>'TTUHSC FGD'!$G$72</f>
        <v>66770</v>
      </c>
      <c r="H718" s="762">
        <f>'TTUHSC FGD'!$H$72</f>
        <v>0</v>
      </c>
      <c r="I718" s="762">
        <f>'TTUHSC FGD'!$I$72</f>
        <v>0</v>
      </c>
      <c r="J718" s="762">
        <f>'TTUHSC FGD'!$J$72</f>
        <v>13283910</v>
      </c>
      <c r="K718" s="762">
        <f>'TTUHSC FGD'!$K$72</f>
        <v>0</v>
      </c>
      <c r="L718" s="762">
        <f>'TTUHSC FGD'!$L$72</f>
        <v>0</v>
      </c>
      <c r="M718" s="723">
        <f>'TTUHSC FGD'!$M$72</f>
        <v>38011226</v>
      </c>
      <c r="O718" s="723"/>
    </row>
    <row r="719" spans="1:15" hidden="1" outlineLevel="1">
      <c r="B719" s="823" t="str">
        <f>'TTUHSCEP FGD'!$B$2</f>
        <v>Texas Tech University Health Sciences Center at El Paso</v>
      </c>
      <c r="C719" s="823"/>
      <c r="D719" s="762">
        <f>'TTUHSCEP FGD'!$D$72</f>
        <v>5957517</v>
      </c>
      <c r="E719" s="762">
        <f>'TTUHSCEP FGD'!$E$72</f>
        <v>5524249</v>
      </c>
      <c r="F719" s="762">
        <f>'TTUHSCEP FGD'!$F$72</f>
        <v>0</v>
      </c>
      <c r="G719" s="762">
        <f>'TTUHSCEP FGD'!$G$72</f>
        <v>0</v>
      </c>
      <c r="H719" s="762">
        <f>'TTUHSCEP FGD'!$H$72</f>
        <v>0</v>
      </c>
      <c r="I719" s="762">
        <f>'TTUHSCEP FGD'!$I$72</f>
        <v>0</v>
      </c>
      <c r="J719" s="762">
        <f>'TTUHSCEP FGD'!$J$72</f>
        <v>2016943</v>
      </c>
      <c r="K719" s="762">
        <f>'TTUHSCEP FGD'!$K$72</f>
        <v>0</v>
      </c>
      <c r="L719" s="762">
        <f>'TTUHSCEP FGD'!$L$72</f>
        <v>0</v>
      </c>
      <c r="M719" s="723">
        <f>'TTUHSCEP FGD'!$M$72</f>
        <v>13498709</v>
      </c>
      <c r="O719" s="723"/>
    </row>
    <row r="720" spans="1:15" hidden="1" outlineLevel="1">
      <c r="B720" s="823" t="str">
        <f>'UHM FGD'!$B$2</f>
        <v>University of Houston Medical School (M)</v>
      </c>
      <c r="C720" s="823"/>
      <c r="D720" s="762">
        <f>'UHM FGD'!$D$72</f>
        <v>230281</v>
      </c>
      <c r="E720" s="762">
        <f>'UHM FGD'!$E$72</f>
        <v>0</v>
      </c>
      <c r="F720" s="762">
        <f>'UHM FGD'!$F$72</f>
        <v>0</v>
      </c>
      <c r="G720" s="762">
        <f>'UHM FGD'!$G$72</f>
        <v>0</v>
      </c>
      <c r="H720" s="762">
        <f>'UHM FGD'!$H$72</f>
        <v>0</v>
      </c>
      <c r="I720" s="762">
        <f>'UHM FGD'!$I$72</f>
        <v>0</v>
      </c>
      <c r="J720" s="762">
        <f>'UHM FGD'!$J$72</f>
        <v>0</v>
      </c>
      <c r="K720" s="762">
        <f>'UHM FGD'!$K$72</f>
        <v>0</v>
      </c>
      <c r="L720" s="762">
        <f>'UHM FGD'!$L$72</f>
        <v>0</v>
      </c>
      <c r="M720" s="723">
        <f>'UHM FGD'!$M$72</f>
        <v>230281</v>
      </c>
      <c r="O720" s="723"/>
    </row>
    <row r="721" spans="1:15" hidden="1" outlineLevel="1">
      <c r="B721" s="823" t="str">
        <f>'UNTHSC1 FGD'!$B$2</f>
        <v>University of North Texas Health Science Center at Fort Worth (Public Medical)</v>
      </c>
      <c r="C721" s="823"/>
      <c r="D721" s="762">
        <f>'UNTHSC1 FGD'!$D$72</f>
        <v>13474790</v>
      </c>
      <c r="E721" s="762">
        <f>'UNTHSC1 FGD'!$E$72</f>
        <v>3431219</v>
      </c>
      <c r="F721" s="762">
        <f>'UNTHSC1 FGD'!$F$72</f>
        <v>0</v>
      </c>
      <c r="G721" s="762">
        <f>'UNTHSC1 FGD'!$G$72</f>
        <v>23591</v>
      </c>
      <c r="H721" s="762">
        <f>'UNTHSC1 FGD'!$H$72</f>
        <v>0</v>
      </c>
      <c r="I721" s="762">
        <f>'UNTHSC1 FGD'!$I$72</f>
        <v>0</v>
      </c>
      <c r="J721" s="762">
        <f>'UNTHSC1 FGD'!$J$72</f>
        <v>0</v>
      </c>
      <c r="K721" s="762">
        <f>'UNTHSC1 FGD'!$K$72</f>
        <v>0</v>
      </c>
      <c r="L721" s="762">
        <f>'UNTHSC1 FGD'!$L$72</f>
        <v>118660</v>
      </c>
      <c r="M721" s="723">
        <f>'UNTHSC1 FGD'!$M$72</f>
        <v>17048260</v>
      </c>
      <c r="O721" s="723"/>
    </row>
    <row r="722" spans="1:15" collapsed="1">
      <c r="A722" s="460">
        <v>55</v>
      </c>
      <c r="B722" s="823" t="s">
        <v>184</v>
      </c>
      <c r="C722" s="823"/>
      <c r="D722" s="762">
        <f t="shared" ref="D722:M722" si="49">SUM(D709:D721)</f>
        <v>397071992</v>
      </c>
      <c r="E722" s="762">
        <f t="shared" si="49"/>
        <v>118160694</v>
      </c>
      <c r="F722" s="762">
        <f t="shared" si="49"/>
        <v>0</v>
      </c>
      <c r="G722" s="762">
        <f t="shared" si="49"/>
        <v>7633515</v>
      </c>
      <c r="H722" s="762">
        <f t="shared" si="49"/>
        <v>0</v>
      </c>
      <c r="I722" s="762">
        <f t="shared" si="49"/>
        <v>0</v>
      </c>
      <c r="J722" s="762">
        <f t="shared" si="49"/>
        <v>84202326</v>
      </c>
      <c r="K722" s="762">
        <f t="shared" si="49"/>
        <v>0</v>
      </c>
      <c r="L722" s="762">
        <f t="shared" si="49"/>
        <v>118660</v>
      </c>
      <c r="M722" s="723">
        <f t="shared" si="49"/>
        <v>607187187</v>
      </c>
      <c r="O722" s="723"/>
    </row>
    <row r="723" spans="1:15" hidden="1" outlineLevel="1">
      <c r="B723" s="823" t="str">
        <f>'AUSM FGD'!$B$2</f>
        <v>The University of Texas at Austin Medical School (M)</v>
      </c>
      <c r="C723" s="823"/>
      <c r="D723" s="762">
        <f>'AUSM FGD'!$D$73</f>
        <v>91848</v>
      </c>
      <c r="E723" s="762">
        <f>'AUSM FGD'!$E$73</f>
        <v>586769</v>
      </c>
      <c r="F723" s="762">
        <f>'AUSM FGD'!$F$73</f>
        <v>0</v>
      </c>
      <c r="G723" s="762">
        <f>'AUSM FGD'!$G$73</f>
        <v>1775864</v>
      </c>
      <c r="H723" s="762">
        <f>'AUSM FGD'!$H$73</f>
        <v>0</v>
      </c>
      <c r="I723" s="762">
        <f>'AUSM FGD'!$I$73</f>
        <v>0</v>
      </c>
      <c r="J723" s="762">
        <f>'AUSM FGD'!$J$73</f>
        <v>0</v>
      </c>
      <c r="K723" s="762">
        <f>'AUSM FGD'!$K$73</f>
        <v>0</v>
      </c>
      <c r="L723" s="762">
        <f>'AUSM FGD'!$L$73</f>
        <v>0</v>
      </c>
      <c r="M723" s="723">
        <f>'AUSM FGD'!$M$73</f>
        <v>2454481</v>
      </c>
      <c r="O723" s="723"/>
    </row>
    <row r="724" spans="1:15" hidden="1" outlineLevel="1">
      <c r="B724" s="823" t="str">
        <f>'HSH FGD'!$B$2</f>
        <v>The University of Texas Health Science Center at Houston</v>
      </c>
      <c r="C724" s="823"/>
      <c r="D724" s="762">
        <f>'HSH FGD'!$D$73</f>
        <v>121033</v>
      </c>
      <c r="E724" s="762">
        <f>'HSH FGD'!$E$73</f>
        <v>3737776</v>
      </c>
      <c r="F724" s="762">
        <f>'HSH FGD'!$F$73</f>
        <v>0</v>
      </c>
      <c r="G724" s="762">
        <f>'HSH FGD'!$G$73</f>
        <v>9599300</v>
      </c>
      <c r="H724" s="762">
        <f>'HSH FGD'!$H$73</f>
        <v>0</v>
      </c>
      <c r="I724" s="762">
        <f>'HSH FGD'!$I$73</f>
        <v>0</v>
      </c>
      <c r="J724" s="762">
        <f>'HSH FGD'!$J$73</f>
        <v>0</v>
      </c>
      <c r="K724" s="762">
        <f>'HSH FGD'!$K$73</f>
        <v>0</v>
      </c>
      <c r="L724" s="762">
        <f>'HSH FGD'!$L$73</f>
        <v>0</v>
      </c>
      <c r="M724" s="723">
        <f>'HSH FGD'!$M$73</f>
        <v>13458109</v>
      </c>
      <c r="O724" s="723"/>
    </row>
    <row r="725" spans="1:15" hidden="1" outlineLevel="1">
      <c r="B725" s="823" t="str">
        <f>'HSSA FGD'!$B$2</f>
        <v>The University of Texas Health Science Center at San Antonio</v>
      </c>
      <c r="C725" s="823"/>
      <c r="D725" s="762">
        <f>'HSSA FGD'!$D$73</f>
        <v>1803514</v>
      </c>
      <c r="E725" s="762">
        <f>'HSSA FGD'!$E$73</f>
        <v>3466194</v>
      </c>
      <c r="F725" s="762">
        <f>'HSSA FGD'!$F$73</f>
        <v>0</v>
      </c>
      <c r="G725" s="762">
        <f>'HSSA FGD'!$G$73</f>
        <v>7591579</v>
      </c>
      <c r="H725" s="762">
        <f>'HSSA FGD'!$H$73</f>
        <v>0</v>
      </c>
      <c r="I725" s="762">
        <f>'HSSA FGD'!$I$73</f>
        <v>0</v>
      </c>
      <c r="J725" s="762">
        <f>'HSSA FGD'!$J$73</f>
        <v>0</v>
      </c>
      <c r="K725" s="762">
        <f>'HSSA FGD'!$K$73</f>
        <v>0</v>
      </c>
      <c r="L725" s="762">
        <f>'HSSA FGD'!$L$73</f>
        <v>0</v>
      </c>
      <c r="M725" s="723">
        <f>'HSSA FGD'!$M$73</f>
        <v>12861287</v>
      </c>
      <c r="O725" s="723"/>
    </row>
    <row r="726" spans="1:15" hidden="1" outlineLevel="1">
      <c r="B726" s="823" t="str">
        <f>'MBG FGD'!$B$2</f>
        <v>The University of Texas Medical Branch at Galveston</v>
      </c>
      <c r="C726" s="823"/>
      <c r="D726" s="762">
        <f>'MBG FGD'!$D$73</f>
        <v>34942</v>
      </c>
      <c r="E726" s="762">
        <f>'MBG FGD'!$E$73</f>
        <v>3665665</v>
      </c>
      <c r="F726" s="762">
        <f>'MBG FGD'!$F$73</f>
        <v>0</v>
      </c>
      <c r="G726" s="762">
        <f>'MBG FGD'!$G$73</f>
        <v>7776998</v>
      </c>
      <c r="H726" s="762">
        <f>'MBG FGD'!$H$73</f>
        <v>0</v>
      </c>
      <c r="I726" s="762">
        <f>'MBG FGD'!$I$73</f>
        <v>0</v>
      </c>
      <c r="J726" s="762">
        <f>'MBG FGD'!$J$73</f>
        <v>0</v>
      </c>
      <c r="K726" s="762">
        <f>'MBG FGD'!$K$73</f>
        <v>0</v>
      </c>
      <c r="L726" s="762">
        <f>'MBG FGD'!$L$73</f>
        <v>0</v>
      </c>
      <c r="M726" s="723">
        <f>'MBG FGD'!$M$73</f>
        <v>11477605</v>
      </c>
      <c r="O726" s="723"/>
    </row>
    <row r="727" spans="1:15" hidden="1" outlineLevel="1">
      <c r="B727" s="823" t="str">
        <f>'MDA FGD'!$B$2</f>
        <v>The University of Texas M.D. Anderson Cancer Center</v>
      </c>
      <c r="C727" s="823"/>
      <c r="D727" s="762">
        <f>'MDA FGD'!$D$73</f>
        <v>54310</v>
      </c>
      <c r="E727" s="762">
        <f>'MDA FGD'!$E$73</f>
        <v>947372</v>
      </c>
      <c r="F727" s="762">
        <f>'MDA FGD'!$F$73</f>
        <v>0</v>
      </c>
      <c r="G727" s="762">
        <f>'MDA FGD'!$G$73</f>
        <v>1718838</v>
      </c>
      <c r="H727" s="762">
        <f>'MDA FGD'!$H$73</f>
        <v>0</v>
      </c>
      <c r="I727" s="762">
        <f>'MDA FGD'!$I$73</f>
        <v>0</v>
      </c>
      <c r="J727" s="762">
        <f>'MDA FGD'!$J$73</f>
        <v>0</v>
      </c>
      <c r="K727" s="762">
        <f>'MDA FGD'!$K$73</f>
        <v>0</v>
      </c>
      <c r="L727" s="762">
        <f>'MDA FGD'!$L$73</f>
        <v>0</v>
      </c>
      <c r="M727" s="723">
        <f>'MDA FGD'!$M$73</f>
        <v>2720520</v>
      </c>
      <c r="O727" s="723"/>
    </row>
    <row r="728" spans="1:15" hidden="1" outlineLevel="1">
      <c r="B728" s="823" t="str">
        <f>'RGVM FGD'!$B$2</f>
        <v>The University of Texas Rio Grande Valley Medical School (M)</v>
      </c>
      <c r="C728" s="823"/>
      <c r="D728" s="762">
        <f>'RGVM FGD'!$D$73</f>
        <v>74881</v>
      </c>
      <c r="E728" s="762">
        <f>'RGVM FGD'!$E$73</f>
        <v>308973</v>
      </c>
      <c r="F728" s="762">
        <f>'RGVM FGD'!$F$73</f>
        <v>0</v>
      </c>
      <c r="G728" s="762">
        <f>'RGVM FGD'!$G$73</f>
        <v>889152</v>
      </c>
      <c r="H728" s="762">
        <f>'RGVM FGD'!$H$73</f>
        <v>0</v>
      </c>
      <c r="I728" s="762">
        <f>'RGVM FGD'!$I$73</f>
        <v>0</v>
      </c>
      <c r="J728" s="762">
        <f>'RGVM FGD'!$J$73</f>
        <v>0</v>
      </c>
      <c r="K728" s="762">
        <f>'RGVM FGD'!$K$73</f>
        <v>0</v>
      </c>
      <c r="L728" s="762">
        <f>'RGVM FGD'!$L$73</f>
        <v>0</v>
      </c>
      <c r="M728" s="723">
        <f>'RGVM FGD'!$M$73</f>
        <v>1273006</v>
      </c>
      <c r="O728" s="723"/>
    </row>
    <row r="729" spans="1:15" hidden="1" outlineLevel="1">
      <c r="B729" s="823" t="str">
        <f>'SWM FGD'!$B$2</f>
        <v>The University of Texas Southwestern Medical Center</v>
      </c>
      <c r="C729" s="823"/>
      <c r="D729" s="762">
        <f>'SWM FGD'!$D$73</f>
        <v>58228</v>
      </c>
      <c r="E729" s="762">
        <f>'SWM FGD'!$E$73</f>
        <v>272378</v>
      </c>
      <c r="F729" s="762">
        <f>'SWM FGD'!$F$73</f>
        <v>0</v>
      </c>
      <c r="G729" s="762">
        <f>'SWM FGD'!$G$73</f>
        <v>5066357</v>
      </c>
      <c r="H729" s="762">
        <f>'SWM FGD'!$H$73</f>
        <v>0</v>
      </c>
      <c r="I729" s="762">
        <f>'SWM FGD'!$I$73</f>
        <v>0</v>
      </c>
      <c r="J729" s="762">
        <f>'SWM FGD'!$J$73</f>
        <v>0</v>
      </c>
      <c r="K729" s="762">
        <f>'SWM FGD'!$K$73</f>
        <v>0</v>
      </c>
      <c r="L729" s="762">
        <f>'SWM FGD'!$L$73</f>
        <v>0</v>
      </c>
      <c r="M729" s="723">
        <f>'SWM FGD'!$M$73</f>
        <v>5396963</v>
      </c>
      <c r="O729" s="723"/>
    </row>
    <row r="730" spans="1:15" hidden="1" outlineLevel="1">
      <c r="B730" s="823" t="str">
        <f>'TAMHSC FGD'!$B$2</f>
        <v>Texas A&amp;M University System Health Science Center</v>
      </c>
      <c r="C730" s="823"/>
      <c r="D730" s="762">
        <f>'TAMHSC FGD'!$D$73</f>
        <v>488629</v>
      </c>
      <c r="E730" s="762">
        <f>'TAMHSC FGD'!$E$73</f>
        <v>1347852</v>
      </c>
      <c r="F730" s="762">
        <f>'TAMHSC FGD'!$F$73</f>
        <v>0</v>
      </c>
      <c r="G730" s="762">
        <f>'TAMHSC FGD'!$G$73</f>
        <v>1099192</v>
      </c>
      <c r="H730" s="762">
        <f>'TAMHSC FGD'!$H$73</f>
        <v>0</v>
      </c>
      <c r="I730" s="762">
        <f>'TAMHSC FGD'!$I$73</f>
        <v>0</v>
      </c>
      <c r="J730" s="762">
        <f>'TAMHSC FGD'!$J$73</f>
        <v>0</v>
      </c>
      <c r="K730" s="762">
        <f>'TAMHSC FGD'!$K$73</f>
        <v>0</v>
      </c>
      <c r="L730" s="762">
        <f>'TAMHSC FGD'!$L$73</f>
        <v>0</v>
      </c>
      <c r="M730" s="723">
        <f>'TAMHSC FGD'!$M$73</f>
        <v>2935673</v>
      </c>
      <c r="O730" s="723"/>
    </row>
    <row r="731" spans="1:15" hidden="1" outlineLevel="1">
      <c r="B731" s="823" t="str">
        <f>'THC FGD'!$B$2</f>
        <v>The University of Texas Health Science Center at Tyler</v>
      </c>
      <c r="C731" s="823"/>
      <c r="D731" s="762">
        <f>'THC FGD'!$D$73</f>
        <v>0</v>
      </c>
      <c r="E731" s="762">
        <f>'THC FGD'!$E$73</f>
        <v>0</v>
      </c>
      <c r="F731" s="762">
        <f>'THC FGD'!$F$73</f>
        <v>0</v>
      </c>
      <c r="G731" s="762">
        <f>'THC FGD'!$G$73</f>
        <v>59947</v>
      </c>
      <c r="H731" s="762">
        <f>'THC FGD'!$H$73</f>
        <v>0</v>
      </c>
      <c r="I731" s="762">
        <f>'THC FGD'!$I$73</f>
        <v>0</v>
      </c>
      <c r="J731" s="762">
        <f>'THC FGD'!$J$73</f>
        <v>0</v>
      </c>
      <c r="K731" s="762">
        <f>'THC FGD'!$K$73</f>
        <v>0</v>
      </c>
      <c r="L731" s="762">
        <f>'THC FGD'!$L$73</f>
        <v>0</v>
      </c>
      <c r="M731" s="723">
        <f>'THC FGD'!$M$73</f>
        <v>59947</v>
      </c>
      <c r="O731" s="723"/>
    </row>
    <row r="732" spans="1:15" hidden="1" outlineLevel="1">
      <c r="B732" s="823" t="str">
        <f>'TTUHSC FGD'!$B$2</f>
        <v>Texas Tech University Health Sciences Center</v>
      </c>
      <c r="C732" s="823"/>
      <c r="D732" s="762">
        <f>'TTUHSC FGD'!$D$73</f>
        <v>0</v>
      </c>
      <c r="E732" s="762">
        <f>'TTUHSC FGD'!$E$73</f>
        <v>819349</v>
      </c>
      <c r="F732" s="762">
        <f>'TTUHSC FGD'!$F$73</f>
        <v>0</v>
      </c>
      <c r="G732" s="762">
        <f>'TTUHSC FGD'!$G$73</f>
        <v>4224548</v>
      </c>
      <c r="H732" s="762">
        <f>'TTUHSC FGD'!$H$73</f>
        <v>0</v>
      </c>
      <c r="I732" s="762">
        <f>'TTUHSC FGD'!$I$73</f>
        <v>0</v>
      </c>
      <c r="J732" s="762">
        <f>'TTUHSC FGD'!$J$73</f>
        <v>0</v>
      </c>
      <c r="K732" s="762">
        <f>'TTUHSC FGD'!$K$73</f>
        <v>0</v>
      </c>
      <c r="L732" s="762">
        <f>'TTUHSC FGD'!$L$73</f>
        <v>0</v>
      </c>
      <c r="M732" s="723">
        <f>'TTUHSC FGD'!$M$73</f>
        <v>5043897</v>
      </c>
      <c r="O732" s="723"/>
    </row>
    <row r="733" spans="1:15" hidden="1" outlineLevel="1">
      <c r="B733" s="823" t="str">
        <f>'TTUHSCEP FGD'!$B$2</f>
        <v>Texas Tech University Health Sciences Center at El Paso</v>
      </c>
      <c r="C733" s="823"/>
      <c r="D733" s="762">
        <f>'TTUHSCEP FGD'!$D$73</f>
        <v>-12638</v>
      </c>
      <c r="E733" s="762">
        <f>'TTUHSCEP FGD'!$E$73</f>
        <v>178381</v>
      </c>
      <c r="F733" s="762">
        <f>'TTUHSCEP FGD'!$F$73</f>
        <v>0</v>
      </c>
      <c r="G733" s="762">
        <f>'TTUHSCEP FGD'!$G$73</f>
        <v>1079344</v>
      </c>
      <c r="H733" s="762">
        <f>'TTUHSCEP FGD'!$H$73</f>
        <v>140000</v>
      </c>
      <c r="I733" s="762">
        <f>'TTUHSCEP FGD'!$I$73</f>
        <v>0</v>
      </c>
      <c r="J733" s="762">
        <f>'TTUHSCEP FGD'!$J$73</f>
        <v>0</v>
      </c>
      <c r="K733" s="762">
        <f>'TTUHSCEP FGD'!$K$73</f>
        <v>0</v>
      </c>
      <c r="L733" s="762">
        <f>'TTUHSCEP FGD'!$L$73</f>
        <v>0</v>
      </c>
      <c r="M733" s="723">
        <f>'TTUHSCEP FGD'!$M$73</f>
        <v>1385087</v>
      </c>
      <c r="O733" s="723"/>
    </row>
    <row r="734" spans="1:15" hidden="1" outlineLevel="1">
      <c r="B734" s="823" t="str">
        <f>'UHM FGD'!$B$2</f>
        <v>University of Houston Medical School (M)</v>
      </c>
      <c r="C734" s="823"/>
      <c r="D734" s="762">
        <f>'UHM FGD'!$D$73</f>
        <v>0</v>
      </c>
      <c r="E734" s="762">
        <f>'UHM FGD'!$E$73</f>
        <v>0</v>
      </c>
      <c r="F734" s="762">
        <f>'UHM FGD'!$F$73</f>
        <v>0</v>
      </c>
      <c r="G734" s="762">
        <f>'UHM FGD'!$G$73</f>
        <v>933229</v>
      </c>
      <c r="H734" s="762">
        <f>'UHM FGD'!$H$73</f>
        <v>0</v>
      </c>
      <c r="I734" s="762">
        <f>'UHM FGD'!$I$73</f>
        <v>0</v>
      </c>
      <c r="J734" s="762">
        <f>'UHM FGD'!$J$73</f>
        <v>0</v>
      </c>
      <c r="K734" s="762">
        <f>'UHM FGD'!$K$73</f>
        <v>0</v>
      </c>
      <c r="L734" s="762">
        <f>'UHM FGD'!$L$73</f>
        <v>0</v>
      </c>
      <c r="M734" s="723">
        <f>'UHM FGD'!$M$73</f>
        <v>933229</v>
      </c>
      <c r="O734" s="723"/>
    </row>
    <row r="735" spans="1:15" hidden="1" outlineLevel="1">
      <c r="B735" s="823" t="str">
        <f>'UNTHSC1 FGD'!$B$2</f>
        <v>University of North Texas Health Science Center at Fort Worth (Public Medical)</v>
      </c>
      <c r="C735" s="823"/>
      <c r="D735" s="762">
        <f>'UNTHSC1 FGD'!$D$73</f>
        <v>386100</v>
      </c>
      <c r="E735" s="762">
        <f>'UNTHSC1 FGD'!$E$73</f>
        <v>691790</v>
      </c>
      <c r="F735" s="762">
        <f>'UNTHSC1 FGD'!$F$73</f>
        <v>0</v>
      </c>
      <c r="G735" s="762">
        <f>'UNTHSC1 FGD'!$G$73</f>
        <v>1409775</v>
      </c>
      <c r="H735" s="762">
        <f>'UNTHSC1 FGD'!$H$73</f>
        <v>124600</v>
      </c>
      <c r="I735" s="762">
        <f>'UNTHSC1 FGD'!$I$73</f>
        <v>0</v>
      </c>
      <c r="J735" s="762">
        <f>'UNTHSC1 FGD'!$J$73</f>
        <v>0</v>
      </c>
      <c r="K735" s="762">
        <f>'UNTHSC1 FGD'!$K$73</f>
        <v>0</v>
      </c>
      <c r="L735" s="762">
        <f>'UNTHSC1 FGD'!$L$73</f>
        <v>0</v>
      </c>
      <c r="M735" s="723">
        <f>'UNTHSC1 FGD'!$M$73</f>
        <v>2612265</v>
      </c>
      <c r="O735" s="723"/>
    </row>
    <row r="736" spans="1:15" collapsed="1">
      <c r="A736" s="460">
        <v>56</v>
      </c>
      <c r="B736" s="823" t="s">
        <v>185</v>
      </c>
      <c r="C736" s="823"/>
      <c r="D736" s="762">
        <f t="shared" ref="D736:M736" si="50">SUM(D723:D735)</f>
        <v>3100847</v>
      </c>
      <c r="E736" s="762">
        <f t="shared" si="50"/>
        <v>16022499</v>
      </c>
      <c r="F736" s="762">
        <f t="shared" si="50"/>
        <v>0</v>
      </c>
      <c r="G736" s="762">
        <f t="shared" si="50"/>
        <v>43224123</v>
      </c>
      <c r="H736" s="762">
        <f t="shared" si="50"/>
        <v>264600</v>
      </c>
      <c r="I736" s="762">
        <f t="shared" si="50"/>
        <v>0</v>
      </c>
      <c r="J736" s="762">
        <f t="shared" si="50"/>
        <v>0</v>
      </c>
      <c r="K736" s="762">
        <f t="shared" si="50"/>
        <v>0</v>
      </c>
      <c r="L736" s="762">
        <f t="shared" si="50"/>
        <v>0</v>
      </c>
      <c r="M736" s="723">
        <f t="shared" si="50"/>
        <v>62612069</v>
      </c>
      <c r="O736" s="723"/>
    </row>
    <row r="737" spans="1:15" hidden="1" outlineLevel="1">
      <c r="B737" s="823" t="str">
        <f>'AUSM FGD'!$B$2</f>
        <v>The University of Texas at Austin Medical School (M)</v>
      </c>
      <c r="C737" s="823"/>
      <c r="D737" s="762">
        <f>'AUSM FGD'!$D$74</f>
        <v>0</v>
      </c>
      <c r="E737" s="762">
        <f>'AUSM FGD'!$E$74</f>
        <v>0</v>
      </c>
      <c r="F737" s="762">
        <f>'AUSM FGD'!$F$74</f>
        <v>967543</v>
      </c>
      <c r="G737" s="762">
        <f>'AUSM FGD'!$G$74</f>
        <v>0</v>
      </c>
      <c r="H737" s="762">
        <f>'AUSM FGD'!$H$74</f>
        <v>0</v>
      </c>
      <c r="I737" s="762">
        <f>'AUSM FGD'!$I$74</f>
        <v>0</v>
      </c>
      <c r="J737" s="762">
        <f>'AUSM FGD'!$J$74</f>
        <v>0</v>
      </c>
      <c r="K737" s="762">
        <f>'AUSM FGD'!$K$74</f>
        <v>0</v>
      </c>
      <c r="L737" s="762">
        <f>'AUSM FGD'!$L$74</f>
        <v>0</v>
      </c>
      <c r="M737" s="723">
        <f>'AUSM FGD'!$M$74</f>
        <v>967543</v>
      </c>
      <c r="O737" s="723"/>
    </row>
    <row r="738" spans="1:15" hidden="1" outlineLevel="1">
      <c r="B738" s="823" t="str">
        <f>'HSH FGD'!$B$2</f>
        <v>The University of Texas Health Science Center at Houston</v>
      </c>
      <c r="C738" s="823"/>
      <c r="D738" s="762">
        <f>'HSH FGD'!$D$74</f>
        <v>0</v>
      </c>
      <c r="E738" s="762">
        <f>'HSH FGD'!$E$74</f>
        <v>0</v>
      </c>
      <c r="F738" s="762">
        <f>'HSH FGD'!$F$74</f>
        <v>15658968</v>
      </c>
      <c r="G738" s="762">
        <f>'HSH FGD'!$G$74</f>
        <v>0</v>
      </c>
      <c r="H738" s="762">
        <f>'HSH FGD'!$H$74</f>
        <v>0</v>
      </c>
      <c r="I738" s="762">
        <f>'HSH FGD'!$I$74</f>
        <v>0</v>
      </c>
      <c r="J738" s="762">
        <f>'HSH FGD'!$J$74</f>
        <v>0</v>
      </c>
      <c r="K738" s="762">
        <f>'HSH FGD'!$K$74</f>
        <v>0</v>
      </c>
      <c r="L738" s="762">
        <f>'HSH FGD'!$L$74</f>
        <v>0</v>
      </c>
      <c r="M738" s="723">
        <f>'HSH FGD'!$M$74</f>
        <v>15658968</v>
      </c>
      <c r="O738" s="723"/>
    </row>
    <row r="739" spans="1:15" hidden="1" outlineLevel="1">
      <c r="B739" s="823" t="str">
        <f>'HSSA FGD'!$B$2</f>
        <v>The University of Texas Health Science Center at San Antonio</v>
      </c>
      <c r="C739" s="823"/>
      <c r="D739" s="762">
        <f>'HSSA FGD'!$D$74</f>
        <v>0</v>
      </c>
      <c r="E739" s="762">
        <f>'HSSA FGD'!$E$74</f>
        <v>0</v>
      </c>
      <c r="F739" s="762">
        <f>'HSSA FGD'!$F$74</f>
        <v>5170202</v>
      </c>
      <c r="G739" s="762">
        <f>'HSSA FGD'!$G$74</f>
        <v>0</v>
      </c>
      <c r="H739" s="762">
        <f>'HSSA FGD'!$H$74</f>
        <v>0</v>
      </c>
      <c r="I739" s="762">
        <f>'HSSA FGD'!$I$74</f>
        <v>0</v>
      </c>
      <c r="J739" s="762">
        <f>'HSSA FGD'!$J$74</f>
        <v>0</v>
      </c>
      <c r="K739" s="762">
        <f>'HSSA FGD'!$K$74</f>
        <v>0</v>
      </c>
      <c r="L739" s="762">
        <f>'HSSA FGD'!$L$74</f>
        <v>0</v>
      </c>
      <c r="M739" s="723">
        <f>'HSSA FGD'!$M$74</f>
        <v>5170202</v>
      </c>
      <c r="O739" s="723"/>
    </row>
    <row r="740" spans="1:15" hidden="1" outlineLevel="1">
      <c r="B740" s="823" t="str">
        <f>'MBG FGD'!$B$2</f>
        <v>The University of Texas Medical Branch at Galveston</v>
      </c>
      <c r="C740" s="823"/>
      <c r="D740" s="762">
        <f>'MBG FGD'!$D$74</f>
        <v>0</v>
      </c>
      <c r="E740" s="762">
        <f>'MBG FGD'!$E$74</f>
        <v>888218</v>
      </c>
      <c r="F740" s="762">
        <f>'MBG FGD'!$F$74</f>
        <v>9761136</v>
      </c>
      <c r="G740" s="762">
        <f>'MBG FGD'!$G$74</f>
        <v>143513</v>
      </c>
      <c r="H740" s="762">
        <f>'MBG FGD'!$H$74</f>
        <v>0</v>
      </c>
      <c r="I740" s="762">
        <f>'MBG FGD'!$I$74</f>
        <v>0</v>
      </c>
      <c r="J740" s="762">
        <f>'MBG FGD'!$J$74</f>
        <v>0</v>
      </c>
      <c r="K740" s="762">
        <f>'MBG FGD'!$K$74</f>
        <v>0</v>
      </c>
      <c r="L740" s="762">
        <f>'MBG FGD'!$L$74</f>
        <v>0</v>
      </c>
      <c r="M740" s="723">
        <f>'MBG FGD'!$M$74</f>
        <v>10792867</v>
      </c>
      <c r="O740" s="723"/>
    </row>
    <row r="741" spans="1:15" hidden="1" outlineLevel="1">
      <c r="B741" s="823" t="str">
        <f>'MDA FGD'!$B$2</f>
        <v>The University of Texas M.D. Anderson Cancer Center</v>
      </c>
      <c r="C741" s="823"/>
      <c r="D741" s="762">
        <f>'MDA FGD'!$D$74</f>
        <v>0</v>
      </c>
      <c r="E741" s="762">
        <f>'MDA FGD'!$E$74</f>
        <v>0</v>
      </c>
      <c r="F741" s="762">
        <f>'MDA FGD'!$F$74</f>
        <v>18756979</v>
      </c>
      <c r="G741" s="762">
        <f>'MDA FGD'!$G$74</f>
        <v>0</v>
      </c>
      <c r="H741" s="762">
        <f>'MDA FGD'!$H$74</f>
        <v>0</v>
      </c>
      <c r="I741" s="762">
        <f>'MDA FGD'!$I$74</f>
        <v>0</v>
      </c>
      <c r="J741" s="762">
        <f>'MDA FGD'!$J$74</f>
        <v>0</v>
      </c>
      <c r="K741" s="762">
        <f>'MDA FGD'!$K$74</f>
        <v>0</v>
      </c>
      <c r="L741" s="762">
        <f>'MDA FGD'!$L$74</f>
        <v>0</v>
      </c>
      <c r="M741" s="723">
        <f>'MDA FGD'!$M$74</f>
        <v>18756979</v>
      </c>
      <c r="O741" s="723"/>
    </row>
    <row r="742" spans="1:15" hidden="1" outlineLevel="1">
      <c r="B742" s="823" t="str">
        <f>'RGVM FGD'!$B$2</f>
        <v>The University of Texas Rio Grande Valley Medical School (M)</v>
      </c>
      <c r="C742" s="823"/>
      <c r="D742" s="762">
        <f>'RGVM FGD'!$D$74</f>
        <v>0</v>
      </c>
      <c r="E742" s="762">
        <f>'RGVM FGD'!$E$74</f>
        <v>0</v>
      </c>
      <c r="F742" s="762">
        <f>'RGVM FGD'!$F$74</f>
        <v>1836493</v>
      </c>
      <c r="G742" s="762">
        <f>'RGVM FGD'!$G$74</f>
        <v>0</v>
      </c>
      <c r="H742" s="762">
        <f>'RGVM FGD'!$H$74</f>
        <v>0</v>
      </c>
      <c r="I742" s="762">
        <f>'RGVM FGD'!$I$74</f>
        <v>0</v>
      </c>
      <c r="J742" s="762">
        <f>'RGVM FGD'!$J$74</f>
        <v>0</v>
      </c>
      <c r="K742" s="762">
        <f>'RGVM FGD'!$K$74</f>
        <v>0</v>
      </c>
      <c r="L742" s="762">
        <f>'RGVM FGD'!$L$74</f>
        <v>0</v>
      </c>
      <c r="M742" s="723">
        <f>'RGVM FGD'!$M$74</f>
        <v>1836493</v>
      </c>
      <c r="O742" s="723"/>
    </row>
    <row r="743" spans="1:15" hidden="1" outlineLevel="1">
      <c r="B743" s="823" t="str">
        <f>'SWM FGD'!$B$2</f>
        <v>The University of Texas Southwestern Medical Center</v>
      </c>
      <c r="C743" s="823"/>
      <c r="D743" s="762">
        <f>'SWM FGD'!$D$74</f>
        <v>0</v>
      </c>
      <c r="E743" s="762">
        <f>'SWM FGD'!$E$74</f>
        <v>0</v>
      </c>
      <c r="F743" s="762">
        <f>'SWM FGD'!$F$74</f>
        <v>36039161</v>
      </c>
      <c r="G743" s="762">
        <f>'SWM FGD'!$G$74</f>
        <v>0</v>
      </c>
      <c r="H743" s="762">
        <f>'SWM FGD'!$H$74</f>
        <v>0</v>
      </c>
      <c r="I743" s="762">
        <f>'SWM FGD'!$I$74</f>
        <v>0</v>
      </c>
      <c r="J743" s="762">
        <f>'SWM FGD'!$J$74</f>
        <v>0</v>
      </c>
      <c r="K743" s="762">
        <f>'SWM FGD'!$K$74</f>
        <v>0</v>
      </c>
      <c r="L743" s="762">
        <f>'SWM FGD'!$L$74</f>
        <v>0</v>
      </c>
      <c r="M743" s="723">
        <f>'SWM FGD'!$M$74</f>
        <v>36039161</v>
      </c>
      <c r="O743" s="723"/>
    </row>
    <row r="744" spans="1:15" hidden="1" outlineLevel="1">
      <c r="B744" s="823" t="str">
        <f>'TAMHSC FGD'!$B$2</f>
        <v>Texas A&amp;M University System Health Science Center</v>
      </c>
      <c r="C744" s="823"/>
      <c r="D744" s="762">
        <f>'TAMHSC FGD'!$D$74</f>
        <v>0</v>
      </c>
      <c r="E744" s="762">
        <f>'TAMHSC FGD'!$E$74</f>
        <v>0</v>
      </c>
      <c r="F744" s="762">
        <f>'TAMHSC FGD'!$F$74</f>
        <v>3770625</v>
      </c>
      <c r="G744" s="762">
        <f>'TAMHSC FGD'!$G$74</f>
        <v>0</v>
      </c>
      <c r="H744" s="762">
        <f>'TAMHSC FGD'!$H$74</f>
        <v>0</v>
      </c>
      <c r="I744" s="762">
        <f>'TAMHSC FGD'!$I$74</f>
        <v>0</v>
      </c>
      <c r="J744" s="762">
        <f>'TAMHSC FGD'!$J$74</f>
        <v>0</v>
      </c>
      <c r="K744" s="762">
        <f>'TAMHSC FGD'!$K$74</f>
        <v>0</v>
      </c>
      <c r="L744" s="762">
        <f>'TAMHSC FGD'!$L$74</f>
        <v>0</v>
      </c>
      <c r="M744" s="723">
        <f>'TAMHSC FGD'!$M$74</f>
        <v>3770625</v>
      </c>
      <c r="O744" s="723"/>
    </row>
    <row r="745" spans="1:15" hidden="1" outlineLevel="1">
      <c r="B745" s="823" t="str">
        <f>'THC FGD'!$B$2</f>
        <v>The University of Texas Health Science Center at Tyler</v>
      </c>
      <c r="C745" s="823"/>
      <c r="D745" s="762">
        <f>'THC FGD'!$D$74</f>
        <v>0</v>
      </c>
      <c r="E745" s="762">
        <f>'THC FGD'!$E$74</f>
        <v>0</v>
      </c>
      <c r="F745" s="762">
        <f>'THC FGD'!$F$74</f>
        <v>168402</v>
      </c>
      <c r="G745" s="762">
        <f>'THC FGD'!$G$74</f>
        <v>0</v>
      </c>
      <c r="H745" s="762">
        <f>'THC FGD'!$H$74</f>
        <v>0</v>
      </c>
      <c r="I745" s="762">
        <f>'THC FGD'!$I$74</f>
        <v>0</v>
      </c>
      <c r="J745" s="762">
        <f>'THC FGD'!$J$74</f>
        <v>0</v>
      </c>
      <c r="K745" s="762">
        <f>'THC FGD'!$K$74</f>
        <v>0</v>
      </c>
      <c r="L745" s="762">
        <f>'THC FGD'!$L$74</f>
        <v>0</v>
      </c>
      <c r="M745" s="723">
        <f>'THC FGD'!$M$74</f>
        <v>168402</v>
      </c>
      <c r="O745" s="723"/>
    </row>
    <row r="746" spans="1:15" hidden="1" outlineLevel="1">
      <c r="B746" s="823" t="str">
        <f>'TTUHSC FGD'!$B$2</f>
        <v>Texas Tech University Health Sciences Center</v>
      </c>
      <c r="C746" s="823"/>
      <c r="D746" s="762">
        <f>'TTUHSC FGD'!$D$74</f>
        <v>0</v>
      </c>
      <c r="E746" s="762">
        <f>'TTUHSC FGD'!$E$74</f>
        <v>0</v>
      </c>
      <c r="F746" s="762">
        <f>'TTUHSC FGD'!$F$74</f>
        <v>527758</v>
      </c>
      <c r="G746" s="762">
        <f>'TTUHSC FGD'!$G$74</f>
        <v>0</v>
      </c>
      <c r="H746" s="762">
        <f>'TTUHSC FGD'!$H$74</f>
        <v>0</v>
      </c>
      <c r="I746" s="762">
        <f>'TTUHSC FGD'!$I$74</f>
        <v>0</v>
      </c>
      <c r="J746" s="762">
        <f>'TTUHSC FGD'!$J$74</f>
        <v>0</v>
      </c>
      <c r="K746" s="762">
        <f>'TTUHSC FGD'!$K$74</f>
        <v>0</v>
      </c>
      <c r="L746" s="762">
        <f>'TTUHSC FGD'!$L$74</f>
        <v>0</v>
      </c>
      <c r="M746" s="723">
        <f>'TTUHSC FGD'!$M$74</f>
        <v>527758</v>
      </c>
      <c r="O746" s="723"/>
    </row>
    <row r="747" spans="1:15" hidden="1" outlineLevel="1">
      <c r="B747" s="823" t="str">
        <f>'TTUHSCEP FGD'!$B$2</f>
        <v>Texas Tech University Health Sciences Center at El Paso</v>
      </c>
      <c r="C747" s="823"/>
      <c r="D747" s="762">
        <f>'TTUHSCEP FGD'!$D$74</f>
        <v>0</v>
      </c>
      <c r="E747" s="762">
        <f>'TTUHSCEP FGD'!$E$74</f>
        <v>0</v>
      </c>
      <c r="F747" s="762">
        <f>'TTUHSCEP FGD'!$F$74</f>
        <v>228210</v>
      </c>
      <c r="G747" s="762">
        <f>'TTUHSCEP FGD'!$G$74</f>
        <v>0</v>
      </c>
      <c r="H747" s="762">
        <f>'TTUHSCEP FGD'!$H$74</f>
        <v>0</v>
      </c>
      <c r="I747" s="762">
        <f>'TTUHSCEP FGD'!$I$74</f>
        <v>0</v>
      </c>
      <c r="J747" s="762">
        <f>'TTUHSCEP FGD'!$J$74</f>
        <v>0</v>
      </c>
      <c r="K747" s="762">
        <f>'TTUHSCEP FGD'!$K$74</f>
        <v>0</v>
      </c>
      <c r="L747" s="762">
        <f>'TTUHSCEP FGD'!$L$74</f>
        <v>0</v>
      </c>
      <c r="M747" s="723">
        <f>'TTUHSCEP FGD'!$M$74</f>
        <v>228210</v>
      </c>
      <c r="O747" s="723"/>
    </row>
    <row r="748" spans="1:15" hidden="1" outlineLevel="1">
      <c r="B748" s="823" t="str">
        <f>'UHM FGD'!$B$2</f>
        <v>University of Houston Medical School (M)</v>
      </c>
      <c r="C748" s="823"/>
      <c r="D748" s="762">
        <f>'UHM FGD'!$D$74</f>
        <v>0</v>
      </c>
      <c r="E748" s="762">
        <f>'UHM FGD'!$E$74</f>
        <v>0</v>
      </c>
      <c r="F748" s="762">
        <f>'UHM FGD'!$F$74</f>
        <v>0</v>
      </c>
      <c r="G748" s="762">
        <f>'UHM FGD'!$G$74</f>
        <v>0</v>
      </c>
      <c r="H748" s="762">
        <f>'UHM FGD'!$H$74</f>
        <v>0</v>
      </c>
      <c r="I748" s="762">
        <f>'UHM FGD'!$I$74</f>
        <v>0</v>
      </c>
      <c r="J748" s="762">
        <f>'UHM FGD'!$J$74</f>
        <v>0</v>
      </c>
      <c r="K748" s="762">
        <f>'UHM FGD'!$K$74</f>
        <v>0</v>
      </c>
      <c r="L748" s="762">
        <f>'UHM FGD'!$L$74</f>
        <v>0</v>
      </c>
      <c r="M748" s="723">
        <f>'UHM FGD'!$M$74</f>
        <v>0</v>
      </c>
      <c r="O748" s="723"/>
    </row>
    <row r="749" spans="1:15" hidden="1" outlineLevel="1">
      <c r="B749" s="823" t="str">
        <f>'UNTHSC1 FGD'!$B$2</f>
        <v>University of North Texas Health Science Center at Fort Worth (Public Medical)</v>
      </c>
      <c r="C749" s="823"/>
      <c r="D749" s="762">
        <f>'UNTHSC1 FGD'!$D$74</f>
        <v>0</v>
      </c>
      <c r="E749" s="762">
        <f>'UNTHSC1 FGD'!$E$74</f>
        <v>0</v>
      </c>
      <c r="F749" s="762">
        <f>'UNTHSC1 FGD'!$F$74</f>
        <v>177508</v>
      </c>
      <c r="G749" s="762">
        <f>'UNTHSC1 FGD'!$G$74</f>
        <v>0</v>
      </c>
      <c r="H749" s="762">
        <f>'UNTHSC1 FGD'!$H$74</f>
        <v>0</v>
      </c>
      <c r="I749" s="762">
        <f>'UNTHSC1 FGD'!$I$74</f>
        <v>0</v>
      </c>
      <c r="J749" s="762">
        <f>'UNTHSC1 FGD'!$J$74</f>
        <v>0</v>
      </c>
      <c r="K749" s="762">
        <f>'UNTHSC1 FGD'!$K$74</f>
        <v>0</v>
      </c>
      <c r="L749" s="762">
        <f>'UNTHSC1 FGD'!$L$74</f>
        <v>0</v>
      </c>
      <c r="M749" s="723">
        <f>'UNTHSC1 FGD'!$M$74</f>
        <v>177508</v>
      </c>
      <c r="O749" s="723"/>
    </row>
    <row r="750" spans="1:15" collapsed="1">
      <c r="A750" s="460">
        <v>57</v>
      </c>
      <c r="B750" s="823" t="s">
        <v>472</v>
      </c>
      <c r="C750" s="823"/>
      <c r="D750" s="762">
        <f t="shared" ref="D750:M750" si="51">SUM(D737:D749)</f>
        <v>0</v>
      </c>
      <c r="E750" s="762">
        <f t="shared" si="51"/>
        <v>888218</v>
      </c>
      <c r="F750" s="762">
        <f t="shared" si="51"/>
        <v>93062985</v>
      </c>
      <c r="G750" s="762">
        <f t="shared" si="51"/>
        <v>143513</v>
      </c>
      <c r="H750" s="762">
        <f t="shared" si="51"/>
        <v>0</v>
      </c>
      <c r="I750" s="762">
        <f t="shared" si="51"/>
        <v>0</v>
      </c>
      <c r="J750" s="762">
        <f t="shared" si="51"/>
        <v>0</v>
      </c>
      <c r="K750" s="762">
        <f t="shared" si="51"/>
        <v>0</v>
      </c>
      <c r="L750" s="762">
        <f t="shared" si="51"/>
        <v>0</v>
      </c>
      <c r="M750" s="723">
        <f t="shared" si="51"/>
        <v>94094716</v>
      </c>
      <c r="O750" s="723"/>
    </row>
    <row r="751" spans="1:15" hidden="1" outlineLevel="1">
      <c r="B751" s="823" t="str">
        <f>'AUSM FGD'!$B$2</f>
        <v>The University of Texas at Austin Medical School (M)</v>
      </c>
      <c r="C751" s="823"/>
      <c r="D751" s="762">
        <f>'AUSM FGD'!$D$75</f>
        <v>88123</v>
      </c>
      <c r="E751" s="762">
        <f>'AUSM FGD'!$E$75</f>
        <v>18515</v>
      </c>
      <c r="F751" s="762">
        <f>'AUSM FGD'!$F$75</f>
        <v>0</v>
      </c>
      <c r="G751" s="762">
        <f>'AUSM FGD'!$G$75</f>
        <v>145495</v>
      </c>
      <c r="H751" s="762">
        <f>'AUSM FGD'!$H$75</f>
        <v>0</v>
      </c>
      <c r="I751" s="762">
        <f>'AUSM FGD'!$I$75</f>
        <v>0</v>
      </c>
      <c r="J751" s="762">
        <f>'AUSM FGD'!$J$75</f>
        <v>0</v>
      </c>
      <c r="K751" s="762">
        <f>'AUSM FGD'!$K$75</f>
        <v>0</v>
      </c>
      <c r="L751" s="762">
        <f>'AUSM FGD'!$L$75</f>
        <v>0</v>
      </c>
      <c r="M751" s="723">
        <f>'AUSM FGD'!$M$75</f>
        <v>252133</v>
      </c>
      <c r="O751" s="723"/>
    </row>
    <row r="752" spans="1:15" hidden="1" outlineLevel="1">
      <c r="B752" s="823" t="str">
        <f>'HSH FGD'!$B$2</f>
        <v>The University of Texas Health Science Center at Houston</v>
      </c>
      <c r="C752" s="823"/>
      <c r="D752" s="762">
        <f>'HSH FGD'!$D$75</f>
        <v>461388</v>
      </c>
      <c r="E752" s="762">
        <f>'HSH FGD'!$E$75</f>
        <v>9429979</v>
      </c>
      <c r="F752" s="762">
        <f>'HSH FGD'!$F$75</f>
        <v>342364</v>
      </c>
      <c r="G752" s="762">
        <f>'HSH FGD'!$G$75</f>
        <v>7620760</v>
      </c>
      <c r="H752" s="762">
        <f>'HSH FGD'!$H$75</f>
        <v>0</v>
      </c>
      <c r="I752" s="762">
        <f>'HSH FGD'!$I$75</f>
        <v>0</v>
      </c>
      <c r="J752" s="762">
        <f>'HSH FGD'!$J$75</f>
        <v>0</v>
      </c>
      <c r="K752" s="762">
        <f>'HSH FGD'!$K$75</f>
        <v>0</v>
      </c>
      <c r="L752" s="762">
        <f>'HSH FGD'!$L$75</f>
        <v>0</v>
      </c>
      <c r="M752" s="723">
        <f>'HSH FGD'!$M$75</f>
        <v>17854491</v>
      </c>
      <c r="O752" s="723"/>
    </row>
    <row r="753" spans="1:15" hidden="1" outlineLevel="1">
      <c r="B753" s="823" t="str">
        <f>'HSSA FGD'!$B$2</f>
        <v>The University of Texas Health Science Center at San Antonio</v>
      </c>
      <c r="C753" s="823"/>
      <c r="D753" s="762">
        <f>'HSSA FGD'!$D$75</f>
        <v>994022</v>
      </c>
      <c r="E753" s="762">
        <f>'HSSA FGD'!$E$75</f>
        <v>11545041</v>
      </c>
      <c r="F753" s="762">
        <f>'HSSA FGD'!$F$75</f>
        <v>425351</v>
      </c>
      <c r="G753" s="762">
        <f>'HSSA FGD'!$G$75</f>
        <v>4800903</v>
      </c>
      <c r="H753" s="762">
        <f>'HSSA FGD'!$H$75</f>
        <v>0</v>
      </c>
      <c r="I753" s="762">
        <f>'HSSA FGD'!$I$75</f>
        <v>0</v>
      </c>
      <c r="J753" s="762">
        <f>'HSSA FGD'!$J$75</f>
        <v>0</v>
      </c>
      <c r="K753" s="762">
        <f>'HSSA FGD'!$K$75</f>
        <v>0</v>
      </c>
      <c r="L753" s="762">
        <f>'HSSA FGD'!$L$75</f>
        <v>0</v>
      </c>
      <c r="M753" s="723">
        <f>'HSSA FGD'!$M$75</f>
        <v>17765317</v>
      </c>
      <c r="O753" s="723"/>
    </row>
    <row r="754" spans="1:15" hidden="1" outlineLevel="1">
      <c r="B754" s="823" t="str">
        <f>'MBG FGD'!$B$2</f>
        <v>The University of Texas Medical Branch at Galveston</v>
      </c>
      <c r="C754" s="823"/>
      <c r="D754" s="762">
        <f>'MBG FGD'!$D$75</f>
        <v>722235</v>
      </c>
      <c r="E754" s="762">
        <f>'MBG FGD'!$E$75</f>
        <v>8596537</v>
      </c>
      <c r="F754" s="762">
        <f>'MBG FGD'!$F$75</f>
        <v>16960</v>
      </c>
      <c r="G754" s="762">
        <f>'MBG FGD'!$G$75</f>
        <v>5757014</v>
      </c>
      <c r="H754" s="762">
        <f>'MBG FGD'!$H$75</f>
        <v>0</v>
      </c>
      <c r="I754" s="762">
        <f>'MBG FGD'!$I$75</f>
        <v>0</v>
      </c>
      <c r="J754" s="762">
        <f>'MBG FGD'!$J$75</f>
        <v>0</v>
      </c>
      <c r="K754" s="762">
        <f>'MBG FGD'!$K$75</f>
        <v>0</v>
      </c>
      <c r="L754" s="762">
        <f>'MBG FGD'!$L$75</f>
        <v>0</v>
      </c>
      <c r="M754" s="723">
        <f>'MBG FGD'!$M$75</f>
        <v>15092746</v>
      </c>
      <c r="O754" s="723"/>
    </row>
    <row r="755" spans="1:15" hidden="1" outlineLevel="1">
      <c r="B755" s="823" t="str">
        <f>'MDA FGD'!$B$2</f>
        <v>The University of Texas M.D. Anderson Cancer Center</v>
      </c>
      <c r="C755" s="823"/>
      <c r="D755" s="762">
        <f>'MDA FGD'!$D$75</f>
        <v>69900490</v>
      </c>
      <c r="E755" s="762">
        <f>'MDA FGD'!$E$75</f>
        <v>13219847</v>
      </c>
      <c r="F755" s="762">
        <f>'MDA FGD'!$F$75</f>
        <v>60619</v>
      </c>
      <c r="G755" s="762">
        <f>'MDA FGD'!$G$75</f>
        <v>5358750</v>
      </c>
      <c r="H755" s="762">
        <f>'MDA FGD'!$H$75</f>
        <v>0</v>
      </c>
      <c r="I755" s="762">
        <f>'MDA FGD'!$I$75</f>
        <v>0</v>
      </c>
      <c r="J755" s="762">
        <f>'MDA FGD'!$J$75</f>
        <v>0</v>
      </c>
      <c r="K755" s="762">
        <f>'MDA FGD'!$K$75</f>
        <v>0</v>
      </c>
      <c r="L755" s="762">
        <f>'MDA FGD'!$L$75</f>
        <v>0</v>
      </c>
      <c r="M755" s="723">
        <f>'MDA FGD'!$M$75</f>
        <v>88539706</v>
      </c>
      <c r="O755" s="723"/>
    </row>
    <row r="756" spans="1:15" hidden="1" outlineLevel="1">
      <c r="B756" s="823" t="str">
        <f>'RGVM FGD'!$B$2</f>
        <v>The University of Texas Rio Grande Valley Medical School (M)</v>
      </c>
      <c r="C756" s="823"/>
      <c r="D756" s="762">
        <f>'RGVM FGD'!$D$75</f>
        <v>73961</v>
      </c>
      <c r="E756" s="762">
        <f>'RGVM FGD'!$E$75</f>
        <v>1297003</v>
      </c>
      <c r="F756" s="762">
        <f>'RGVM FGD'!$F$75</f>
        <v>5472</v>
      </c>
      <c r="G756" s="762">
        <f>'RGVM FGD'!$G$75</f>
        <v>4252352</v>
      </c>
      <c r="H756" s="762">
        <f>'RGVM FGD'!$H$75</f>
        <v>0</v>
      </c>
      <c r="I756" s="762">
        <f>'RGVM FGD'!$I$75</f>
        <v>0</v>
      </c>
      <c r="J756" s="762">
        <f>'RGVM FGD'!$J$75</f>
        <v>0</v>
      </c>
      <c r="K756" s="762">
        <f>'RGVM FGD'!$K$75</f>
        <v>0</v>
      </c>
      <c r="L756" s="762">
        <f>'RGVM FGD'!$L$75</f>
        <v>0</v>
      </c>
      <c r="M756" s="723">
        <f>'RGVM FGD'!$M$75</f>
        <v>5628788</v>
      </c>
      <c r="O756" s="723"/>
    </row>
    <row r="757" spans="1:15" hidden="1" outlineLevel="1">
      <c r="B757" s="823" t="str">
        <f>'SWM FGD'!$B$2</f>
        <v>The University of Texas Southwestern Medical Center</v>
      </c>
      <c r="C757" s="823"/>
      <c r="D757" s="762">
        <f>'SWM FGD'!$D$75</f>
        <v>0</v>
      </c>
      <c r="E757" s="762">
        <f>'SWM FGD'!$E$75</f>
        <v>-9332377</v>
      </c>
      <c r="F757" s="762">
        <f>'SWM FGD'!$F$75</f>
        <v>57927</v>
      </c>
      <c r="G757" s="762">
        <f>'SWM FGD'!$G$75</f>
        <v>13876405</v>
      </c>
      <c r="H757" s="762">
        <f>'SWM FGD'!$H$75</f>
        <v>0</v>
      </c>
      <c r="I757" s="762">
        <f>'SWM FGD'!$I$75</f>
        <v>0</v>
      </c>
      <c r="J757" s="762">
        <f>'SWM FGD'!$J$75</f>
        <v>0</v>
      </c>
      <c r="K757" s="762">
        <f>'SWM FGD'!$K$75</f>
        <v>0</v>
      </c>
      <c r="L757" s="762">
        <f>'SWM FGD'!$L$75</f>
        <v>0</v>
      </c>
      <c r="M757" s="723">
        <f>'SWM FGD'!$M$75</f>
        <v>4601955</v>
      </c>
      <c r="O757" s="723"/>
    </row>
    <row r="758" spans="1:15" hidden="1" outlineLevel="1">
      <c r="B758" s="823" t="str">
        <f>'TAMHSC FGD'!$B$2</f>
        <v>Texas A&amp;M University System Health Science Center</v>
      </c>
      <c r="C758" s="823"/>
      <c r="D758" s="762">
        <f>'TAMHSC FGD'!$D$75</f>
        <v>1197071</v>
      </c>
      <c r="E758" s="762">
        <f>'TAMHSC FGD'!$E$75</f>
        <v>3156889</v>
      </c>
      <c r="F758" s="762">
        <f>'TAMHSC FGD'!$F$75</f>
        <v>0</v>
      </c>
      <c r="G758" s="762">
        <f>'TAMHSC FGD'!$G$75</f>
        <v>2649419</v>
      </c>
      <c r="H758" s="762">
        <f>'TAMHSC FGD'!$H$75</f>
        <v>0</v>
      </c>
      <c r="I758" s="762">
        <f>'TAMHSC FGD'!$I$75</f>
        <v>0</v>
      </c>
      <c r="J758" s="762">
        <f>'TAMHSC FGD'!$J$75</f>
        <v>0</v>
      </c>
      <c r="K758" s="762">
        <f>'TAMHSC FGD'!$K$75</f>
        <v>0</v>
      </c>
      <c r="L758" s="762">
        <f>'TAMHSC FGD'!$L$75</f>
        <v>0</v>
      </c>
      <c r="M758" s="723">
        <f>'TAMHSC FGD'!$M$75</f>
        <v>7003379</v>
      </c>
      <c r="O758" s="723"/>
    </row>
    <row r="759" spans="1:15" hidden="1" outlineLevel="1">
      <c r="B759" s="823" t="str">
        <f>'THC FGD'!$B$2</f>
        <v>The University of Texas Health Science Center at Tyler</v>
      </c>
      <c r="C759" s="823"/>
      <c r="D759" s="762">
        <f>'THC FGD'!$D$75</f>
        <v>1602982</v>
      </c>
      <c r="E759" s="762">
        <f>'THC FGD'!$E$75</f>
        <v>7029</v>
      </c>
      <c r="F759" s="762">
        <f>'THC FGD'!$F$75</f>
        <v>0</v>
      </c>
      <c r="G759" s="762">
        <f>'THC FGD'!$G$75</f>
        <v>123551</v>
      </c>
      <c r="H759" s="762">
        <f>'THC FGD'!$H$75</f>
        <v>0</v>
      </c>
      <c r="I759" s="762">
        <f>'THC FGD'!$I$75</f>
        <v>0</v>
      </c>
      <c r="J759" s="762">
        <f>'THC FGD'!$J$75</f>
        <v>0</v>
      </c>
      <c r="K759" s="762">
        <f>'THC FGD'!$K$75</f>
        <v>0</v>
      </c>
      <c r="L759" s="762">
        <f>'THC FGD'!$L$75</f>
        <v>0</v>
      </c>
      <c r="M759" s="723">
        <f>'THC FGD'!$M$75</f>
        <v>1733562</v>
      </c>
      <c r="O759" s="723"/>
    </row>
    <row r="760" spans="1:15" hidden="1" outlineLevel="1">
      <c r="B760" s="823" t="str">
        <f>'TTUHSC FGD'!$B$2</f>
        <v>Texas Tech University Health Sciences Center</v>
      </c>
      <c r="C760" s="823"/>
      <c r="D760" s="762">
        <f>'TTUHSC FGD'!$D$75</f>
        <v>1290170</v>
      </c>
      <c r="E760" s="762">
        <f>'TTUHSC FGD'!$E$75</f>
        <v>4778825</v>
      </c>
      <c r="F760" s="762">
        <f>'TTUHSC FGD'!$F$75</f>
        <v>0</v>
      </c>
      <c r="G760" s="762">
        <f>'TTUHSC FGD'!$G$75</f>
        <v>2907444</v>
      </c>
      <c r="H760" s="762">
        <f>'TTUHSC FGD'!$H$75</f>
        <v>0</v>
      </c>
      <c r="I760" s="762">
        <f>'TTUHSC FGD'!$I$75</f>
        <v>0</v>
      </c>
      <c r="J760" s="762">
        <f>'TTUHSC FGD'!$J$75</f>
        <v>0</v>
      </c>
      <c r="K760" s="762">
        <f>'TTUHSC FGD'!$K$75</f>
        <v>0</v>
      </c>
      <c r="L760" s="762">
        <f>'TTUHSC FGD'!$L$75</f>
        <v>0</v>
      </c>
      <c r="M760" s="723">
        <f>'TTUHSC FGD'!$M$75</f>
        <v>8976439</v>
      </c>
      <c r="O760" s="723"/>
    </row>
    <row r="761" spans="1:15" hidden="1" outlineLevel="1">
      <c r="B761" s="823" t="str">
        <f>'TTUHSCEP FGD'!$B$2</f>
        <v>Texas Tech University Health Sciences Center at El Paso</v>
      </c>
      <c r="C761" s="823"/>
      <c r="D761" s="762">
        <f>'TTUHSCEP FGD'!$D$75</f>
        <v>1139292</v>
      </c>
      <c r="E761" s="762">
        <f>'TTUHSCEP FGD'!$E$75</f>
        <v>5774000</v>
      </c>
      <c r="F761" s="762">
        <f>'TTUHSCEP FGD'!$F$75</f>
        <v>73198</v>
      </c>
      <c r="G761" s="762">
        <f>'TTUHSCEP FGD'!$G$75</f>
        <v>628400</v>
      </c>
      <c r="H761" s="762">
        <f>'TTUHSCEP FGD'!$H$75</f>
        <v>0</v>
      </c>
      <c r="I761" s="762">
        <f>'TTUHSCEP FGD'!$I$75</f>
        <v>0</v>
      </c>
      <c r="J761" s="762">
        <f>'TTUHSCEP FGD'!$J$75</f>
        <v>0</v>
      </c>
      <c r="K761" s="762">
        <f>'TTUHSCEP FGD'!$K$75</f>
        <v>0</v>
      </c>
      <c r="L761" s="762">
        <f>'TTUHSCEP FGD'!$L$75</f>
        <v>0</v>
      </c>
      <c r="M761" s="723">
        <f>'TTUHSCEP FGD'!$M$75</f>
        <v>7614890</v>
      </c>
      <c r="O761" s="723"/>
    </row>
    <row r="762" spans="1:15" hidden="1" outlineLevel="1">
      <c r="B762" s="823" t="str">
        <f>'UHM FGD'!$B$2</f>
        <v>University of Houston Medical School (M)</v>
      </c>
      <c r="C762" s="823"/>
      <c r="D762" s="762">
        <f>'UHM FGD'!$D$75</f>
        <v>0</v>
      </c>
      <c r="E762" s="762">
        <f>'UHM FGD'!$E$75</f>
        <v>0</v>
      </c>
      <c r="F762" s="762">
        <f>'UHM FGD'!$F$75</f>
        <v>0</v>
      </c>
      <c r="G762" s="762">
        <f>'UHM FGD'!$G$75</f>
        <v>0</v>
      </c>
      <c r="H762" s="762">
        <f>'UHM FGD'!$H$75</f>
        <v>0</v>
      </c>
      <c r="I762" s="762">
        <f>'UHM FGD'!$I$75</f>
        <v>0</v>
      </c>
      <c r="J762" s="762">
        <f>'UHM FGD'!$J$75</f>
        <v>0</v>
      </c>
      <c r="K762" s="762">
        <f>'UHM FGD'!$K$75</f>
        <v>0</v>
      </c>
      <c r="L762" s="762">
        <f>'UHM FGD'!$L$75</f>
        <v>0</v>
      </c>
      <c r="M762" s="723">
        <f>'UHM FGD'!$M$75</f>
        <v>0</v>
      </c>
      <c r="O762" s="723"/>
    </row>
    <row r="763" spans="1:15" hidden="1" outlineLevel="1">
      <c r="B763" s="823" t="str">
        <f>'UNTHSC1 FGD'!$B$2</f>
        <v>University of North Texas Health Science Center at Fort Worth (Public Medical)</v>
      </c>
      <c r="C763" s="823"/>
      <c r="D763" s="762">
        <f>'UNTHSC1 FGD'!$D$75</f>
        <v>7174829</v>
      </c>
      <c r="E763" s="762">
        <f>'UNTHSC1 FGD'!$E$75</f>
        <v>4517492</v>
      </c>
      <c r="F763" s="762">
        <f>'UNTHSC1 FGD'!$F$75</f>
        <v>14600</v>
      </c>
      <c r="G763" s="762">
        <f>'UNTHSC1 FGD'!$G$75</f>
        <v>188455</v>
      </c>
      <c r="H763" s="762">
        <f>'UNTHSC1 FGD'!$H$75</f>
        <v>0</v>
      </c>
      <c r="I763" s="762">
        <f>'UNTHSC1 FGD'!$I$75</f>
        <v>0</v>
      </c>
      <c r="J763" s="762">
        <f>'UNTHSC1 FGD'!$J$75</f>
        <v>0</v>
      </c>
      <c r="K763" s="762">
        <f>'UNTHSC1 FGD'!$K$75</f>
        <v>0</v>
      </c>
      <c r="L763" s="762">
        <f>'UNTHSC1 FGD'!$L$75</f>
        <v>0</v>
      </c>
      <c r="M763" s="723">
        <f>'UNTHSC1 FGD'!$M$75</f>
        <v>11895376</v>
      </c>
      <c r="O763" s="723"/>
    </row>
    <row r="764" spans="1:15" collapsed="1">
      <c r="A764" s="460">
        <v>58</v>
      </c>
      <c r="B764" s="846" t="s">
        <v>602</v>
      </c>
      <c r="C764" s="846"/>
      <c r="D764" s="762">
        <f t="shared" ref="D764:M764" si="52">SUM(D751:D763)</f>
        <v>84644563</v>
      </c>
      <c r="E764" s="762">
        <f t="shared" si="52"/>
        <v>53008780</v>
      </c>
      <c r="F764" s="762">
        <f t="shared" si="52"/>
        <v>996491</v>
      </c>
      <c r="G764" s="762">
        <f t="shared" si="52"/>
        <v>48308948</v>
      </c>
      <c r="H764" s="762">
        <f t="shared" si="52"/>
        <v>0</v>
      </c>
      <c r="I764" s="762">
        <f t="shared" si="52"/>
        <v>0</v>
      </c>
      <c r="J764" s="762">
        <f t="shared" si="52"/>
        <v>0</v>
      </c>
      <c r="K764" s="762">
        <f t="shared" si="52"/>
        <v>0</v>
      </c>
      <c r="L764" s="762">
        <f t="shared" si="52"/>
        <v>0</v>
      </c>
      <c r="M764" s="723">
        <f t="shared" si="52"/>
        <v>186958782</v>
      </c>
      <c r="O764" s="849"/>
    </row>
    <row r="765" spans="1:15" hidden="1" outlineLevel="1">
      <c r="B765" s="823" t="str">
        <f>'AUSM FGD'!$B$2</f>
        <v>The University of Texas at Austin Medical School (M)</v>
      </c>
      <c r="C765" s="846"/>
      <c r="D765" s="762">
        <f>'AUSM FGD'!$D$76</f>
        <v>0</v>
      </c>
      <c r="E765" s="762">
        <f>'AUSM FGD'!$E$76</f>
        <v>2850</v>
      </c>
      <c r="F765" s="762">
        <f>'AUSM FGD'!$F$76</f>
        <v>0</v>
      </c>
      <c r="G765" s="762">
        <f>'AUSM FGD'!$G$76</f>
        <v>0</v>
      </c>
      <c r="H765" s="762">
        <f>'AUSM FGD'!$H$76</f>
        <v>0</v>
      </c>
      <c r="I765" s="762">
        <f>'AUSM FGD'!$I$76</f>
        <v>0</v>
      </c>
      <c r="J765" s="762">
        <f>'AUSM FGD'!$J$76</f>
        <v>0</v>
      </c>
      <c r="K765" s="762">
        <f>'AUSM FGD'!$K$76</f>
        <v>0</v>
      </c>
      <c r="L765" s="762">
        <f>'AUSM FGD'!$L$76</f>
        <v>0</v>
      </c>
      <c r="M765" s="723">
        <f>'AUSM FGD'!$M$76</f>
        <v>2850</v>
      </c>
      <c r="O765" s="849"/>
    </row>
    <row r="766" spans="1:15" hidden="1" outlineLevel="1">
      <c r="B766" s="823" t="str">
        <f>'HSH FGD'!$B$2</f>
        <v>The University of Texas Health Science Center at Houston</v>
      </c>
      <c r="C766" s="846"/>
      <c r="D766" s="762">
        <f>'HSH FGD'!$D$76</f>
        <v>208</v>
      </c>
      <c r="E766" s="762">
        <f>'HSH FGD'!$E$76</f>
        <v>1558577</v>
      </c>
      <c r="F766" s="762">
        <f>'HSH FGD'!$F$76</f>
        <v>380233</v>
      </c>
      <c r="G766" s="762">
        <f>'HSH FGD'!$G$76</f>
        <v>6003</v>
      </c>
      <c r="H766" s="762">
        <f>'HSH FGD'!$H$76</f>
        <v>536747</v>
      </c>
      <c r="I766" s="762">
        <f>'HSH FGD'!$I$76</f>
        <v>0</v>
      </c>
      <c r="J766" s="762">
        <f>'HSH FGD'!$J$76</f>
        <v>0</v>
      </c>
      <c r="K766" s="762">
        <f>'HSH FGD'!$K$76</f>
        <v>0</v>
      </c>
      <c r="L766" s="762">
        <f>'HSH FGD'!$L$76</f>
        <v>0</v>
      </c>
      <c r="M766" s="723">
        <f>'HSH FGD'!$M$76</f>
        <v>2481768</v>
      </c>
      <c r="O766" s="849"/>
    </row>
    <row r="767" spans="1:15" hidden="1" outlineLevel="1">
      <c r="B767" s="823" t="str">
        <f>'HSSA FGD'!$B$2</f>
        <v>The University of Texas Health Science Center at San Antonio</v>
      </c>
      <c r="C767" s="846"/>
      <c r="D767" s="762">
        <f>'HSSA FGD'!$D$76</f>
        <v>0</v>
      </c>
      <c r="E767" s="762">
        <f>'HSSA FGD'!$E$76</f>
        <v>748225</v>
      </c>
      <c r="F767" s="762">
        <f>'HSSA FGD'!$F$76</f>
        <v>0</v>
      </c>
      <c r="G767" s="762">
        <f>'HSSA FGD'!$G$76</f>
        <v>3531</v>
      </c>
      <c r="H767" s="762">
        <f>'HSSA FGD'!$H$76</f>
        <v>0</v>
      </c>
      <c r="I767" s="762">
        <f>'HSSA FGD'!$I$76</f>
        <v>0</v>
      </c>
      <c r="J767" s="762">
        <f>'HSSA FGD'!$J$76</f>
        <v>0</v>
      </c>
      <c r="K767" s="762">
        <f>'HSSA FGD'!$K$76</f>
        <v>0</v>
      </c>
      <c r="L767" s="762">
        <f>'HSSA FGD'!$L$76</f>
        <v>0</v>
      </c>
      <c r="M767" s="723">
        <f>'HSSA FGD'!$M$76</f>
        <v>751756</v>
      </c>
      <c r="O767" s="849"/>
    </row>
    <row r="768" spans="1:15" hidden="1" outlineLevel="1">
      <c r="B768" s="823" t="str">
        <f>'MBG FGD'!$B$2</f>
        <v>The University of Texas Medical Branch at Galveston</v>
      </c>
      <c r="C768" s="846"/>
      <c r="D768" s="762">
        <f>'MBG FGD'!$D$76</f>
        <v>1144655</v>
      </c>
      <c r="E768" s="762">
        <f>'MBG FGD'!$E$76</f>
        <v>2929833</v>
      </c>
      <c r="F768" s="762">
        <f>'MBG FGD'!$F$76</f>
        <v>0</v>
      </c>
      <c r="G768" s="762">
        <f>'MBG FGD'!$G$76</f>
        <v>959</v>
      </c>
      <c r="H768" s="762">
        <f>'MBG FGD'!$H$76</f>
        <v>11345</v>
      </c>
      <c r="I768" s="762">
        <f>'MBG FGD'!$I$76</f>
        <v>0</v>
      </c>
      <c r="J768" s="762">
        <f>'MBG FGD'!$J$76</f>
        <v>0</v>
      </c>
      <c r="K768" s="762">
        <f>'MBG FGD'!$K$76</f>
        <v>0</v>
      </c>
      <c r="L768" s="762">
        <f>'MBG FGD'!$L$76</f>
        <v>0</v>
      </c>
      <c r="M768" s="723">
        <f>'MBG FGD'!$M$76</f>
        <v>4086792</v>
      </c>
      <c r="O768" s="849"/>
    </row>
    <row r="769" spans="1:15" hidden="1" outlineLevel="1">
      <c r="B769" s="823" t="str">
        <f>'MDA FGD'!$B$2</f>
        <v>The University of Texas M.D. Anderson Cancer Center</v>
      </c>
      <c r="C769" s="846"/>
      <c r="D769" s="762">
        <f>'MDA FGD'!$D$76</f>
        <v>2036838</v>
      </c>
      <c r="E769" s="762">
        <f>'MDA FGD'!$E$76</f>
        <v>142970</v>
      </c>
      <c r="F769" s="762">
        <f>'MDA FGD'!$F$76</f>
        <v>0</v>
      </c>
      <c r="G769" s="762">
        <f>'MDA FGD'!$G$76</f>
        <v>121</v>
      </c>
      <c r="H769" s="762">
        <f>'MDA FGD'!$H$76</f>
        <v>0</v>
      </c>
      <c r="I769" s="762">
        <f>'MDA FGD'!$I$76</f>
        <v>0</v>
      </c>
      <c r="J769" s="762">
        <f>'MDA FGD'!$J$76</f>
        <v>0</v>
      </c>
      <c r="K769" s="762">
        <f>'MDA FGD'!$K$76</f>
        <v>0</v>
      </c>
      <c r="L769" s="762">
        <f>'MDA FGD'!$L$76</f>
        <v>0</v>
      </c>
      <c r="M769" s="723">
        <f>'MDA FGD'!$M$76</f>
        <v>2179929</v>
      </c>
      <c r="O769" s="849"/>
    </row>
    <row r="770" spans="1:15" hidden="1" outlineLevel="1">
      <c r="B770" s="823" t="str">
        <f>'RGVM FGD'!$B$2</f>
        <v>The University of Texas Rio Grande Valley Medical School (M)</v>
      </c>
      <c r="C770" s="846"/>
      <c r="D770" s="762">
        <f>'RGVM FGD'!$D$76</f>
        <v>685</v>
      </c>
      <c r="E770" s="762">
        <f>'RGVM FGD'!$E$76</f>
        <v>137157</v>
      </c>
      <c r="F770" s="762">
        <f>'RGVM FGD'!$F$76</f>
        <v>0</v>
      </c>
      <c r="G770" s="762">
        <f>'RGVM FGD'!$G$76</f>
        <v>0</v>
      </c>
      <c r="H770" s="762">
        <f>'RGVM FGD'!$H$76</f>
        <v>0</v>
      </c>
      <c r="I770" s="762">
        <f>'RGVM FGD'!$I$76</f>
        <v>0</v>
      </c>
      <c r="J770" s="762">
        <f>'RGVM FGD'!$J$76</f>
        <v>0</v>
      </c>
      <c r="K770" s="762">
        <f>'RGVM FGD'!$K$76</f>
        <v>0</v>
      </c>
      <c r="L770" s="762">
        <f>'RGVM FGD'!$L$76</f>
        <v>0</v>
      </c>
      <c r="M770" s="723">
        <f>'RGVM FGD'!$M$76</f>
        <v>137842</v>
      </c>
      <c r="O770" s="849"/>
    </row>
    <row r="771" spans="1:15" hidden="1" outlineLevel="1">
      <c r="B771" s="823" t="str">
        <f>'SWM FGD'!$B$2</f>
        <v>The University of Texas Southwestern Medical Center</v>
      </c>
      <c r="C771" s="846"/>
      <c r="D771" s="762">
        <f>'SWM FGD'!$D$76</f>
        <v>0</v>
      </c>
      <c r="E771" s="762">
        <f>'SWM FGD'!$E$76</f>
        <v>12004333</v>
      </c>
      <c r="F771" s="762">
        <f>'SWM FGD'!$F$76</f>
        <v>0</v>
      </c>
      <c r="G771" s="762">
        <f>'SWM FGD'!$G$76</f>
        <v>0</v>
      </c>
      <c r="H771" s="762">
        <f>'SWM FGD'!$H$76</f>
        <v>0</v>
      </c>
      <c r="I771" s="762">
        <f>'SWM FGD'!$I$76</f>
        <v>0</v>
      </c>
      <c r="J771" s="762">
        <f>'SWM FGD'!$J$76</f>
        <v>0</v>
      </c>
      <c r="K771" s="762">
        <f>'SWM FGD'!$K$76</f>
        <v>0</v>
      </c>
      <c r="L771" s="762">
        <f>'SWM FGD'!$L$76</f>
        <v>0</v>
      </c>
      <c r="M771" s="723">
        <f>'SWM FGD'!$M$76</f>
        <v>12004333</v>
      </c>
      <c r="O771" s="849"/>
    </row>
    <row r="772" spans="1:15" hidden="1" outlineLevel="1">
      <c r="B772" s="823" t="str">
        <f>'TAMHSC FGD'!$B$2</f>
        <v>Texas A&amp;M University System Health Science Center</v>
      </c>
      <c r="C772" s="846"/>
      <c r="D772" s="762">
        <f>'TAMHSC FGD'!$D$76</f>
        <v>138244</v>
      </c>
      <c r="E772" s="762">
        <f>'TAMHSC FGD'!$E$76</f>
        <v>1181885</v>
      </c>
      <c r="F772" s="762">
        <f>'TAMHSC FGD'!$F$76</f>
        <v>0</v>
      </c>
      <c r="G772" s="762">
        <f>'TAMHSC FGD'!$G$76</f>
        <v>0</v>
      </c>
      <c r="H772" s="762">
        <f>'TAMHSC FGD'!$H$76</f>
        <v>0</v>
      </c>
      <c r="I772" s="762">
        <f>'TAMHSC FGD'!$I$76</f>
        <v>0</v>
      </c>
      <c r="J772" s="762">
        <f>'TAMHSC FGD'!$J$76</f>
        <v>0</v>
      </c>
      <c r="K772" s="762">
        <f>'TAMHSC FGD'!$K$76</f>
        <v>0</v>
      </c>
      <c r="L772" s="762">
        <f>'TAMHSC FGD'!$L$76</f>
        <v>2682463</v>
      </c>
      <c r="M772" s="723">
        <f>'TAMHSC FGD'!$M$76</f>
        <v>4002592</v>
      </c>
      <c r="O772" s="849"/>
    </row>
    <row r="773" spans="1:15" hidden="1" outlineLevel="1">
      <c r="B773" s="823" t="str">
        <f>'THC FGD'!$B$2</f>
        <v>The University of Texas Health Science Center at Tyler</v>
      </c>
      <c r="C773" s="846"/>
      <c r="D773" s="762">
        <f>'THC FGD'!$D$76</f>
        <v>57002</v>
      </c>
      <c r="E773" s="762">
        <f>'THC FGD'!$E$76</f>
        <v>0</v>
      </c>
      <c r="F773" s="762">
        <f>'THC FGD'!$F$76</f>
        <v>0</v>
      </c>
      <c r="G773" s="762">
        <f>'THC FGD'!$G$76</f>
        <v>0</v>
      </c>
      <c r="H773" s="762">
        <f>'THC FGD'!$H$76</f>
        <v>0</v>
      </c>
      <c r="I773" s="762">
        <f>'THC FGD'!$I$76</f>
        <v>0</v>
      </c>
      <c r="J773" s="762">
        <f>'THC FGD'!$J$76</f>
        <v>0</v>
      </c>
      <c r="K773" s="762">
        <f>'THC FGD'!$K$76</f>
        <v>0</v>
      </c>
      <c r="L773" s="762">
        <f>'THC FGD'!$L$76</f>
        <v>0</v>
      </c>
      <c r="M773" s="723">
        <f>'THC FGD'!$M$76</f>
        <v>57002</v>
      </c>
      <c r="O773" s="849"/>
    </row>
    <row r="774" spans="1:15" hidden="1" outlineLevel="1">
      <c r="B774" s="823" t="str">
        <f>'TTUHSC FGD'!$B$2</f>
        <v>Texas Tech University Health Sciences Center</v>
      </c>
      <c r="C774" s="846"/>
      <c r="D774" s="762">
        <f>'TTUHSC FGD'!$D$76</f>
        <v>-88343</v>
      </c>
      <c r="E774" s="762">
        <f>'TTUHSC FGD'!$E$76</f>
        <v>0</v>
      </c>
      <c r="F774" s="762">
        <f>'TTUHSC FGD'!$F$76</f>
        <v>0</v>
      </c>
      <c r="G774" s="762">
        <f>'TTUHSC FGD'!$G$76</f>
        <v>0</v>
      </c>
      <c r="H774" s="762">
        <f>'TTUHSC FGD'!$H$76</f>
        <v>0</v>
      </c>
      <c r="I774" s="762">
        <f>'TTUHSC FGD'!$I$76</f>
        <v>0</v>
      </c>
      <c r="J774" s="762">
        <f>'TTUHSC FGD'!$J$76</f>
        <v>0</v>
      </c>
      <c r="K774" s="762">
        <f>'TTUHSC FGD'!$K$76</f>
        <v>0</v>
      </c>
      <c r="L774" s="762">
        <f>'TTUHSC FGD'!$L$76</f>
        <v>191185</v>
      </c>
      <c r="M774" s="723">
        <f>'TTUHSC FGD'!$M$76</f>
        <v>102842</v>
      </c>
      <c r="O774" s="849"/>
    </row>
    <row r="775" spans="1:15" hidden="1" outlineLevel="1">
      <c r="B775" s="823" t="str">
        <f>'TTUHSCEP FGD'!$B$2</f>
        <v>Texas Tech University Health Sciences Center at El Paso</v>
      </c>
      <c r="C775" s="846"/>
      <c r="D775" s="762">
        <f>'TTUHSCEP FGD'!$D$76</f>
        <v>0</v>
      </c>
      <c r="E775" s="762">
        <f>'TTUHSCEP FGD'!$E$76</f>
        <v>0</v>
      </c>
      <c r="F775" s="762">
        <f>'TTUHSCEP FGD'!$F$76</f>
        <v>0</v>
      </c>
      <c r="G775" s="762">
        <f>'TTUHSCEP FGD'!$G$76</f>
        <v>0</v>
      </c>
      <c r="H775" s="762">
        <f>'TTUHSCEP FGD'!$H$76</f>
        <v>0</v>
      </c>
      <c r="I775" s="762">
        <f>'TTUHSCEP FGD'!$I$76</f>
        <v>0</v>
      </c>
      <c r="J775" s="762">
        <f>'TTUHSCEP FGD'!$J$76</f>
        <v>0</v>
      </c>
      <c r="K775" s="762">
        <f>'TTUHSCEP FGD'!$K$76</f>
        <v>0</v>
      </c>
      <c r="L775" s="762">
        <f>'TTUHSCEP FGD'!$L$76</f>
        <v>433564</v>
      </c>
      <c r="M775" s="723">
        <f>'TTUHSCEP FGD'!$M$76</f>
        <v>433564</v>
      </c>
      <c r="O775" s="849"/>
    </row>
    <row r="776" spans="1:15" hidden="1" outlineLevel="1">
      <c r="B776" s="823" t="str">
        <f>'UHM FGD'!$B$2</f>
        <v>University of Houston Medical School (M)</v>
      </c>
      <c r="C776" s="846"/>
      <c r="D776" s="762">
        <f>'UHM FGD'!$D$76</f>
        <v>0</v>
      </c>
      <c r="E776" s="762">
        <f>'UHM FGD'!$E$76</f>
        <v>0</v>
      </c>
      <c r="F776" s="762">
        <f>'UHM FGD'!$F$76</f>
        <v>0</v>
      </c>
      <c r="G776" s="762">
        <f>'UHM FGD'!$G$76</f>
        <v>0</v>
      </c>
      <c r="H776" s="762">
        <f>'UHM FGD'!$H$76</f>
        <v>0</v>
      </c>
      <c r="I776" s="762">
        <f>'UHM FGD'!$I$76</f>
        <v>0</v>
      </c>
      <c r="J776" s="762">
        <f>'UHM FGD'!$J$76</f>
        <v>0</v>
      </c>
      <c r="K776" s="762">
        <f>'UHM FGD'!$K$76</f>
        <v>0</v>
      </c>
      <c r="L776" s="762">
        <f>'UHM FGD'!$L$76</f>
        <v>0</v>
      </c>
      <c r="M776" s="723">
        <f>'UHM FGD'!$M$76</f>
        <v>0</v>
      </c>
      <c r="O776" s="849"/>
    </row>
    <row r="777" spans="1:15" hidden="1" outlineLevel="1">
      <c r="B777" s="823" t="str">
        <f>'UNTHSC1 FGD'!$B$2</f>
        <v>University of North Texas Health Science Center at Fort Worth (Public Medical)</v>
      </c>
      <c r="C777" s="846"/>
      <c r="D777" s="762">
        <f>'UNTHSC1 FGD'!$D$76</f>
        <v>-6574</v>
      </c>
      <c r="E777" s="762">
        <f>'UNTHSC1 FGD'!$E$76</f>
        <v>171648</v>
      </c>
      <c r="F777" s="762">
        <f>'UNTHSC1 FGD'!$F$76</f>
        <v>0</v>
      </c>
      <c r="G777" s="762">
        <f>'UNTHSC1 FGD'!$G$76</f>
        <v>691263</v>
      </c>
      <c r="H777" s="762">
        <f>'UNTHSC1 FGD'!$H$76</f>
        <v>-209852</v>
      </c>
      <c r="I777" s="762">
        <f>'UNTHSC1 FGD'!$I$76</f>
        <v>0</v>
      </c>
      <c r="J777" s="762">
        <f>'UNTHSC1 FGD'!$J$76</f>
        <v>0</v>
      </c>
      <c r="K777" s="762">
        <f>'UNTHSC1 FGD'!$K$76</f>
        <v>0</v>
      </c>
      <c r="L777" s="762">
        <f>'UNTHSC1 FGD'!$L$76</f>
        <v>-126125</v>
      </c>
      <c r="M777" s="723">
        <f>'UNTHSC1 FGD'!$M$76</f>
        <v>520360</v>
      </c>
      <c r="O777" s="849"/>
    </row>
    <row r="778" spans="1:15" ht="13.5" customHeight="1" collapsed="1">
      <c r="A778" s="460">
        <v>59</v>
      </c>
      <c r="B778" s="850" t="s">
        <v>603</v>
      </c>
      <c r="C778" s="850"/>
      <c r="D778" s="851">
        <f t="shared" ref="D778:M778" si="53">SUM(D765:D777)</f>
        <v>3282715</v>
      </c>
      <c r="E778" s="851">
        <f t="shared" si="53"/>
        <v>18877478</v>
      </c>
      <c r="F778" s="851">
        <f t="shared" si="53"/>
        <v>380233</v>
      </c>
      <c r="G778" s="851">
        <f t="shared" si="53"/>
        <v>701877</v>
      </c>
      <c r="H778" s="851">
        <f t="shared" si="53"/>
        <v>338240</v>
      </c>
      <c r="I778" s="851">
        <f t="shared" si="53"/>
        <v>0</v>
      </c>
      <c r="J778" s="851">
        <f t="shared" si="53"/>
        <v>0</v>
      </c>
      <c r="K778" s="851">
        <f t="shared" si="53"/>
        <v>0</v>
      </c>
      <c r="L778" s="851">
        <f t="shared" si="53"/>
        <v>3181087</v>
      </c>
      <c r="M778" s="723">
        <f t="shared" si="53"/>
        <v>26761630</v>
      </c>
      <c r="O778" s="492"/>
    </row>
    <row r="779" spans="1:15" ht="13.5" hidden="1" customHeight="1" outlineLevel="1">
      <c r="B779" s="823" t="str">
        <f>'AUSM FGD'!$B$2</f>
        <v>The University of Texas at Austin Medical School (M)</v>
      </c>
      <c r="C779" s="850"/>
      <c r="D779" s="851">
        <f>'AUSM FGD'!$D$77</f>
        <v>49127515</v>
      </c>
      <c r="E779" s="851">
        <f>'AUSM FGD'!$E$77</f>
        <v>156740815</v>
      </c>
      <c r="F779" s="851">
        <f>'AUSM FGD'!$F$77</f>
        <v>967543</v>
      </c>
      <c r="G779" s="851">
        <f>'AUSM FGD'!$G$77</f>
        <v>40889465</v>
      </c>
      <c r="H779" s="851">
        <f>'AUSM FGD'!$H$77</f>
        <v>0</v>
      </c>
      <c r="I779" s="851">
        <f>'AUSM FGD'!$I$77</f>
        <v>0</v>
      </c>
      <c r="J779" s="851">
        <f>'AUSM FGD'!$J$77</f>
        <v>699062</v>
      </c>
      <c r="K779" s="851">
        <f>'AUSM FGD'!$K$77</f>
        <v>0</v>
      </c>
      <c r="L779" s="851">
        <f>'AUSM FGD'!$L$77</f>
        <v>0</v>
      </c>
      <c r="M779" s="723">
        <f>'AUSM FGD'!$M$77</f>
        <v>248424400</v>
      </c>
      <c r="O779" s="492"/>
    </row>
    <row r="780" spans="1:15" ht="13.5" hidden="1" customHeight="1" outlineLevel="1">
      <c r="B780" s="823" t="str">
        <f>'HSH FGD'!$B$2</f>
        <v>The University of Texas Health Science Center at Houston</v>
      </c>
      <c r="C780" s="850"/>
      <c r="D780" s="851">
        <f>'HSH FGD'!$D$77</f>
        <v>342861819</v>
      </c>
      <c r="E780" s="851">
        <f>'HSH FGD'!$E$77</f>
        <v>1319627290</v>
      </c>
      <c r="F780" s="851">
        <f>'HSH FGD'!$F$77</f>
        <v>16381565</v>
      </c>
      <c r="G780" s="851">
        <f>'HSH FGD'!$G$77</f>
        <v>350443021</v>
      </c>
      <c r="H780" s="851">
        <f>'HSH FGD'!$H$77</f>
        <v>630063</v>
      </c>
      <c r="I780" s="851">
        <f>'HSH FGD'!$I$77</f>
        <v>0</v>
      </c>
      <c r="J780" s="851">
        <f>'HSH FGD'!$J$77</f>
        <v>2671071</v>
      </c>
      <c r="K780" s="851">
        <f>'HSH FGD'!$K$77</f>
        <v>0</v>
      </c>
      <c r="L780" s="851">
        <f>'HSH FGD'!$L$77</f>
        <v>0</v>
      </c>
      <c r="M780" s="723">
        <f>'HSH FGD'!$M$77</f>
        <v>2032614829</v>
      </c>
      <c r="O780" s="492"/>
    </row>
    <row r="781" spans="1:15" ht="13.5" hidden="1" customHeight="1" outlineLevel="1">
      <c r="B781" s="823" t="str">
        <f>'HSSA FGD'!$B$2</f>
        <v>The University of Texas Health Science Center at San Antonio</v>
      </c>
      <c r="C781" s="850"/>
      <c r="D781" s="851">
        <f>'HSSA FGD'!$D$77</f>
        <v>225567234</v>
      </c>
      <c r="E781" s="851">
        <f>'HSSA FGD'!$E$77</f>
        <v>646853268</v>
      </c>
      <c r="F781" s="851">
        <f>'HSSA FGD'!$F$77</f>
        <v>5595553</v>
      </c>
      <c r="G781" s="851">
        <f>'HSSA FGD'!$G$77</f>
        <v>249254067</v>
      </c>
      <c r="H781" s="851">
        <f>'HSSA FGD'!$H$77</f>
        <v>242045</v>
      </c>
      <c r="I781" s="851">
        <f>'HSSA FGD'!$I$77</f>
        <v>0</v>
      </c>
      <c r="J781" s="851">
        <f>'HSSA FGD'!$J$77</f>
        <v>1536515</v>
      </c>
      <c r="K781" s="851">
        <f>'HSSA FGD'!$K$77</f>
        <v>0</v>
      </c>
      <c r="L781" s="851">
        <f>'HSSA FGD'!$L$77</f>
        <v>0</v>
      </c>
      <c r="M781" s="723">
        <f>'HSSA FGD'!$M$77</f>
        <v>1129048682</v>
      </c>
      <c r="O781" s="492"/>
    </row>
    <row r="782" spans="1:15" ht="13.5" hidden="1" customHeight="1" outlineLevel="1">
      <c r="B782" s="823" t="str">
        <f>'MBG FGD'!$B$2</f>
        <v>The University of Texas Medical Branch at Galveston</v>
      </c>
      <c r="C782" s="850"/>
      <c r="D782" s="851">
        <f>'MBG FGD'!$D$77</f>
        <v>1026278154</v>
      </c>
      <c r="E782" s="851">
        <f>'MBG FGD'!$E$77</f>
        <v>1225882817</v>
      </c>
      <c r="F782" s="851">
        <f>'MBG FGD'!$F$77</f>
        <v>9778096</v>
      </c>
      <c r="G782" s="851">
        <f>'MBG FGD'!$G$77</f>
        <v>184272987</v>
      </c>
      <c r="H782" s="851">
        <f>'MBG FGD'!$H$77</f>
        <v>11349</v>
      </c>
      <c r="I782" s="851">
        <f>'MBG FGD'!$I$77</f>
        <v>0</v>
      </c>
      <c r="J782" s="851">
        <f>'MBG FGD'!$J$77</f>
        <v>16440522</v>
      </c>
      <c r="K782" s="851">
        <f>'MBG FGD'!$K$77</f>
        <v>0</v>
      </c>
      <c r="L782" s="851">
        <f>'MBG FGD'!$L$77</f>
        <v>0</v>
      </c>
      <c r="M782" s="723">
        <f>'MBG FGD'!$M$77</f>
        <v>2462663925</v>
      </c>
      <c r="O782" s="492"/>
    </row>
    <row r="783" spans="1:15" ht="13.5" hidden="1" customHeight="1" outlineLevel="1">
      <c r="B783" s="823" t="str">
        <f>'MDA FGD'!$B$2</f>
        <v>The University of Texas M.D. Anderson Cancer Center</v>
      </c>
      <c r="C783" s="850"/>
      <c r="D783" s="851">
        <f>'MDA FGD'!$D$77</f>
        <v>4202008594</v>
      </c>
      <c r="E783" s="851">
        <f>'MDA FGD'!$E$77</f>
        <v>774603624</v>
      </c>
      <c r="F783" s="851">
        <f>'MDA FGD'!$F$77</f>
        <v>18817598</v>
      </c>
      <c r="G783" s="851">
        <f>'MDA FGD'!$G$77</f>
        <v>577363410</v>
      </c>
      <c r="H783" s="851">
        <f>'MDA FGD'!$H$77</f>
        <v>0</v>
      </c>
      <c r="I783" s="851">
        <f>'MDA FGD'!$I$77</f>
        <v>0</v>
      </c>
      <c r="J783" s="851">
        <f>'MDA FGD'!$J$77</f>
        <v>0</v>
      </c>
      <c r="K783" s="851">
        <f>'MDA FGD'!$K$77</f>
        <v>0</v>
      </c>
      <c r="L783" s="851">
        <f>'MDA FGD'!$L$77</f>
        <v>0</v>
      </c>
      <c r="M783" s="723">
        <f>'MDA FGD'!$M$77</f>
        <v>5572793226</v>
      </c>
      <c r="O783" s="492"/>
    </row>
    <row r="784" spans="1:15" ht="13.5" hidden="1" customHeight="1" outlineLevel="1">
      <c r="B784" s="823" t="str">
        <f>'RGVM FGD'!$B$2</f>
        <v>The University of Texas Rio Grande Valley Medical School (M)</v>
      </c>
      <c r="C784" s="850"/>
      <c r="D784" s="851">
        <f>'RGVM FGD'!$D$77</f>
        <v>56487917</v>
      </c>
      <c r="E784" s="851">
        <f>'RGVM FGD'!$E$77</f>
        <v>64515478</v>
      </c>
      <c r="F784" s="851">
        <f>'RGVM FGD'!$F$77</f>
        <v>1841965</v>
      </c>
      <c r="G784" s="851">
        <f>'RGVM FGD'!$G$77</f>
        <v>21342893</v>
      </c>
      <c r="H784" s="851">
        <f>'RGVM FGD'!$H$77</f>
        <v>0</v>
      </c>
      <c r="I784" s="851">
        <f>'RGVM FGD'!$I$77</f>
        <v>0</v>
      </c>
      <c r="J784" s="851">
        <f>'RGVM FGD'!$J$77</f>
        <v>823147</v>
      </c>
      <c r="K784" s="851">
        <f>'RGVM FGD'!$K$77</f>
        <v>0</v>
      </c>
      <c r="L784" s="851">
        <f>'RGVM FGD'!$L$77</f>
        <v>0</v>
      </c>
      <c r="M784" s="723">
        <f>'RGVM FGD'!$M$77</f>
        <v>145011400</v>
      </c>
      <c r="O784" s="492"/>
    </row>
    <row r="785" spans="1:15" ht="13.5" hidden="1" customHeight="1" outlineLevel="1">
      <c r="B785" s="823" t="str">
        <f>'SWM FGD'!$B$2</f>
        <v>The University of Texas Southwestern Medical Center</v>
      </c>
      <c r="C785" s="850"/>
      <c r="D785" s="851">
        <f>'SWM FGD'!$D$77</f>
        <v>213101041</v>
      </c>
      <c r="E785" s="851">
        <f>'SWM FGD'!$E$77</f>
        <v>3363907500</v>
      </c>
      <c r="F785" s="851">
        <f>'SWM FGD'!$F$77</f>
        <v>36097088</v>
      </c>
      <c r="G785" s="851">
        <f>'SWM FGD'!$G$77</f>
        <v>451731280</v>
      </c>
      <c r="H785" s="851">
        <f>'SWM FGD'!$H$77</f>
        <v>339790</v>
      </c>
      <c r="I785" s="851">
        <f>'SWM FGD'!$I$77</f>
        <v>0</v>
      </c>
      <c r="J785" s="851">
        <f>'SWM FGD'!$J$77</f>
        <v>46438749</v>
      </c>
      <c r="K785" s="851">
        <f>'SWM FGD'!$K$77</f>
        <v>0</v>
      </c>
      <c r="L785" s="851">
        <f>'SWM FGD'!$L$77</f>
        <v>0</v>
      </c>
      <c r="M785" s="723">
        <f>'SWM FGD'!$M$77</f>
        <v>4111615448</v>
      </c>
      <c r="O785" s="492"/>
    </row>
    <row r="786" spans="1:15" ht="13.5" hidden="1" customHeight="1" outlineLevel="1">
      <c r="B786" s="823" t="str">
        <f>'TAMHSC FGD'!$B$2</f>
        <v>Texas A&amp;M University System Health Science Center</v>
      </c>
      <c r="C786" s="850"/>
      <c r="D786" s="851">
        <f>'TAMHSC FGD'!$D$77</f>
        <v>181626356</v>
      </c>
      <c r="E786" s="851">
        <f>'TAMHSC FGD'!$E$77</f>
        <v>74257373</v>
      </c>
      <c r="F786" s="851">
        <f>'TAMHSC FGD'!$F$77</f>
        <v>3770625</v>
      </c>
      <c r="G786" s="851">
        <f>'TAMHSC FGD'!$G$77</f>
        <v>83569746</v>
      </c>
      <c r="H786" s="851">
        <f>'TAMHSC FGD'!$H$77</f>
        <v>7308</v>
      </c>
      <c r="I786" s="851">
        <f>'TAMHSC FGD'!$I$77</f>
        <v>0</v>
      </c>
      <c r="J786" s="851">
        <f>'TAMHSC FGD'!$J$77</f>
        <v>0</v>
      </c>
      <c r="K786" s="851">
        <f>'TAMHSC FGD'!$K$77</f>
        <v>0</v>
      </c>
      <c r="L786" s="851">
        <f>'TAMHSC FGD'!$L$77</f>
        <v>2682463</v>
      </c>
      <c r="M786" s="723">
        <f>'TAMHSC FGD'!$M$77</f>
        <v>345913871</v>
      </c>
      <c r="O786" s="492"/>
    </row>
    <row r="787" spans="1:15" ht="13.5" hidden="1" customHeight="1" outlineLevel="1">
      <c r="B787" s="823" t="str">
        <f>'THC FGD'!$B$2</f>
        <v>The University of Texas Health Science Center at Tyler</v>
      </c>
      <c r="C787" s="850"/>
      <c r="D787" s="851">
        <f>'THC FGD'!$D$77</f>
        <v>221507426</v>
      </c>
      <c r="E787" s="851">
        <f>'THC FGD'!$E$77</f>
        <v>94660918</v>
      </c>
      <c r="F787" s="851">
        <f>'THC FGD'!$F$77</f>
        <v>168402</v>
      </c>
      <c r="G787" s="851">
        <f>'THC FGD'!$G$77</f>
        <v>30243375</v>
      </c>
      <c r="H787" s="851">
        <f>'THC FGD'!$H$77</f>
        <v>0</v>
      </c>
      <c r="I787" s="851">
        <f>'THC FGD'!$I$77</f>
        <v>0</v>
      </c>
      <c r="J787" s="851">
        <f>'THC FGD'!$J$77</f>
        <v>292407</v>
      </c>
      <c r="K787" s="851">
        <f>'THC FGD'!$K$77</f>
        <v>0</v>
      </c>
      <c r="L787" s="851">
        <f>'THC FGD'!$L$77</f>
        <v>0</v>
      </c>
      <c r="M787" s="723">
        <f>'THC FGD'!$M$77</f>
        <v>346872528</v>
      </c>
      <c r="O787" s="492"/>
    </row>
    <row r="788" spans="1:15" ht="13.5" hidden="1" customHeight="1" outlineLevel="1">
      <c r="B788" s="823" t="str">
        <f>'TTUHSC FGD'!$B$2</f>
        <v>Texas Tech University Health Sciences Center</v>
      </c>
      <c r="C788" s="850"/>
      <c r="D788" s="851">
        <f>'TTUHSC FGD'!$D$77</f>
        <v>187905502</v>
      </c>
      <c r="E788" s="851">
        <f>'TTUHSC FGD'!$E$77</f>
        <v>302388452</v>
      </c>
      <c r="F788" s="851">
        <f>'TTUHSC FGD'!$F$77</f>
        <v>527758</v>
      </c>
      <c r="G788" s="851">
        <f>'TTUHSC FGD'!$G$77</f>
        <v>247513732</v>
      </c>
      <c r="H788" s="851">
        <f>'TTUHSC FGD'!$H$77</f>
        <v>95714</v>
      </c>
      <c r="I788" s="851">
        <f>'TTUHSC FGD'!$I$77</f>
        <v>0</v>
      </c>
      <c r="J788" s="851">
        <f>'TTUHSC FGD'!$J$77</f>
        <v>13334117</v>
      </c>
      <c r="K788" s="851">
        <f>'TTUHSC FGD'!$K$77</f>
        <v>0</v>
      </c>
      <c r="L788" s="851">
        <f>'TTUHSC FGD'!$L$77</f>
        <v>191185</v>
      </c>
      <c r="M788" s="723">
        <f>'TTUHSC FGD'!$M$77</f>
        <v>751956460</v>
      </c>
      <c r="O788" s="492"/>
    </row>
    <row r="789" spans="1:15" ht="13.5" hidden="1" customHeight="1" outlineLevel="1">
      <c r="B789" s="823" t="str">
        <f>'TTUHSCEP FGD'!$B$2</f>
        <v>Texas Tech University Health Sciences Center at El Paso</v>
      </c>
      <c r="C789" s="850"/>
      <c r="D789" s="851">
        <f>'TTUHSCEP FGD'!$D$77</f>
        <v>77672280</v>
      </c>
      <c r="E789" s="851">
        <f>'TTUHSCEP FGD'!$E$77</f>
        <v>164723238</v>
      </c>
      <c r="F789" s="851">
        <f>'TTUHSCEP FGD'!$F$77</f>
        <v>301408</v>
      </c>
      <c r="G789" s="851">
        <f>'TTUHSCEP FGD'!$G$77</f>
        <v>26500724</v>
      </c>
      <c r="H789" s="851">
        <f>'TTUHSCEP FGD'!$H$77</f>
        <v>146241</v>
      </c>
      <c r="I789" s="851">
        <f>'TTUHSCEP FGD'!$I$77</f>
        <v>0</v>
      </c>
      <c r="J789" s="851">
        <f>'TTUHSCEP FGD'!$J$77</f>
        <v>2016943</v>
      </c>
      <c r="K789" s="851">
        <f>'TTUHSCEP FGD'!$K$77</f>
        <v>0</v>
      </c>
      <c r="L789" s="851">
        <f>'TTUHSCEP FGD'!$L$77</f>
        <v>433564</v>
      </c>
      <c r="M789" s="723">
        <f>'TTUHSCEP FGD'!$M$77</f>
        <v>271794398</v>
      </c>
      <c r="O789" s="492"/>
    </row>
    <row r="790" spans="1:15" ht="13.5" hidden="1" customHeight="1" outlineLevel="1">
      <c r="B790" s="823" t="str">
        <f>'UHM FGD'!$B$2</f>
        <v>University of Houston Medical School (M)</v>
      </c>
      <c r="C790" s="850"/>
      <c r="D790" s="851">
        <f>'UHM FGD'!$D$77</f>
        <v>14686440</v>
      </c>
      <c r="E790" s="851">
        <f>'UHM FGD'!$E$77</f>
        <v>4414169</v>
      </c>
      <c r="F790" s="851">
        <f>'UHM FGD'!$F$77</f>
        <v>0</v>
      </c>
      <c r="G790" s="851">
        <f>'UHM FGD'!$G$77</f>
        <v>2999833</v>
      </c>
      <c r="H790" s="851">
        <f>'UHM FGD'!$H$77</f>
        <v>0</v>
      </c>
      <c r="I790" s="851">
        <f>'UHM FGD'!$I$77</f>
        <v>0</v>
      </c>
      <c r="J790" s="851">
        <f>'UHM FGD'!$J$77</f>
        <v>0</v>
      </c>
      <c r="K790" s="851">
        <f>'UHM FGD'!$K$77</f>
        <v>0</v>
      </c>
      <c r="L790" s="851">
        <f>'UHM FGD'!$L$77</f>
        <v>0</v>
      </c>
      <c r="M790" s="723">
        <f>'UHM FGD'!$M$77</f>
        <v>22100442</v>
      </c>
      <c r="O790" s="492"/>
    </row>
    <row r="791" spans="1:15" ht="13.5" hidden="1" customHeight="1" outlineLevel="1">
      <c r="B791" s="823" t="str">
        <f>'UNTHSC1 FGD'!$B$2</f>
        <v>University of North Texas Health Science Center at Fort Worth (Public Medical)</v>
      </c>
      <c r="C791" s="850"/>
      <c r="D791" s="851">
        <f>'UNTHSC1 FGD'!$D$77</f>
        <v>124847265</v>
      </c>
      <c r="E791" s="851">
        <f>'UNTHSC1 FGD'!$E$77</f>
        <v>90020929</v>
      </c>
      <c r="F791" s="851">
        <f>'UNTHSC1 FGD'!$F$77</f>
        <v>192108</v>
      </c>
      <c r="G791" s="851">
        <f>'UNTHSC1 FGD'!$G$77</f>
        <v>46929423</v>
      </c>
      <c r="H791" s="851">
        <f>'UNTHSC1 FGD'!$H$77</f>
        <v>-75617</v>
      </c>
      <c r="I791" s="851">
        <f>'UNTHSC1 FGD'!$I$77</f>
        <v>107653</v>
      </c>
      <c r="J791" s="851">
        <f>'UNTHSC1 FGD'!$J$77</f>
        <v>209</v>
      </c>
      <c r="K791" s="851">
        <f>'UNTHSC1 FGD'!$K$77</f>
        <v>0</v>
      </c>
      <c r="L791" s="851">
        <f>'UNTHSC1 FGD'!$L$77</f>
        <v>-7465</v>
      </c>
      <c r="M791" s="723">
        <f>'UNTHSC1 FGD'!$M$77</f>
        <v>262014505</v>
      </c>
      <c r="O791" s="492"/>
    </row>
    <row r="792" spans="1:15" collapsed="1">
      <c r="A792" s="460">
        <v>60</v>
      </c>
      <c r="B792" s="858" t="s">
        <v>189</v>
      </c>
      <c r="C792" s="858"/>
      <c r="D792" s="769">
        <f t="shared" ref="D792:M792" si="54">SUM(D779:D791)</f>
        <v>6923677543</v>
      </c>
      <c r="E792" s="769">
        <f t="shared" si="54"/>
        <v>8282595871</v>
      </c>
      <c r="F792" s="769">
        <f t="shared" si="54"/>
        <v>94439709</v>
      </c>
      <c r="G792" s="769">
        <f t="shared" si="54"/>
        <v>2313053956</v>
      </c>
      <c r="H792" s="769">
        <f t="shared" si="54"/>
        <v>1396893</v>
      </c>
      <c r="I792" s="769">
        <f t="shared" si="54"/>
        <v>107653</v>
      </c>
      <c r="J792" s="769">
        <f t="shared" si="54"/>
        <v>84252742</v>
      </c>
      <c r="K792" s="769">
        <f t="shared" si="54"/>
        <v>0</v>
      </c>
      <c r="L792" s="769">
        <f t="shared" si="54"/>
        <v>3299747</v>
      </c>
      <c r="M792" s="769">
        <f t="shared" si="54"/>
        <v>17702824114</v>
      </c>
      <c r="O792" s="322" t="str">
        <f>IF(M792&lt;&gt;M1122,"Error","OK")</f>
        <v>OK</v>
      </c>
    </row>
    <row r="793" spans="1:15">
      <c r="A793" s="460">
        <v>61</v>
      </c>
      <c r="D793" s="723"/>
      <c r="E793" s="723"/>
      <c r="F793" s="723"/>
      <c r="G793" s="723"/>
      <c r="H793" s="723"/>
      <c r="I793" s="723"/>
      <c r="J793" s="723"/>
      <c r="K793" s="723"/>
      <c r="L793" s="723"/>
      <c r="M793" s="723"/>
    </row>
    <row r="794" spans="1:15">
      <c r="A794" s="460">
        <v>62</v>
      </c>
      <c r="B794" s="771" t="s">
        <v>473</v>
      </c>
      <c r="C794" s="771"/>
      <c r="D794" s="723"/>
      <c r="E794" s="723"/>
      <c r="F794" s="723"/>
      <c r="G794" s="723"/>
      <c r="H794" s="723"/>
      <c r="I794" s="723"/>
      <c r="J794" s="723"/>
      <c r="K794" s="723"/>
      <c r="L794" s="723"/>
      <c r="M794" s="723"/>
    </row>
    <row r="795" spans="1:15" hidden="1" outlineLevel="1">
      <c r="B795" s="823" t="str">
        <f>'AUSM FGD'!$B$2</f>
        <v>The University of Texas at Austin Medical School (M)</v>
      </c>
      <c r="C795" s="771"/>
      <c r="D795" s="723">
        <f>'AUSM FGD'!$D$80</f>
        <v>0</v>
      </c>
      <c r="E795" s="723">
        <f>'AUSM FGD'!$E$80</f>
        <v>0</v>
      </c>
      <c r="F795" s="723">
        <f>'AUSM FGD'!$F$80</f>
        <v>0</v>
      </c>
      <c r="G795" s="723">
        <f>'AUSM FGD'!$G$80</f>
        <v>0</v>
      </c>
      <c r="H795" s="723">
        <f>'AUSM FGD'!$H$80</f>
        <v>0</v>
      </c>
      <c r="I795" s="723">
        <f>'AUSM FGD'!$I$80</f>
        <v>0</v>
      </c>
      <c r="J795" s="723">
        <f>'AUSM FGD'!$J$80</f>
        <v>-4051203</v>
      </c>
      <c r="K795" s="723">
        <f>'AUSM FGD'!$K$80</f>
        <v>0</v>
      </c>
      <c r="L795" s="723">
        <f>'AUSM FGD'!$L$80</f>
        <v>0</v>
      </c>
      <c r="M795" s="723">
        <f>'AUSM FGD'!$M$80</f>
        <v>-4051203</v>
      </c>
    </row>
    <row r="796" spans="1:15" hidden="1" outlineLevel="1">
      <c r="B796" s="823" t="str">
        <f>'HSH FGD'!$B$2</f>
        <v>The University of Texas Health Science Center at Houston</v>
      </c>
      <c r="C796" s="771"/>
      <c r="D796" s="723">
        <f>'HSH FGD'!$D$80</f>
        <v>0</v>
      </c>
      <c r="E796" s="723">
        <f>'HSH FGD'!$E$80</f>
        <v>0</v>
      </c>
      <c r="F796" s="723">
        <f>'HSH FGD'!$F$80</f>
        <v>0</v>
      </c>
      <c r="G796" s="723">
        <f>'HSH FGD'!$G$80</f>
        <v>0</v>
      </c>
      <c r="H796" s="723">
        <f>'HSH FGD'!$H$80</f>
        <v>0</v>
      </c>
      <c r="I796" s="723">
        <f>'HSH FGD'!$I$80</f>
        <v>0</v>
      </c>
      <c r="J796" s="723">
        <f>'HSH FGD'!$J$80</f>
        <v>-34540001</v>
      </c>
      <c r="K796" s="723">
        <f>'HSH FGD'!$K$80</f>
        <v>0</v>
      </c>
      <c r="L796" s="723">
        <f>'HSH FGD'!$L$80</f>
        <v>0</v>
      </c>
      <c r="M796" s="723">
        <f>'HSH FGD'!$M$80</f>
        <v>-34540001</v>
      </c>
    </row>
    <row r="797" spans="1:15" hidden="1" outlineLevel="1">
      <c r="B797" s="823" t="str">
        <f>'HSSA FGD'!$B$2</f>
        <v>The University of Texas Health Science Center at San Antonio</v>
      </c>
      <c r="C797" s="771"/>
      <c r="D797" s="723">
        <f>'HSSA FGD'!$D$80</f>
        <v>0</v>
      </c>
      <c r="E797" s="723">
        <f>'HSSA FGD'!$E$80</f>
        <v>0</v>
      </c>
      <c r="F797" s="723">
        <f>'HSSA FGD'!$F$80</f>
        <v>0</v>
      </c>
      <c r="G797" s="723">
        <f>'HSSA FGD'!$G$80</f>
        <v>0</v>
      </c>
      <c r="H797" s="723">
        <f>'HSSA FGD'!$H$80</f>
        <v>0</v>
      </c>
      <c r="I797" s="723">
        <f>'HSSA FGD'!$I$80</f>
        <v>0</v>
      </c>
      <c r="J797" s="723">
        <f>'HSSA FGD'!$J$80</f>
        <v>-124934051</v>
      </c>
      <c r="K797" s="723">
        <f>'HSSA FGD'!$K$80</f>
        <v>0</v>
      </c>
      <c r="L797" s="723">
        <f>'HSSA FGD'!$L$80</f>
        <v>0</v>
      </c>
      <c r="M797" s="723">
        <f>'HSSA FGD'!$M$80</f>
        <v>-124934051</v>
      </c>
    </row>
    <row r="798" spans="1:15" hidden="1" outlineLevel="1">
      <c r="B798" s="823" t="str">
        <f>'MBG FGD'!$B$2</f>
        <v>The University of Texas Medical Branch at Galveston</v>
      </c>
      <c r="C798" s="771"/>
      <c r="D798" s="723">
        <f>'MBG FGD'!$D$80</f>
        <v>0</v>
      </c>
      <c r="E798" s="723">
        <f>'MBG FGD'!$E$80</f>
        <v>0</v>
      </c>
      <c r="F798" s="723">
        <f>'MBG FGD'!$F$80</f>
        <v>0</v>
      </c>
      <c r="G798" s="723">
        <f>'MBG FGD'!$G$80</f>
        <v>0</v>
      </c>
      <c r="H798" s="723">
        <f>'MBG FGD'!$H$80</f>
        <v>0</v>
      </c>
      <c r="I798" s="723">
        <f>'MBG FGD'!$I$80</f>
        <v>0</v>
      </c>
      <c r="J798" s="723">
        <f>'MBG FGD'!$J$80</f>
        <v>-123650106</v>
      </c>
      <c r="K798" s="723">
        <f>'MBG FGD'!$K$80</f>
        <v>0</v>
      </c>
      <c r="L798" s="723">
        <f>'MBG FGD'!$L$80</f>
        <v>0</v>
      </c>
      <c r="M798" s="723">
        <f>'MBG FGD'!$M$80</f>
        <v>-123650106</v>
      </c>
    </row>
    <row r="799" spans="1:15" hidden="1" outlineLevel="1">
      <c r="B799" s="823" t="str">
        <f>'MDA FGD'!$B$2</f>
        <v>The University of Texas M.D. Anderson Cancer Center</v>
      </c>
      <c r="C799" s="771"/>
      <c r="D799" s="723">
        <f>'MDA FGD'!$D$80</f>
        <v>0</v>
      </c>
      <c r="E799" s="723">
        <f>'MDA FGD'!$E$80</f>
        <v>0</v>
      </c>
      <c r="F799" s="723">
        <f>'MDA FGD'!$F$80</f>
        <v>0</v>
      </c>
      <c r="G799" s="723">
        <f>'MDA FGD'!$G$80</f>
        <v>0</v>
      </c>
      <c r="H799" s="723">
        <f>'MDA FGD'!$H$80</f>
        <v>0</v>
      </c>
      <c r="I799" s="723">
        <f>'MDA FGD'!$I$80</f>
        <v>0</v>
      </c>
      <c r="J799" s="723">
        <f>'MDA FGD'!$J$80</f>
        <v>-230791528</v>
      </c>
      <c r="K799" s="723">
        <f>'MDA FGD'!$K$80</f>
        <v>0</v>
      </c>
      <c r="L799" s="723">
        <f>'MDA FGD'!$L$80</f>
        <v>0</v>
      </c>
      <c r="M799" s="723">
        <f>'MDA FGD'!$M$80</f>
        <v>-230791528</v>
      </c>
    </row>
    <row r="800" spans="1:15" hidden="1" outlineLevel="1">
      <c r="B800" s="823" t="str">
        <f>'RGVM FGD'!$B$2</f>
        <v>The University of Texas Rio Grande Valley Medical School (M)</v>
      </c>
      <c r="C800" s="771"/>
      <c r="D800" s="723">
        <f>'RGVM FGD'!$D$80</f>
        <v>0</v>
      </c>
      <c r="E800" s="723">
        <f>'RGVM FGD'!$E$80</f>
        <v>0</v>
      </c>
      <c r="F800" s="723">
        <f>'RGVM FGD'!$F$80</f>
        <v>0</v>
      </c>
      <c r="G800" s="723">
        <f>'RGVM FGD'!$G$80</f>
        <v>0</v>
      </c>
      <c r="H800" s="723">
        <f>'RGVM FGD'!$H$80</f>
        <v>0</v>
      </c>
      <c r="I800" s="723">
        <f>'RGVM FGD'!$I$80</f>
        <v>0</v>
      </c>
      <c r="J800" s="723">
        <f>'RGVM FGD'!$J$80</f>
        <v>-18868727</v>
      </c>
      <c r="K800" s="723">
        <f>'RGVM FGD'!$K$80</f>
        <v>0</v>
      </c>
      <c r="L800" s="723">
        <f>'RGVM FGD'!$L$80</f>
        <v>0</v>
      </c>
      <c r="M800" s="723">
        <f>'RGVM FGD'!$M$80</f>
        <v>-18868727</v>
      </c>
    </row>
    <row r="801" spans="1:13" hidden="1" outlineLevel="1">
      <c r="B801" s="823" t="str">
        <f>'SWM FGD'!$B$2</f>
        <v>The University of Texas Southwestern Medical Center</v>
      </c>
      <c r="C801" s="771"/>
      <c r="D801" s="723">
        <f>'SWM FGD'!$D$80</f>
        <v>0</v>
      </c>
      <c r="E801" s="723">
        <f>'SWM FGD'!$E$80</f>
        <v>0</v>
      </c>
      <c r="F801" s="723">
        <f>'SWM FGD'!$F$80</f>
        <v>0</v>
      </c>
      <c r="G801" s="723">
        <f>'SWM FGD'!$G$80</f>
        <v>0</v>
      </c>
      <c r="H801" s="723">
        <f>'SWM FGD'!$H$80</f>
        <v>0</v>
      </c>
      <c r="I801" s="723">
        <f>'SWM FGD'!$I$80</f>
        <v>0</v>
      </c>
      <c r="J801" s="723">
        <f>'SWM FGD'!$J$80</f>
        <v>-373442574</v>
      </c>
      <c r="K801" s="723">
        <f>'SWM FGD'!$K$80</f>
        <v>0</v>
      </c>
      <c r="L801" s="723">
        <f>'SWM FGD'!$L$80</f>
        <v>0</v>
      </c>
      <c r="M801" s="723">
        <f>'SWM FGD'!$M$80</f>
        <v>-373442574</v>
      </c>
    </row>
    <row r="802" spans="1:13" hidden="1" outlineLevel="1">
      <c r="B802" s="823" t="str">
        <f>'TAMHSC FGD'!$B$2</f>
        <v>Texas A&amp;M University System Health Science Center</v>
      </c>
      <c r="C802" s="771"/>
      <c r="D802" s="723">
        <f>'TAMHSC FGD'!$D$80</f>
        <v>0</v>
      </c>
      <c r="E802" s="723">
        <f>'TAMHSC FGD'!$E$80</f>
        <v>0</v>
      </c>
      <c r="F802" s="723">
        <f>'TAMHSC FGD'!$F$80</f>
        <v>0</v>
      </c>
      <c r="G802" s="723">
        <f>'TAMHSC FGD'!$G$80</f>
        <v>0</v>
      </c>
      <c r="H802" s="723">
        <f>'TAMHSC FGD'!$H$80</f>
        <v>0</v>
      </c>
      <c r="I802" s="723">
        <f>'TAMHSC FGD'!$I$80</f>
        <v>0</v>
      </c>
      <c r="J802" s="723">
        <f>'TAMHSC FGD'!$J$80</f>
        <v>0</v>
      </c>
      <c r="K802" s="723">
        <f>'TAMHSC FGD'!$K$80</f>
        <v>0</v>
      </c>
      <c r="L802" s="723">
        <f>'TAMHSC FGD'!$L$80</f>
        <v>0</v>
      </c>
      <c r="M802" s="723">
        <f>'TAMHSC FGD'!$M$80</f>
        <v>0</v>
      </c>
    </row>
    <row r="803" spans="1:13" hidden="1" outlineLevel="1">
      <c r="B803" s="823" t="str">
        <f>'THC FGD'!$B$2</f>
        <v>The University of Texas Health Science Center at Tyler</v>
      </c>
      <c r="C803" s="771"/>
      <c r="D803" s="723">
        <f>'THC FGD'!$D$80</f>
        <v>0</v>
      </c>
      <c r="E803" s="723">
        <f>'THC FGD'!$E$80</f>
        <v>0</v>
      </c>
      <c r="F803" s="723">
        <f>'THC FGD'!$F$80</f>
        <v>0</v>
      </c>
      <c r="G803" s="723">
        <f>'THC FGD'!$G$80</f>
        <v>0</v>
      </c>
      <c r="H803" s="723">
        <f>'THC FGD'!$H$80</f>
        <v>0</v>
      </c>
      <c r="I803" s="723">
        <f>'THC FGD'!$I$80</f>
        <v>0</v>
      </c>
      <c r="J803" s="723">
        <f>'THC FGD'!$J$80</f>
        <v>-15885149</v>
      </c>
      <c r="K803" s="723">
        <f>'THC FGD'!$K$80</f>
        <v>0</v>
      </c>
      <c r="L803" s="723">
        <f>'THC FGD'!$L$80</f>
        <v>0</v>
      </c>
      <c r="M803" s="723">
        <f>'THC FGD'!$M$80</f>
        <v>-15885149</v>
      </c>
    </row>
    <row r="804" spans="1:13" hidden="1" outlineLevel="1">
      <c r="B804" s="823" t="str">
        <f>'TTUHSC FGD'!$B$2</f>
        <v>Texas Tech University Health Sciences Center</v>
      </c>
      <c r="C804" s="771"/>
      <c r="D804" s="723">
        <f>'TTUHSC FGD'!$D$80</f>
        <v>0</v>
      </c>
      <c r="E804" s="723">
        <f>'TTUHSC FGD'!$E$80</f>
        <v>0</v>
      </c>
      <c r="F804" s="723">
        <f>'TTUHSC FGD'!$F$80</f>
        <v>0</v>
      </c>
      <c r="G804" s="723">
        <f>'TTUHSC FGD'!$G$80</f>
        <v>0</v>
      </c>
      <c r="H804" s="723">
        <f>'TTUHSC FGD'!$H$80</f>
        <v>0</v>
      </c>
      <c r="I804" s="723">
        <f>'TTUHSC FGD'!$I$80</f>
        <v>0</v>
      </c>
      <c r="J804" s="723">
        <f>'TTUHSC FGD'!$J$80</f>
        <v>-24024565</v>
      </c>
      <c r="K804" s="723">
        <f>'TTUHSC FGD'!$K$80</f>
        <v>0</v>
      </c>
      <c r="L804" s="723">
        <f>'TTUHSC FGD'!$L$80</f>
        <v>0</v>
      </c>
      <c r="M804" s="723">
        <f>'TTUHSC FGD'!$M$80</f>
        <v>-24024565</v>
      </c>
    </row>
    <row r="805" spans="1:13" hidden="1" outlineLevel="1">
      <c r="B805" s="823" t="str">
        <f>'TTUHSCEP FGD'!$B$2</f>
        <v>Texas Tech University Health Sciences Center at El Paso</v>
      </c>
      <c r="C805" s="771"/>
      <c r="D805" s="723">
        <f>'TTUHSCEP FGD'!$D$80</f>
        <v>0</v>
      </c>
      <c r="E805" s="723">
        <f>'TTUHSCEP FGD'!$E$80</f>
        <v>0</v>
      </c>
      <c r="F805" s="723">
        <f>'TTUHSCEP FGD'!$F$80</f>
        <v>0</v>
      </c>
      <c r="G805" s="723">
        <f>'TTUHSCEP FGD'!$G$80</f>
        <v>0</v>
      </c>
      <c r="H805" s="723">
        <f>'TTUHSCEP FGD'!$H$80</f>
        <v>0</v>
      </c>
      <c r="I805" s="723">
        <f>'TTUHSCEP FGD'!$I$80</f>
        <v>0</v>
      </c>
      <c r="J805" s="723">
        <f>'TTUHSCEP FGD'!$J$80</f>
        <v>-2447978</v>
      </c>
      <c r="K805" s="723">
        <f>'TTUHSCEP FGD'!$K$80</f>
        <v>0</v>
      </c>
      <c r="L805" s="723">
        <f>'TTUHSCEP FGD'!$L$80</f>
        <v>0</v>
      </c>
      <c r="M805" s="723">
        <f>'TTUHSCEP FGD'!$M$80</f>
        <v>-2447978</v>
      </c>
    </row>
    <row r="806" spans="1:13" hidden="1" outlineLevel="1">
      <c r="B806" s="823" t="str">
        <f>'UHM FGD'!$B$2</f>
        <v>University of Houston Medical School (M)</v>
      </c>
      <c r="C806" s="771"/>
      <c r="D806" s="723">
        <f>'UHM FGD'!$D$80</f>
        <v>0</v>
      </c>
      <c r="E806" s="723">
        <f>'UHM FGD'!$E$80</f>
        <v>0</v>
      </c>
      <c r="F806" s="723">
        <f>'UHM FGD'!$F$80</f>
        <v>0</v>
      </c>
      <c r="G806" s="723">
        <f>'UHM FGD'!$G$80</f>
        <v>0</v>
      </c>
      <c r="H806" s="723">
        <f>'UHM FGD'!$H$80</f>
        <v>0</v>
      </c>
      <c r="I806" s="723">
        <f>'UHM FGD'!$I$80</f>
        <v>0</v>
      </c>
      <c r="J806" s="723">
        <f>'UHM FGD'!$J$80</f>
        <v>0</v>
      </c>
      <c r="K806" s="723">
        <f>'UHM FGD'!$K$80</f>
        <v>0</v>
      </c>
      <c r="L806" s="723">
        <f>'UHM FGD'!$L$80</f>
        <v>0</v>
      </c>
      <c r="M806" s="723">
        <f>'UHM FGD'!$M$80</f>
        <v>0</v>
      </c>
    </row>
    <row r="807" spans="1:13" hidden="1" outlineLevel="1">
      <c r="B807" s="823" t="str">
        <f>'UNTHSC1 FGD'!$B$2</f>
        <v>University of North Texas Health Science Center at Fort Worth (Public Medical)</v>
      </c>
      <c r="C807" s="771"/>
      <c r="D807" s="723">
        <f>'UNTHSC1 FGD'!$D$80</f>
        <v>0</v>
      </c>
      <c r="E807" s="723">
        <f>'UNTHSC1 FGD'!$E$80</f>
        <v>0</v>
      </c>
      <c r="F807" s="723">
        <f>'UNTHSC1 FGD'!$F$80</f>
        <v>0</v>
      </c>
      <c r="G807" s="723">
        <f>'UNTHSC1 FGD'!$G$80</f>
        <v>0</v>
      </c>
      <c r="H807" s="723">
        <f>'UNTHSC1 FGD'!$H$80</f>
        <v>0</v>
      </c>
      <c r="I807" s="723">
        <f>'UNTHSC1 FGD'!$I$80</f>
        <v>0</v>
      </c>
      <c r="J807" s="723">
        <f>'UNTHSC1 FGD'!$J$80</f>
        <v>0</v>
      </c>
      <c r="K807" s="723">
        <f>'UNTHSC1 FGD'!$K$80</f>
        <v>0</v>
      </c>
      <c r="L807" s="723">
        <f>'UNTHSC1 FGD'!$L$80</f>
        <v>-14506248</v>
      </c>
      <c r="M807" s="723">
        <f>'UNTHSC1 FGD'!$M$80</f>
        <v>-14506248</v>
      </c>
    </row>
    <row r="808" spans="1:13" collapsed="1">
      <c r="A808" s="460">
        <v>63</v>
      </c>
      <c r="B808" s="752" t="s">
        <v>604</v>
      </c>
      <c r="D808" s="762">
        <f t="shared" ref="D808:M808" si="55">SUM(D795:D807)</f>
        <v>0</v>
      </c>
      <c r="E808" s="762">
        <f t="shared" si="55"/>
        <v>0</v>
      </c>
      <c r="F808" s="762">
        <f t="shared" si="55"/>
        <v>0</v>
      </c>
      <c r="G808" s="762">
        <f t="shared" si="55"/>
        <v>0</v>
      </c>
      <c r="H808" s="762">
        <f t="shared" si="55"/>
        <v>0</v>
      </c>
      <c r="I808" s="762">
        <f t="shared" si="55"/>
        <v>0</v>
      </c>
      <c r="J808" s="762">
        <f t="shared" si="55"/>
        <v>-952635882</v>
      </c>
      <c r="K808" s="762">
        <f t="shared" si="55"/>
        <v>0</v>
      </c>
      <c r="L808" s="762">
        <f t="shared" si="55"/>
        <v>-14506248</v>
      </c>
      <c r="M808" s="723">
        <f t="shared" si="55"/>
        <v>-967142130</v>
      </c>
    </row>
    <row r="809" spans="1:13" hidden="1" outlineLevel="1">
      <c r="B809" s="823" t="str">
        <f>'AUSM FGD'!$B$2</f>
        <v>The University of Texas at Austin Medical School (M)</v>
      </c>
      <c r="D809" s="762">
        <f>'AUSM FGD'!$D$81</f>
        <v>-33312</v>
      </c>
      <c r="E809" s="762">
        <f>'AUSM FGD'!$E$81</f>
        <v>8745356</v>
      </c>
      <c r="F809" s="762">
        <f>'AUSM FGD'!$F$81</f>
        <v>0</v>
      </c>
      <c r="G809" s="762">
        <f>'AUSM FGD'!$G$81</f>
        <v>211059</v>
      </c>
      <c r="H809" s="762">
        <f>'AUSM FGD'!$H$81</f>
        <v>0</v>
      </c>
      <c r="I809" s="762">
        <f>'AUSM FGD'!$I$81</f>
        <v>0</v>
      </c>
      <c r="J809" s="762">
        <f>'AUSM FGD'!$J$81</f>
        <v>-15000</v>
      </c>
      <c r="K809" s="762">
        <f>'AUSM FGD'!$K$81</f>
        <v>0</v>
      </c>
      <c r="L809" s="762">
        <f>'AUSM FGD'!$L$81</f>
        <v>0</v>
      </c>
      <c r="M809" s="723">
        <f>'AUSM FGD'!$M$81</f>
        <v>8908103</v>
      </c>
    </row>
    <row r="810" spans="1:13" hidden="1" outlineLevel="1">
      <c r="B810" s="823" t="str">
        <f>'HSH FGD'!$B$2</f>
        <v>The University of Texas Health Science Center at Houston</v>
      </c>
      <c r="D810" s="762">
        <f>'HSH FGD'!$D$81</f>
        <v>-1321405</v>
      </c>
      <c r="E810" s="762">
        <f>'HSH FGD'!$E$81</f>
        <v>-132918637</v>
      </c>
      <c r="F810" s="762">
        <f>'HSH FGD'!$F$81</f>
        <v>7400913</v>
      </c>
      <c r="G810" s="762">
        <f>'HSH FGD'!$G$81</f>
        <v>-8146137</v>
      </c>
      <c r="H810" s="762">
        <f>'HSH FGD'!$H$81</f>
        <v>-85571</v>
      </c>
      <c r="I810" s="762">
        <f>'HSH FGD'!$I$81</f>
        <v>96165752</v>
      </c>
      <c r="J810" s="762">
        <f>'HSH FGD'!$J$81</f>
        <v>18259473</v>
      </c>
      <c r="K810" s="762">
        <f>'HSH FGD'!$K$81</f>
        <v>0</v>
      </c>
      <c r="L810" s="762">
        <f>'HSH FGD'!$L$81</f>
        <v>23648990</v>
      </c>
      <c r="M810" s="723">
        <f>'HSH FGD'!$M$81</f>
        <v>3003378</v>
      </c>
    </row>
    <row r="811" spans="1:13" hidden="1" outlineLevel="1">
      <c r="B811" s="823" t="str">
        <f>'HSSA FGD'!$B$2</f>
        <v>The University of Texas Health Science Center at San Antonio</v>
      </c>
      <c r="D811" s="762">
        <f>'HSSA FGD'!$D$81</f>
        <v>25915030</v>
      </c>
      <c r="E811" s="762">
        <f>'HSSA FGD'!$E$81</f>
        <v>-36126447</v>
      </c>
      <c r="F811" s="762">
        <f>'HSSA FGD'!$F$81</f>
        <v>-51900</v>
      </c>
      <c r="G811" s="762">
        <f>'HSSA FGD'!$G$81</f>
        <v>-10319227</v>
      </c>
      <c r="H811" s="762">
        <f>'HSSA FGD'!$H$81</f>
        <v>3512</v>
      </c>
      <c r="I811" s="762">
        <f>'HSSA FGD'!$I$81</f>
        <v>6169679</v>
      </c>
      <c r="J811" s="762">
        <f>'HSSA FGD'!$J$81</f>
        <v>12806758</v>
      </c>
      <c r="K811" s="762">
        <f>'HSSA FGD'!$K$81</f>
        <v>0</v>
      </c>
      <c r="L811" s="762">
        <f>'HSSA FGD'!$L$81</f>
        <v>-4169523</v>
      </c>
      <c r="M811" s="723">
        <f>'HSSA FGD'!$M$81</f>
        <v>-5772118</v>
      </c>
    </row>
    <row r="812" spans="1:13" hidden="1" outlineLevel="1">
      <c r="B812" s="823" t="str">
        <f>'MBG FGD'!$B$2</f>
        <v>The University of Texas Medical Branch at Galveston</v>
      </c>
      <c r="D812" s="762">
        <f>'MBG FGD'!$D$81</f>
        <v>-142259564</v>
      </c>
      <c r="E812" s="762">
        <f>'MBG FGD'!$E$81</f>
        <v>44740132</v>
      </c>
      <c r="F812" s="762">
        <f>'MBG FGD'!$F$81</f>
        <v>0</v>
      </c>
      <c r="G812" s="762">
        <f>'MBG FGD'!$G$81</f>
        <v>-11043564</v>
      </c>
      <c r="H812" s="762">
        <f>'MBG FGD'!$H$81</f>
        <v>-34701</v>
      </c>
      <c r="I812" s="762">
        <f>'MBG FGD'!$I$81</f>
        <v>16896231</v>
      </c>
      <c r="J812" s="762">
        <f>'MBG FGD'!$J$81</f>
        <v>66179881</v>
      </c>
      <c r="K812" s="762">
        <f>'MBG FGD'!$K$81</f>
        <v>0</v>
      </c>
      <c r="L812" s="762">
        <f>'MBG FGD'!$L$81</f>
        <v>26294851</v>
      </c>
      <c r="M812" s="723">
        <f>'MBG FGD'!$M$81</f>
        <v>773266</v>
      </c>
    </row>
    <row r="813" spans="1:13" hidden="1" outlineLevel="1">
      <c r="B813" s="823" t="str">
        <f>'MDA FGD'!$B$2</f>
        <v>The University of Texas M.D. Anderson Cancer Center</v>
      </c>
      <c r="D813" s="762">
        <f>'MDA FGD'!$D$81</f>
        <v>-650935488</v>
      </c>
      <c r="E813" s="762">
        <f>'MDA FGD'!$E$81</f>
        <v>-8280647</v>
      </c>
      <c r="F813" s="762">
        <f>'MDA FGD'!$F$81</f>
        <v>-32984</v>
      </c>
      <c r="G813" s="762">
        <f>'MDA FGD'!$G$81</f>
        <v>812940</v>
      </c>
      <c r="H813" s="762">
        <f>'MDA FGD'!$H$81</f>
        <v>0</v>
      </c>
      <c r="I813" s="762">
        <f>'MDA FGD'!$I$81</f>
        <v>8521448</v>
      </c>
      <c r="J813" s="762">
        <f>'MDA FGD'!$J$81</f>
        <v>652761186</v>
      </c>
      <c r="K813" s="762">
        <f>'MDA FGD'!$K$81</f>
        <v>0</v>
      </c>
      <c r="L813" s="762">
        <f>'MDA FGD'!$L$81</f>
        <v>23979651</v>
      </c>
      <c r="M813" s="723">
        <f>'MDA FGD'!$M$81</f>
        <v>26826106</v>
      </c>
    </row>
    <row r="814" spans="1:13" hidden="1" outlineLevel="1">
      <c r="B814" s="823" t="str">
        <f>'RGVM FGD'!$B$2</f>
        <v>The University of Texas Rio Grande Valley Medical School (M)</v>
      </c>
      <c r="D814" s="762">
        <f>'RGVM FGD'!$D$81</f>
        <v>4629480</v>
      </c>
      <c r="E814" s="762">
        <f>'RGVM FGD'!$E$81</f>
        <v>1927138</v>
      </c>
      <c r="F814" s="762">
        <f>'RGVM FGD'!$F$81</f>
        <v>1783940</v>
      </c>
      <c r="G814" s="762">
        <f>'RGVM FGD'!$G$81</f>
        <v>-622062</v>
      </c>
      <c r="H814" s="762">
        <f>'RGVM FGD'!$H$81</f>
        <v>0</v>
      </c>
      <c r="I814" s="762">
        <f>'RGVM FGD'!$I$81</f>
        <v>2625</v>
      </c>
      <c r="J814" s="762">
        <f>'RGVM FGD'!$J$81</f>
        <v>136671</v>
      </c>
      <c r="K814" s="762">
        <f>'RGVM FGD'!$K$81</f>
        <v>0</v>
      </c>
      <c r="L814" s="762">
        <f>'RGVM FGD'!$L$81</f>
        <v>2934775</v>
      </c>
      <c r="M814" s="723">
        <f>'RGVM FGD'!$M$81</f>
        <v>10792567</v>
      </c>
    </row>
    <row r="815" spans="1:13" hidden="1" outlineLevel="1">
      <c r="B815" s="823" t="str">
        <f>'SWM FGD'!$B$2</f>
        <v>The University of Texas Southwestern Medical Center</v>
      </c>
      <c r="D815" s="762">
        <f>'SWM FGD'!$D$81</f>
        <v>6342454</v>
      </c>
      <c r="E815" s="762">
        <f>'SWM FGD'!$E$81</f>
        <v>62567995</v>
      </c>
      <c r="F815" s="762">
        <f>'SWM FGD'!$F$81</f>
        <v>9613134</v>
      </c>
      <c r="G815" s="762">
        <f>'SWM FGD'!$G$81</f>
        <v>-405307972</v>
      </c>
      <c r="H815" s="762">
        <f>'SWM FGD'!$H$81</f>
        <v>-200000</v>
      </c>
      <c r="I815" s="762">
        <f>'SWM FGD'!$I$81</f>
        <v>50991012</v>
      </c>
      <c r="J815" s="762">
        <f>'SWM FGD'!$J$81</f>
        <v>265493558</v>
      </c>
      <c r="K815" s="762">
        <f>'SWM FGD'!$K$81</f>
        <v>0</v>
      </c>
      <c r="L815" s="762">
        <f>'SWM FGD'!$L$81</f>
        <v>13169450</v>
      </c>
      <c r="M815" s="723">
        <f>'SWM FGD'!$M$81</f>
        <v>2669631</v>
      </c>
    </row>
    <row r="816" spans="1:13" hidden="1" outlineLevel="1">
      <c r="B816" s="823" t="str">
        <f>'TAMHSC FGD'!$B$2</f>
        <v>Texas A&amp;M University System Health Science Center</v>
      </c>
      <c r="D816" s="762">
        <f>'TAMHSC FGD'!$D$81</f>
        <v>-4214</v>
      </c>
      <c r="E816" s="762">
        <f>'TAMHSC FGD'!$E$81</f>
        <v>20557776</v>
      </c>
      <c r="F816" s="762">
        <f>'TAMHSC FGD'!$F$81</f>
        <v>204499</v>
      </c>
      <c r="G816" s="762">
        <f>'TAMHSC FGD'!$G$81</f>
        <v>-2155927</v>
      </c>
      <c r="H816" s="762">
        <f>'TAMHSC FGD'!$H$81</f>
        <v>-21740</v>
      </c>
      <c r="I816" s="762">
        <f>'TAMHSC FGD'!$I$81</f>
        <v>70452</v>
      </c>
      <c r="J816" s="762">
        <f>'TAMHSC FGD'!$J$81</f>
        <v>214414</v>
      </c>
      <c r="K816" s="762">
        <f>'TAMHSC FGD'!$K$81</f>
        <v>0</v>
      </c>
      <c r="L816" s="762">
        <f>'TAMHSC FGD'!$L$81</f>
        <v>0</v>
      </c>
      <c r="M816" s="723">
        <f>'TAMHSC FGD'!$M$81</f>
        <v>18865260</v>
      </c>
    </row>
    <row r="817" spans="1:13" hidden="1" outlineLevel="1">
      <c r="B817" s="823" t="str">
        <f>'THC FGD'!$B$2</f>
        <v>The University of Texas Health Science Center at Tyler</v>
      </c>
      <c r="D817" s="762">
        <f>'THC FGD'!$D$81</f>
        <v>15499730</v>
      </c>
      <c r="E817" s="762">
        <f>'THC FGD'!$E$81</f>
        <v>-18090295</v>
      </c>
      <c r="F817" s="762">
        <f>'THC FGD'!$F$81</f>
        <v>565</v>
      </c>
      <c r="G817" s="762">
        <f>'THC FGD'!$G$81</f>
        <v>-1485318</v>
      </c>
      <c r="H817" s="762">
        <f>'THC FGD'!$H$81</f>
        <v>0</v>
      </c>
      <c r="I817" s="762">
        <f>'THC FGD'!$I$81</f>
        <v>235628</v>
      </c>
      <c r="J817" s="762">
        <f>'THC FGD'!$J$81</f>
        <v>4686305</v>
      </c>
      <c r="K817" s="762">
        <f>'THC FGD'!$K$81</f>
        <v>0</v>
      </c>
      <c r="L817" s="762">
        <f>'THC FGD'!$L$81</f>
        <v>1249040</v>
      </c>
      <c r="M817" s="723">
        <f>'THC FGD'!$M$81</f>
        <v>2095655</v>
      </c>
    </row>
    <row r="818" spans="1:13" hidden="1" outlineLevel="1">
      <c r="B818" s="823" t="str">
        <f>'TTUHSC FGD'!$B$2</f>
        <v>Texas Tech University Health Sciences Center</v>
      </c>
      <c r="D818" s="762">
        <f>'TTUHSC FGD'!$D$81</f>
        <v>-16486414</v>
      </c>
      <c r="E818" s="762">
        <f>'TTUHSC FGD'!$E$81</f>
        <v>-5628252</v>
      </c>
      <c r="F818" s="762">
        <f>'TTUHSC FGD'!$F$81</f>
        <v>-690689</v>
      </c>
      <c r="G818" s="762">
        <f>'TTUHSC FGD'!$G$81</f>
        <v>-15518198</v>
      </c>
      <c r="H818" s="762">
        <f>'TTUHSC FGD'!$H$81</f>
        <v>-54207</v>
      </c>
      <c r="I818" s="762">
        <f>'TTUHSC FGD'!$I$81</f>
        <v>18138857</v>
      </c>
      <c r="J818" s="762">
        <f>'TTUHSC FGD'!$J$81</f>
        <v>19819216</v>
      </c>
      <c r="K818" s="762">
        <f>'TTUHSC FGD'!$K$81</f>
        <v>0</v>
      </c>
      <c r="L818" s="762">
        <f>'TTUHSC FGD'!$L$81</f>
        <v>0</v>
      </c>
      <c r="M818" s="723">
        <f>'TTUHSC FGD'!$M$81</f>
        <v>-419687</v>
      </c>
    </row>
    <row r="819" spans="1:13" hidden="1" outlineLevel="1">
      <c r="B819" s="823" t="str">
        <f>'TTUHSCEP FGD'!$B$2</f>
        <v>Texas Tech University Health Sciences Center at El Paso</v>
      </c>
      <c r="D819" s="762">
        <f>'TTUHSCEP FGD'!$D$81</f>
        <v>1698975</v>
      </c>
      <c r="E819" s="762">
        <f>'TTUHSCEP FGD'!$E$81</f>
        <v>4285063</v>
      </c>
      <c r="F819" s="762">
        <f>'TTUHSCEP FGD'!$F$81</f>
        <v>0</v>
      </c>
      <c r="G819" s="762">
        <f>'TTUHSCEP FGD'!$G$81</f>
        <v>-3539862</v>
      </c>
      <c r="H819" s="762">
        <f>'TTUHSCEP FGD'!$H$81</f>
        <v>0</v>
      </c>
      <c r="I819" s="762">
        <f>'TTUHSCEP FGD'!$I$81</f>
        <v>-279774</v>
      </c>
      <c r="J819" s="762">
        <f>'TTUHSCEP FGD'!$J$81</f>
        <v>-1310802</v>
      </c>
      <c r="K819" s="762">
        <f>'TTUHSCEP FGD'!$K$81</f>
        <v>0</v>
      </c>
      <c r="L819" s="762">
        <f>'TTUHSCEP FGD'!$L$81</f>
        <v>0</v>
      </c>
      <c r="M819" s="723">
        <f>'TTUHSCEP FGD'!$M$81</f>
        <v>853600</v>
      </c>
    </row>
    <row r="820" spans="1:13" hidden="1" outlineLevel="1">
      <c r="B820" s="823" t="str">
        <f>'UHM FGD'!$B$2</f>
        <v>University of Houston Medical School (M)</v>
      </c>
      <c r="D820" s="762">
        <f>'UHM FGD'!$D$81</f>
        <v>-720498</v>
      </c>
      <c r="E820" s="762">
        <f>'UHM FGD'!$E$81</f>
        <v>991710</v>
      </c>
      <c r="F820" s="762">
        <f>'UHM FGD'!$F$81</f>
        <v>0</v>
      </c>
      <c r="G820" s="762">
        <f>'UHM FGD'!$G$81</f>
        <v>8699</v>
      </c>
      <c r="H820" s="762">
        <f>'UHM FGD'!$H$81</f>
        <v>0</v>
      </c>
      <c r="I820" s="762">
        <f>'UHM FGD'!$I$81</f>
        <v>0</v>
      </c>
      <c r="J820" s="762">
        <f>'UHM FGD'!$J$81</f>
        <v>0</v>
      </c>
      <c r="K820" s="762">
        <f>'UHM FGD'!$K$81</f>
        <v>0</v>
      </c>
      <c r="L820" s="762">
        <f>'UHM FGD'!$L$81</f>
        <v>0</v>
      </c>
      <c r="M820" s="723">
        <f>'UHM FGD'!$M$81</f>
        <v>279911</v>
      </c>
    </row>
    <row r="821" spans="1:13" hidden="1" outlineLevel="1">
      <c r="B821" s="823" t="str">
        <f>'UNTHSC1 FGD'!$B$2</f>
        <v>University of North Texas Health Science Center at Fort Worth (Public Medical)</v>
      </c>
      <c r="D821" s="762">
        <f>'UNTHSC1 FGD'!$D$81</f>
        <v>-18841172</v>
      </c>
      <c r="E821" s="762">
        <f>'UNTHSC1 FGD'!$E$81</f>
        <v>-4516296</v>
      </c>
      <c r="F821" s="762">
        <f>'UNTHSC1 FGD'!$F$81</f>
        <v>-173040</v>
      </c>
      <c r="G821" s="762">
        <f>'UNTHSC1 FGD'!$G$81</f>
        <v>598413</v>
      </c>
      <c r="H821" s="762">
        <f>'UNTHSC1 FGD'!$H$81</f>
        <v>874902</v>
      </c>
      <c r="I821" s="762">
        <f>'UNTHSC1 FGD'!$I$81</f>
        <v>-1065430</v>
      </c>
      <c r="J821" s="762">
        <f>'UNTHSC1 FGD'!$J$81</f>
        <v>0</v>
      </c>
      <c r="K821" s="762">
        <f>'UNTHSC1 FGD'!$K$81</f>
        <v>-14175088</v>
      </c>
      <c r="L821" s="762">
        <f>'UNTHSC1 FGD'!$L$81</f>
        <v>17786749</v>
      </c>
      <c r="M821" s="723">
        <f>'UNTHSC1 FGD'!$M$81</f>
        <v>-19510962</v>
      </c>
    </row>
    <row r="822" spans="1:13" collapsed="1">
      <c r="A822" s="460">
        <v>64</v>
      </c>
      <c r="B822" s="752" t="s">
        <v>566</v>
      </c>
      <c r="D822" s="762">
        <f t="shared" ref="D822:M822" si="56">SUM(D809:D821)</f>
        <v>-776516398</v>
      </c>
      <c r="E822" s="762">
        <f t="shared" si="56"/>
        <v>-61745404</v>
      </c>
      <c r="F822" s="762">
        <f t="shared" si="56"/>
        <v>18054438</v>
      </c>
      <c r="G822" s="762">
        <f t="shared" si="56"/>
        <v>-456507156</v>
      </c>
      <c r="H822" s="762">
        <f t="shared" si="56"/>
        <v>482195</v>
      </c>
      <c r="I822" s="762">
        <f t="shared" si="56"/>
        <v>195846480</v>
      </c>
      <c r="J822" s="762">
        <f t="shared" si="56"/>
        <v>1039031660</v>
      </c>
      <c r="K822" s="762">
        <f t="shared" si="56"/>
        <v>-14175088</v>
      </c>
      <c r="L822" s="762">
        <f t="shared" si="56"/>
        <v>104893983</v>
      </c>
      <c r="M822" s="723">
        <f t="shared" si="56"/>
        <v>49364710</v>
      </c>
    </row>
    <row r="823" spans="1:13" hidden="1" outlineLevel="1">
      <c r="B823" s="823" t="str">
        <f>'AUSM FGD'!$B$2</f>
        <v>The University of Texas at Austin Medical School (M)</v>
      </c>
      <c r="D823" s="762">
        <f>'AUSM FGD'!$D$82</f>
        <v>0</v>
      </c>
      <c r="E823" s="762">
        <f>'AUSM FGD'!$E$82</f>
        <v>0</v>
      </c>
      <c r="F823" s="762">
        <f>'AUSM FGD'!$F$82</f>
        <v>0</v>
      </c>
      <c r="G823" s="762">
        <f>'AUSM FGD'!$G$82</f>
        <v>0</v>
      </c>
      <c r="H823" s="762">
        <f>'AUSM FGD'!$H$82</f>
        <v>0</v>
      </c>
      <c r="I823" s="762">
        <f>'AUSM FGD'!$I$82</f>
        <v>0</v>
      </c>
      <c r="J823" s="762">
        <f>'AUSM FGD'!$J$82</f>
        <v>1515547</v>
      </c>
      <c r="K823" s="762">
        <f>'AUSM FGD'!$K$82</f>
        <v>0</v>
      </c>
      <c r="L823" s="762">
        <f>'AUSM FGD'!$L$82</f>
        <v>0</v>
      </c>
      <c r="M823" s="723">
        <f>'AUSM FGD'!$M$82</f>
        <v>1515547</v>
      </c>
    </row>
    <row r="824" spans="1:13" hidden="1" outlineLevel="1">
      <c r="B824" s="823" t="str">
        <f>'HSH FGD'!$B$2</f>
        <v>The University of Texas Health Science Center at Houston</v>
      </c>
      <c r="D824" s="762">
        <f>'HSH FGD'!$D$82</f>
        <v>0</v>
      </c>
      <c r="E824" s="762">
        <f>'HSH FGD'!$E$82</f>
        <v>0</v>
      </c>
      <c r="F824" s="762">
        <f>'HSH FGD'!$F$82</f>
        <v>0</v>
      </c>
      <c r="G824" s="762">
        <f>'HSH FGD'!$G$82</f>
        <v>0</v>
      </c>
      <c r="H824" s="762">
        <f>'HSH FGD'!$H$82</f>
        <v>0</v>
      </c>
      <c r="I824" s="762">
        <f>'HSH FGD'!$I$82</f>
        <v>0</v>
      </c>
      <c r="J824" s="762">
        <f>'HSH FGD'!$J$82</f>
        <v>8991780</v>
      </c>
      <c r="K824" s="762">
        <f>'HSH FGD'!$K$82</f>
        <v>0</v>
      </c>
      <c r="L824" s="762">
        <f>'HSH FGD'!$L$82</f>
        <v>0</v>
      </c>
      <c r="M824" s="723">
        <f>'HSH FGD'!$M$82</f>
        <v>8991780</v>
      </c>
    </row>
    <row r="825" spans="1:13" hidden="1" outlineLevel="1">
      <c r="B825" s="823" t="str">
        <f>'HSSA FGD'!$B$2</f>
        <v>The University of Texas Health Science Center at San Antonio</v>
      </c>
      <c r="D825" s="762">
        <f>'HSSA FGD'!$D$82</f>
        <v>0</v>
      </c>
      <c r="E825" s="762">
        <f>'HSSA FGD'!$E$82</f>
        <v>0</v>
      </c>
      <c r="F825" s="762">
        <f>'HSSA FGD'!$F$82</f>
        <v>0</v>
      </c>
      <c r="G825" s="762">
        <f>'HSSA FGD'!$G$82</f>
        <v>0</v>
      </c>
      <c r="H825" s="762">
        <f>'HSSA FGD'!$H$82</f>
        <v>0</v>
      </c>
      <c r="I825" s="762">
        <f>'HSSA FGD'!$I$82</f>
        <v>0</v>
      </c>
      <c r="J825" s="762">
        <f>'HSSA FGD'!$J$82</f>
        <v>88553289</v>
      </c>
      <c r="K825" s="762">
        <f>'HSSA FGD'!$K$82</f>
        <v>0</v>
      </c>
      <c r="L825" s="762">
        <f>'HSSA FGD'!$L$82</f>
        <v>0</v>
      </c>
      <c r="M825" s="723">
        <f>'HSSA FGD'!$M$82</f>
        <v>88553289</v>
      </c>
    </row>
    <row r="826" spans="1:13" hidden="1" outlineLevel="1">
      <c r="B826" s="823" t="str">
        <f>'MBG FGD'!$B$2</f>
        <v>The University of Texas Medical Branch at Galveston</v>
      </c>
      <c r="D826" s="762">
        <f>'MBG FGD'!$D$82</f>
        <v>0</v>
      </c>
      <c r="E826" s="762">
        <f>'MBG FGD'!$E$82</f>
        <v>0</v>
      </c>
      <c r="F826" s="762">
        <f>'MBG FGD'!$F$82</f>
        <v>0</v>
      </c>
      <c r="G826" s="762">
        <f>'MBG FGD'!$G$82</f>
        <v>0</v>
      </c>
      <c r="H826" s="762">
        <f>'MBG FGD'!$H$82</f>
        <v>0</v>
      </c>
      <c r="I826" s="762">
        <f>'MBG FGD'!$I$82</f>
        <v>0</v>
      </c>
      <c r="J826" s="762">
        <f>'MBG FGD'!$J$82</f>
        <v>40016429</v>
      </c>
      <c r="K826" s="762">
        <f>'MBG FGD'!$K$82</f>
        <v>0</v>
      </c>
      <c r="L826" s="762">
        <f>'MBG FGD'!$L$82</f>
        <v>0</v>
      </c>
      <c r="M826" s="723">
        <f>'MBG FGD'!$M$82</f>
        <v>40016429</v>
      </c>
    </row>
    <row r="827" spans="1:13" hidden="1" outlineLevel="1">
      <c r="B827" s="823" t="str">
        <f>'MDA FGD'!$B$2</f>
        <v>The University of Texas M.D. Anderson Cancer Center</v>
      </c>
      <c r="D827" s="762">
        <f>'MDA FGD'!$D$82</f>
        <v>0</v>
      </c>
      <c r="E827" s="762">
        <f>'MDA FGD'!$E$82</f>
        <v>0</v>
      </c>
      <c r="F827" s="762">
        <f>'MDA FGD'!$F$82</f>
        <v>0</v>
      </c>
      <c r="G827" s="762">
        <f>'MDA FGD'!$G$82</f>
        <v>0</v>
      </c>
      <c r="H827" s="762">
        <f>'MDA FGD'!$H$82</f>
        <v>0</v>
      </c>
      <c r="I827" s="762">
        <f>'MDA FGD'!$I$82</f>
        <v>0</v>
      </c>
      <c r="J827" s="762">
        <f>'MDA FGD'!$J$82</f>
        <v>13354003</v>
      </c>
      <c r="K827" s="762">
        <f>'MDA FGD'!$K$82</f>
        <v>0</v>
      </c>
      <c r="L827" s="762">
        <f>'MDA FGD'!$L$82</f>
        <v>0</v>
      </c>
      <c r="M827" s="723">
        <f>'MDA FGD'!$M$82</f>
        <v>13354003</v>
      </c>
    </row>
    <row r="828" spans="1:13" hidden="1" outlineLevel="1">
      <c r="B828" s="823" t="str">
        <f>'RGVM FGD'!$B$2</f>
        <v>The University of Texas Rio Grande Valley Medical School (M)</v>
      </c>
      <c r="D828" s="762">
        <f>'RGVM FGD'!$D$82</f>
        <v>0</v>
      </c>
      <c r="E828" s="762">
        <f>'RGVM FGD'!$E$82</f>
        <v>0</v>
      </c>
      <c r="F828" s="762">
        <f>'RGVM FGD'!$F$82</f>
        <v>0</v>
      </c>
      <c r="G828" s="762">
        <f>'RGVM FGD'!$G$82</f>
        <v>0</v>
      </c>
      <c r="H828" s="762">
        <f>'RGVM FGD'!$H$82</f>
        <v>0</v>
      </c>
      <c r="I828" s="762">
        <f>'RGVM FGD'!$I$82</f>
        <v>0</v>
      </c>
      <c r="J828" s="762">
        <f>'RGVM FGD'!$J$82</f>
        <v>13389282</v>
      </c>
      <c r="K828" s="762">
        <f>'RGVM FGD'!$K$82</f>
        <v>0</v>
      </c>
      <c r="L828" s="762">
        <f>'RGVM FGD'!$L$82</f>
        <v>0</v>
      </c>
      <c r="M828" s="723">
        <f>'RGVM FGD'!$M$82</f>
        <v>13389282</v>
      </c>
    </row>
    <row r="829" spans="1:13" hidden="1" outlineLevel="1">
      <c r="B829" s="823" t="str">
        <f>'SWM FGD'!$B$2</f>
        <v>The University of Texas Southwestern Medical Center</v>
      </c>
      <c r="D829" s="762">
        <f>'SWM FGD'!$D$82</f>
        <v>0</v>
      </c>
      <c r="E829" s="762">
        <f>'SWM FGD'!$E$82</f>
        <v>0</v>
      </c>
      <c r="F829" s="762">
        <f>'SWM FGD'!$F$82</f>
        <v>0</v>
      </c>
      <c r="G829" s="762">
        <f>'SWM FGD'!$G$82</f>
        <v>0</v>
      </c>
      <c r="H829" s="762">
        <f>'SWM FGD'!$H$82</f>
        <v>0</v>
      </c>
      <c r="I829" s="762">
        <f>'SWM FGD'!$I$82</f>
        <v>0</v>
      </c>
      <c r="J829" s="762">
        <f>'SWM FGD'!$J$82</f>
        <v>168396645</v>
      </c>
      <c r="K829" s="762">
        <f>'SWM FGD'!$K$82</f>
        <v>0</v>
      </c>
      <c r="L829" s="762">
        <f>'SWM FGD'!$L$82</f>
        <v>0</v>
      </c>
      <c r="M829" s="723">
        <f>'SWM FGD'!$M$82</f>
        <v>168396645</v>
      </c>
    </row>
    <row r="830" spans="1:13" hidden="1" outlineLevel="1">
      <c r="B830" s="823" t="str">
        <f>'TAMHSC FGD'!$B$2</f>
        <v>Texas A&amp;M University System Health Science Center</v>
      </c>
      <c r="D830" s="762">
        <f>'TAMHSC FGD'!$D$82</f>
        <v>0</v>
      </c>
      <c r="E830" s="762">
        <f>'TAMHSC FGD'!$E$82</f>
        <v>0</v>
      </c>
      <c r="F830" s="762">
        <f>'TAMHSC FGD'!$F$82</f>
        <v>0</v>
      </c>
      <c r="G830" s="762">
        <f>'TAMHSC FGD'!$G$82</f>
        <v>0</v>
      </c>
      <c r="H830" s="762">
        <f>'TAMHSC FGD'!$H$82</f>
        <v>0</v>
      </c>
      <c r="I830" s="762">
        <f>'TAMHSC FGD'!$I$82</f>
        <v>0</v>
      </c>
      <c r="J830" s="762">
        <f>'TAMHSC FGD'!$J$82</f>
        <v>0</v>
      </c>
      <c r="K830" s="762">
        <f>'TAMHSC FGD'!$K$82</f>
        <v>0</v>
      </c>
      <c r="L830" s="762">
        <f>'TAMHSC FGD'!$L$82</f>
        <v>0</v>
      </c>
      <c r="M830" s="723">
        <f>'TAMHSC FGD'!$M$82</f>
        <v>0</v>
      </c>
    </row>
    <row r="831" spans="1:13" hidden="1" outlineLevel="1">
      <c r="B831" s="823" t="str">
        <f>'THC FGD'!$B$2</f>
        <v>The University of Texas Health Science Center at Tyler</v>
      </c>
      <c r="D831" s="762">
        <f>'THC FGD'!$D$82</f>
        <v>0</v>
      </c>
      <c r="E831" s="762">
        <f>'THC FGD'!$E$82</f>
        <v>0</v>
      </c>
      <c r="F831" s="762">
        <f>'THC FGD'!$F$82</f>
        <v>0</v>
      </c>
      <c r="G831" s="762">
        <f>'THC FGD'!$G$82</f>
        <v>0</v>
      </c>
      <c r="H831" s="762">
        <f>'THC FGD'!$H$82</f>
        <v>0</v>
      </c>
      <c r="I831" s="762">
        <f>'THC FGD'!$I$82</f>
        <v>0</v>
      </c>
      <c r="J831" s="762">
        <f>'THC FGD'!$J$82</f>
        <v>11232533</v>
      </c>
      <c r="K831" s="762">
        <f>'THC FGD'!$K$82</f>
        <v>0</v>
      </c>
      <c r="L831" s="762">
        <f>'THC FGD'!$L$82</f>
        <v>0</v>
      </c>
      <c r="M831" s="723">
        <f>'THC FGD'!$M$82</f>
        <v>11232533</v>
      </c>
    </row>
    <row r="832" spans="1:13" hidden="1" outlineLevel="1">
      <c r="B832" s="823" t="str">
        <f>'TTUHSC FGD'!$B$2</f>
        <v>Texas Tech University Health Sciences Center</v>
      </c>
      <c r="D832" s="762">
        <f>'TTUHSC FGD'!$D$82</f>
        <v>0</v>
      </c>
      <c r="E832" s="762">
        <f>'TTUHSC FGD'!$E$82</f>
        <v>0</v>
      </c>
      <c r="F832" s="762">
        <f>'TTUHSC FGD'!$F$82</f>
        <v>0</v>
      </c>
      <c r="G832" s="762">
        <f>'TTUHSC FGD'!$G$82</f>
        <v>0</v>
      </c>
      <c r="H832" s="762">
        <f>'TTUHSC FGD'!$H$82</f>
        <v>0</v>
      </c>
      <c r="I832" s="762">
        <f>'TTUHSC FGD'!$I$82</f>
        <v>0</v>
      </c>
      <c r="J832" s="762">
        <f>'TTUHSC FGD'!$J$82</f>
        <v>12690433</v>
      </c>
      <c r="K832" s="762">
        <f>'TTUHSC FGD'!$K$82</f>
        <v>0</v>
      </c>
      <c r="L832" s="762">
        <f>'TTUHSC FGD'!$L$82</f>
        <v>0</v>
      </c>
      <c r="M832" s="723">
        <f>'TTUHSC FGD'!$M$82</f>
        <v>12690433</v>
      </c>
    </row>
    <row r="833" spans="1:13" hidden="1" outlineLevel="1">
      <c r="B833" s="823" t="str">
        <f>'TTUHSCEP FGD'!$B$2</f>
        <v>Texas Tech University Health Sciences Center at El Paso</v>
      </c>
      <c r="D833" s="762">
        <f>'TTUHSCEP FGD'!$D$82</f>
        <v>0</v>
      </c>
      <c r="E833" s="762">
        <f>'TTUHSCEP FGD'!$E$82</f>
        <v>0</v>
      </c>
      <c r="F833" s="762">
        <f>'TTUHSCEP FGD'!$F$82</f>
        <v>0</v>
      </c>
      <c r="G833" s="762">
        <f>'TTUHSCEP FGD'!$G$82</f>
        <v>0</v>
      </c>
      <c r="H833" s="762">
        <f>'TTUHSCEP FGD'!$H$82</f>
        <v>0</v>
      </c>
      <c r="I833" s="762">
        <f>'TTUHSCEP FGD'!$I$82</f>
        <v>0</v>
      </c>
      <c r="J833" s="762">
        <f>'TTUHSCEP FGD'!$J$82</f>
        <v>5188902</v>
      </c>
      <c r="K833" s="762">
        <f>'TTUHSCEP FGD'!$K$82</f>
        <v>0</v>
      </c>
      <c r="L833" s="762">
        <f>'TTUHSCEP FGD'!$L$82</f>
        <v>0</v>
      </c>
      <c r="M833" s="723">
        <f>'TTUHSCEP FGD'!$M$82</f>
        <v>5188902</v>
      </c>
    </row>
    <row r="834" spans="1:13" hidden="1" outlineLevel="1">
      <c r="B834" s="823" t="str">
        <f>'UHM FGD'!$B$2</f>
        <v>University of Houston Medical School (M)</v>
      </c>
      <c r="D834" s="762">
        <f>'UHM FGD'!$D$82</f>
        <v>0</v>
      </c>
      <c r="E834" s="762">
        <f>'UHM FGD'!$E$82</f>
        <v>0</v>
      </c>
      <c r="F834" s="762">
        <f>'UHM FGD'!$F$82</f>
        <v>0</v>
      </c>
      <c r="G834" s="762">
        <f>'UHM FGD'!$G$82</f>
        <v>0</v>
      </c>
      <c r="H834" s="762">
        <f>'UHM FGD'!$H$82</f>
        <v>0</v>
      </c>
      <c r="I834" s="762">
        <f>'UHM FGD'!$I$82</f>
        <v>0</v>
      </c>
      <c r="J834" s="762">
        <f>'UHM FGD'!$J$82</f>
        <v>0</v>
      </c>
      <c r="K834" s="762">
        <f>'UHM FGD'!$K$82</f>
        <v>0</v>
      </c>
      <c r="L834" s="762">
        <f>'UHM FGD'!$L$82</f>
        <v>0</v>
      </c>
      <c r="M834" s="723">
        <f>'UHM FGD'!$M$82</f>
        <v>0</v>
      </c>
    </row>
    <row r="835" spans="1:13" hidden="1" outlineLevel="1">
      <c r="B835" s="823" t="str">
        <f>'UNTHSC1 FGD'!$B$2</f>
        <v>University of North Texas Health Science Center at Fort Worth (Public Medical)</v>
      </c>
      <c r="D835" s="762">
        <f>'UNTHSC1 FGD'!$D$82</f>
        <v>0</v>
      </c>
      <c r="E835" s="762">
        <f>'UNTHSC1 FGD'!$E$82</f>
        <v>0</v>
      </c>
      <c r="F835" s="762">
        <f>'UNTHSC1 FGD'!$F$82</f>
        <v>0</v>
      </c>
      <c r="G835" s="762">
        <f>'UNTHSC1 FGD'!$G$82</f>
        <v>0</v>
      </c>
      <c r="H835" s="762">
        <f>'UNTHSC1 FGD'!$H$82</f>
        <v>0</v>
      </c>
      <c r="I835" s="762">
        <f>'UNTHSC1 FGD'!$I$82</f>
        <v>0</v>
      </c>
      <c r="J835" s="762">
        <f>'UNTHSC1 FGD'!$J$82</f>
        <v>0</v>
      </c>
      <c r="K835" s="762">
        <f>'UNTHSC1 FGD'!$K$82</f>
        <v>0</v>
      </c>
      <c r="L835" s="762">
        <f>'UNTHSC1 FGD'!$L$82</f>
        <v>0</v>
      </c>
      <c r="M835" s="723">
        <f>'UNTHSC1 FGD'!$M$82</f>
        <v>0</v>
      </c>
    </row>
    <row r="836" spans="1:13" collapsed="1">
      <c r="A836" s="460">
        <v>65</v>
      </c>
      <c r="B836" s="766" t="s">
        <v>605</v>
      </c>
      <c r="C836" s="766"/>
      <c r="D836" s="762">
        <f t="shared" ref="D836:M836" si="57">SUM(D823:D835)</f>
        <v>0</v>
      </c>
      <c r="E836" s="762">
        <f t="shared" si="57"/>
        <v>0</v>
      </c>
      <c r="F836" s="762">
        <f t="shared" si="57"/>
        <v>0</v>
      </c>
      <c r="G836" s="762">
        <f t="shared" si="57"/>
        <v>0</v>
      </c>
      <c r="H836" s="762">
        <f t="shared" si="57"/>
        <v>0</v>
      </c>
      <c r="I836" s="762">
        <f t="shared" si="57"/>
        <v>0</v>
      </c>
      <c r="J836" s="762">
        <f t="shared" si="57"/>
        <v>363328843</v>
      </c>
      <c r="K836" s="762">
        <f t="shared" si="57"/>
        <v>0</v>
      </c>
      <c r="L836" s="762">
        <f t="shared" si="57"/>
        <v>0</v>
      </c>
      <c r="M836" s="723">
        <f t="shared" si="57"/>
        <v>363328843</v>
      </c>
    </row>
    <row r="837" spans="1:13" hidden="1" outlineLevel="1">
      <c r="B837" s="823" t="str">
        <f>'AUSM FGD'!$B$2</f>
        <v>The University of Texas at Austin Medical School (M)</v>
      </c>
      <c r="C837" s="766"/>
      <c r="D837" s="762">
        <f>'AUSM FGD'!$D$83</f>
        <v>-934423</v>
      </c>
      <c r="E837" s="762">
        <f>'AUSM FGD'!$E$83</f>
        <v>-10301120</v>
      </c>
      <c r="F837" s="762">
        <f>'AUSM FGD'!$F$83</f>
        <v>-3187303</v>
      </c>
      <c r="G837" s="762">
        <f>'AUSM FGD'!$G$83</f>
        <v>0</v>
      </c>
      <c r="H837" s="762">
        <f>'AUSM FGD'!$H$83</f>
        <v>0</v>
      </c>
      <c r="I837" s="762">
        <f>'AUSM FGD'!$I$83</f>
        <v>0</v>
      </c>
      <c r="J837" s="762">
        <f>'AUSM FGD'!$J$83</f>
        <v>0</v>
      </c>
      <c r="K837" s="762">
        <f>'AUSM FGD'!$K$83</f>
        <v>0</v>
      </c>
      <c r="L837" s="762">
        <f>'AUSM FGD'!$L$83</f>
        <v>0</v>
      </c>
      <c r="M837" s="723">
        <f>'AUSM FGD'!$M$83</f>
        <v>-14422846</v>
      </c>
    </row>
    <row r="838" spans="1:13" hidden="1" outlineLevel="1">
      <c r="B838" s="823" t="str">
        <f>'HSH FGD'!$B$2</f>
        <v>The University of Texas Health Science Center at Houston</v>
      </c>
      <c r="C838" s="766"/>
      <c r="D838" s="762">
        <f>'HSH FGD'!$D$83</f>
        <v>-18749450</v>
      </c>
      <c r="E838" s="762">
        <f>'HSH FGD'!$E$83</f>
        <v>-11414381</v>
      </c>
      <c r="F838" s="762">
        <f>'HSH FGD'!$F$83</f>
        <v>-4955223</v>
      </c>
      <c r="G838" s="762">
        <f>'HSH FGD'!$G$83</f>
        <v>0</v>
      </c>
      <c r="H838" s="762">
        <f>'HSH FGD'!$H$83</f>
        <v>0</v>
      </c>
      <c r="I838" s="762">
        <f>'HSH FGD'!$I$83</f>
        <v>0</v>
      </c>
      <c r="J838" s="762">
        <f>'HSH FGD'!$J$83</f>
        <v>0</v>
      </c>
      <c r="K838" s="762">
        <f>'HSH FGD'!$K$83</f>
        <v>0</v>
      </c>
      <c r="L838" s="762">
        <f>'HSH FGD'!$L$83</f>
        <v>0</v>
      </c>
      <c r="M838" s="723">
        <f>'HSH FGD'!$M$83</f>
        <v>-35119054</v>
      </c>
    </row>
    <row r="839" spans="1:13" hidden="1" outlineLevel="1">
      <c r="B839" s="823" t="str">
        <f>'HSSA FGD'!$B$2</f>
        <v>The University of Texas Health Science Center at San Antonio</v>
      </c>
      <c r="C839" s="766"/>
      <c r="D839" s="762">
        <f>'HSSA FGD'!$D$83</f>
        <v>-15896200</v>
      </c>
      <c r="E839" s="762">
        <f>'HSSA FGD'!$E$83</f>
        <v>-5522546</v>
      </c>
      <c r="F839" s="762">
        <f>'HSSA FGD'!$F$83</f>
        <v>-227944</v>
      </c>
      <c r="G839" s="762">
        <f>'HSSA FGD'!$G$83</f>
        <v>0</v>
      </c>
      <c r="H839" s="762">
        <f>'HSSA FGD'!$H$83</f>
        <v>0</v>
      </c>
      <c r="I839" s="762">
        <f>'HSSA FGD'!$I$83</f>
        <v>0</v>
      </c>
      <c r="J839" s="762">
        <f>'HSSA FGD'!$J$83</f>
        <v>0</v>
      </c>
      <c r="K839" s="762">
        <f>'HSSA FGD'!$K$83</f>
        <v>0</v>
      </c>
      <c r="L839" s="762">
        <f>'HSSA FGD'!$L$83</f>
        <v>0</v>
      </c>
      <c r="M839" s="723">
        <f>'HSSA FGD'!$M$83</f>
        <v>-21646690</v>
      </c>
    </row>
    <row r="840" spans="1:13" hidden="1" outlineLevel="1">
      <c r="B840" s="823" t="str">
        <f>'MBG FGD'!$B$2</f>
        <v>The University of Texas Medical Branch at Galveston</v>
      </c>
      <c r="C840" s="766"/>
      <c r="D840" s="762">
        <f>'MBG FGD'!$D$83</f>
        <v>-83650292</v>
      </c>
      <c r="E840" s="762">
        <f>'MBG FGD'!$E$83</f>
        <v>-8076516</v>
      </c>
      <c r="F840" s="762">
        <f>'MBG FGD'!$F$83</f>
        <v>-1765417</v>
      </c>
      <c r="G840" s="762">
        <f>'MBG FGD'!$G$83</f>
        <v>0</v>
      </c>
      <c r="H840" s="762">
        <f>'MBG FGD'!$H$83</f>
        <v>0</v>
      </c>
      <c r="I840" s="762">
        <f>'MBG FGD'!$I$83</f>
        <v>0</v>
      </c>
      <c r="J840" s="762">
        <f>'MBG FGD'!$J$83</f>
        <v>-10045172</v>
      </c>
      <c r="K840" s="762">
        <f>'MBG FGD'!$K$83</f>
        <v>0</v>
      </c>
      <c r="L840" s="762">
        <f>'MBG FGD'!$L$83</f>
        <v>0</v>
      </c>
      <c r="M840" s="723">
        <f>'MBG FGD'!$M$83</f>
        <v>-103537397</v>
      </c>
    </row>
    <row r="841" spans="1:13" hidden="1" outlineLevel="1">
      <c r="B841" s="823" t="str">
        <f>'MDA FGD'!$B$2</f>
        <v>The University of Texas M.D. Anderson Cancer Center</v>
      </c>
      <c r="C841" s="766"/>
      <c r="D841" s="762">
        <f>'MDA FGD'!$D$83</f>
        <v>-142106572</v>
      </c>
      <c r="E841" s="762">
        <f>'MDA FGD'!$E$83</f>
        <v>0</v>
      </c>
      <c r="F841" s="762">
        <f>'MDA FGD'!$F$83</f>
        <v>-8309479</v>
      </c>
      <c r="G841" s="762">
        <f>'MDA FGD'!$G$83</f>
        <v>0</v>
      </c>
      <c r="H841" s="762">
        <f>'MDA FGD'!$H$83</f>
        <v>0</v>
      </c>
      <c r="I841" s="762">
        <f>'MDA FGD'!$I$83</f>
        <v>0</v>
      </c>
      <c r="J841" s="762">
        <f>'MDA FGD'!$J$83</f>
        <v>0</v>
      </c>
      <c r="K841" s="762">
        <f>'MDA FGD'!$K$83</f>
        <v>0</v>
      </c>
      <c r="L841" s="762">
        <f>'MDA FGD'!$L$83</f>
        <v>0</v>
      </c>
      <c r="M841" s="723">
        <f>'MDA FGD'!$M$83</f>
        <v>-150416051</v>
      </c>
    </row>
    <row r="842" spans="1:13" hidden="1" outlineLevel="1">
      <c r="B842" s="823" t="str">
        <f>'RGVM FGD'!$B$2</f>
        <v>The University of Texas Rio Grande Valley Medical School (M)</v>
      </c>
      <c r="C842" s="766"/>
      <c r="D842" s="762">
        <f>'RGVM FGD'!$D$83</f>
        <v>0</v>
      </c>
      <c r="E842" s="762">
        <f>'RGVM FGD'!$E$83</f>
        <v>0</v>
      </c>
      <c r="F842" s="762">
        <f>'RGVM FGD'!$F$83</f>
        <v>-89000</v>
      </c>
      <c r="G842" s="762">
        <f>'RGVM FGD'!$G$83</f>
        <v>0</v>
      </c>
      <c r="H842" s="762">
        <f>'RGVM FGD'!$H$83</f>
        <v>0</v>
      </c>
      <c r="I842" s="762">
        <f>'RGVM FGD'!$I$83</f>
        <v>0</v>
      </c>
      <c r="J842" s="762">
        <f>'RGVM FGD'!$J$83</f>
        <v>0</v>
      </c>
      <c r="K842" s="762">
        <f>'RGVM FGD'!$K$83</f>
        <v>0</v>
      </c>
      <c r="L842" s="762">
        <f>'RGVM FGD'!$L$83</f>
        <v>0</v>
      </c>
      <c r="M842" s="723">
        <f>'RGVM FGD'!$M$83</f>
        <v>-89000</v>
      </c>
    </row>
    <row r="843" spans="1:13" hidden="1" outlineLevel="1">
      <c r="B843" s="823" t="str">
        <f>'SWM FGD'!$B$2</f>
        <v>The University of Texas Southwestern Medical Center</v>
      </c>
      <c r="C843" s="766"/>
      <c r="D843" s="762">
        <f>'SWM FGD'!$D$83</f>
        <v>-18520000</v>
      </c>
      <c r="E843" s="762">
        <f>'SWM FGD'!$E$83</f>
        <v>-105861202</v>
      </c>
      <c r="F843" s="762">
        <f>'SWM FGD'!$F$83</f>
        <v>-10220872</v>
      </c>
      <c r="G843" s="762">
        <f>'SWM FGD'!$G$83</f>
        <v>0</v>
      </c>
      <c r="H843" s="762">
        <f>'SWM FGD'!$H$83</f>
        <v>0</v>
      </c>
      <c r="I843" s="762">
        <f>'SWM FGD'!$I$83</f>
        <v>0</v>
      </c>
      <c r="J843" s="762">
        <f>'SWM FGD'!$J$83</f>
        <v>0</v>
      </c>
      <c r="K843" s="762">
        <f>'SWM FGD'!$K$83</f>
        <v>0</v>
      </c>
      <c r="L843" s="762">
        <f>'SWM FGD'!$L$83</f>
        <v>0</v>
      </c>
      <c r="M843" s="723">
        <f>'SWM FGD'!$M$83</f>
        <v>-134602074</v>
      </c>
    </row>
    <row r="844" spans="1:13" hidden="1" outlineLevel="1">
      <c r="B844" s="823" t="str">
        <f>'TAMHSC FGD'!$B$2</f>
        <v>Texas A&amp;M University System Health Science Center</v>
      </c>
      <c r="C844" s="766"/>
      <c r="D844" s="762">
        <f>'TAMHSC FGD'!$D$83</f>
        <v>-20336641</v>
      </c>
      <c r="E844" s="762">
        <f>'TAMHSC FGD'!$E$83</f>
        <v>-506952</v>
      </c>
      <c r="F844" s="762">
        <f>'TAMHSC FGD'!$F$83</f>
        <v>0</v>
      </c>
      <c r="G844" s="762">
        <f>'TAMHSC FGD'!$G$83</f>
        <v>0</v>
      </c>
      <c r="H844" s="762">
        <f>'TAMHSC FGD'!$H$83</f>
        <v>0</v>
      </c>
      <c r="I844" s="762">
        <f>'TAMHSC FGD'!$I$83</f>
        <v>0</v>
      </c>
      <c r="J844" s="762">
        <f>'TAMHSC FGD'!$J$83</f>
        <v>0</v>
      </c>
      <c r="K844" s="762">
        <f>'TAMHSC FGD'!$K$83</f>
        <v>0</v>
      </c>
      <c r="L844" s="762">
        <f>'TAMHSC FGD'!$L$83</f>
        <v>0</v>
      </c>
      <c r="M844" s="723">
        <f>'TAMHSC FGD'!$M$83</f>
        <v>-20843593</v>
      </c>
    </row>
    <row r="845" spans="1:13" hidden="1" outlineLevel="1">
      <c r="B845" s="823" t="str">
        <f>'THC FGD'!$B$2</f>
        <v>The University of Texas Health Science Center at Tyler</v>
      </c>
      <c r="C845" s="766"/>
      <c r="D845" s="762">
        <f>'THC FGD'!$D$83</f>
        <v>-3910191</v>
      </c>
      <c r="E845" s="762">
        <f>'THC FGD'!$E$83</f>
        <v>0</v>
      </c>
      <c r="F845" s="762">
        <f>'THC FGD'!$F$83</f>
        <v>0</v>
      </c>
      <c r="G845" s="762">
        <f>'THC FGD'!$G$83</f>
        <v>0</v>
      </c>
      <c r="H845" s="762">
        <f>'THC FGD'!$H$83</f>
        <v>0</v>
      </c>
      <c r="I845" s="762">
        <f>'THC FGD'!$I$83</f>
        <v>0</v>
      </c>
      <c r="J845" s="762">
        <f>'THC FGD'!$J$83</f>
        <v>-470975</v>
      </c>
      <c r="K845" s="762">
        <f>'THC FGD'!$K$83</f>
        <v>0</v>
      </c>
      <c r="L845" s="762">
        <f>'THC FGD'!$L$83</f>
        <v>0</v>
      </c>
      <c r="M845" s="723">
        <f>'THC FGD'!$M$83</f>
        <v>-4381166</v>
      </c>
    </row>
    <row r="846" spans="1:13" hidden="1" outlineLevel="1">
      <c r="B846" s="823" t="str">
        <f>'TTUHSC FGD'!$B$2</f>
        <v>Texas Tech University Health Sciences Center</v>
      </c>
      <c r="C846" s="766"/>
      <c r="D846" s="762">
        <f>'TTUHSC FGD'!$D$83</f>
        <v>-10383711</v>
      </c>
      <c r="E846" s="762">
        <f>'TTUHSC FGD'!$E$83</f>
        <v>0</v>
      </c>
      <c r="F846" s="762">
        <f>'TTUHSC FGD'!$F$83</f>
        <v>0</v>
      </c>
      <c r="G846" s="762">
        <f>'TTUHSC FGD'!$G$83</f>
        <v>0</v>
      </c>
      <c r="H846" s="762">
        <f>'TTUHSC FGD'!$H$83</f>
        <v>0</v>
      </c>
      <c r="I846" s="762">
        <f>'TTUHSC FGD'!$I$83</f>
        <v>0</v>
      </c>
      <c r="J846" s="762">
        <f>'TTUHSC FGD'!$J$83</f>
        <v>0</v>
      </c>
      <c r="K846" s="762">
        <f>'TTUHSC FGD'!$K$83</f>
        <v>0</v>
      </c>
      <c r="L846" s="762">
        <f>'TTUHSC FGD'!$L$83</f>
        <v>0</v>
      </c>
      <c r="M846" s="723">
        <f>'TTUHSC FGD'!$M$83</f>
        <v>-10383711</v>
      </c>
    </row>
    <row r="847" spans="1:13" hidden="1" outlineLevel="1">
      <c r="B847" s="823" t="str">
        <f>'TTUHSCEP FGD'!$B$2</f>
        <v>Texas Tech University Health Sciences Center at El Paso</v>
      </c>
      <c r="C847" s="766"/>
      <c r="D847" s="762">
        <f>'TTUHSCEP FGD'!$D$83</f>
        <v>-13205381</v>
      </c>
      <c r="E847" s="762">
        <f>'TTUHSCEP FGD'!$E$83</f>
        <v>-5650129</v>
      </c>
      <c r="F847" s="762">
        <f>'TTUHSCEP FGD'!$F$83</f>
        <v>0</v>
      </c>
      <c r="G847" s="762">
        <f>'TTUHSCEP FGD'!$G$83</f>
        <v>0</v>
      </c>
      <c r="H847" s="762">
        <f>'TTUHSCEP FGD'!$H$83</f>
        <v>0</v>
      </c>
      <c r="I847" s="762">
        <f>'TTUHSCEP FGD'!$I$83</f>
        <v>0</v>
      </c>
      <c r="J847" s="762">
        <f>'TTUHSCEP FGD'!$J$83</f>
        <v>-611140</v>
      </c>
      <c r="K847" s="762">
        <f>'TTUHSCEP FGD'!$K$83</f>
        <v>0</v>
      </c>
      <c r="L847" s="762">
        <f>'TTUHSCEP FGD'!$L$83</f>
        <v>0</v>
      </c>
      <c r="M847" s="723">
        <f>'TTUHSCEP FGD'!$M$83</f>
        <v>-19466650</v>
      </c>
    </row>
    <row r="848" spans="1:13" hidden="1" outlineLevel="1">
      <c r="B848" s="823" t="str">
        <f>'UHM FGD'!$B$2</f>
        <v>University of Houston Medical School (M)</v>
      </c>
      <c r="C848" s="766"/>
      <c r="D848" s="762">
        <f>'UHM FGD'!$D$83</f>
        <v>0</v>
      </c>
      <c r="E848" s="762">
        <f>'UHM FGD'!$E$83</f>
        <v>0</v>
      </c>
      <c r="F848" s="762">
        <f>'UHM FGD'!$F$83</f>
        <v>0</v>
      </c>
      <c r="G848" s="762">
        <f>'UHM FGD'!$G$83</f>
        <v>0</v>
      </c>
      <c r="H848" s="762">
        <f>'UHM FGD'!$H$83</f>
        <v>0</v>
      </c>
      <c r="I848" s="762">
        <f>'UHM FGD'!$I$83</f>
        <v>0</v>
      </c>
      <c r="J848" s="762">
        <f>'UHM FGD'!$J$83</f>
        <v>0</v>
      </c>
      <c r="K848" s="762">
        <f>'UHM FGD'!$K$83</f>
        <v>0</v>
      </c>
      <c r="L848" s="762">
        <f>'UHM FGD'!$L$83</f>
        <v>0</v>
      </c>
      <c r="M848" s="723">
        <f>'UHM FGD'!$M$83</f>
        <v>0</v>
      </c>
    </row>
    <row r="849" spans="1:15" hidden="1" outlineLevel="1">
      <c r="B849" s="823" t="str">
        <f>'UNTHSC1 FGD'!$B$2</f>
        <v>University of North Texas Health Science Center at Fort Worth (Public Medical)</v>
      </c>
      <c r="C849" s="766"/>
      <c r="D849" s="762">
        <f>'UNTHSC1 FGD'!$D$83</f>
        <v>0</v>
      </c>
      <c r="E849" s="762">
        <f>'UNTHSC1 FGD'!$E$83</f>
        <v>0</v>
      </c>
      <c r="F849" s="762">
        <f>'UNTHSC1 FGD'!$F$83</f>
        <v>0</v>
      </c>
      <c r="G849" s="762">
        <f>'UNTHSC1 FGD'!$G$83</f>
        <v>0</v>
      </c>
      <c r="H849" s="762">
        <f>'UNTHSC1 FGD'!$H$83</f>
        <v>0</v>
      </c>
      <c r="I849" s="762">
        <f>'UNTHSC1 FGD'!$I$83</f>
        <v>0</v>
      </c>
      <c r="J849" s="762">
        <f>'UNTHSC1 FGD'!$J$83</f>
        <v>0</v>
      </c>
      <c r="K849" s="762">
        <f>'UNTHSC1 FGD'!$K$83</f>
        <v>0</v>
      </c>
      <c r="L849" s="762">
        <f>'UNTHSC1 FGD'!$L$83</f>
        <v>-866</v>
      </c>
      <c r="M849" s="723">
        <f>'UNTHSC1 FGD'!$M$83</f>
        <v>-866</v>
      </c>
    </row>
    <row r="850" spans="1:15" collapsed="1">
      <c r="A850" s="460">
        <v>66</v>
      </c>
      <c r="B850" s="752" t="s">
        <v>477</v>
      </c>
      <c r="D850" s="762">
        <f t="shared" ref="D850:M850" si="58">SUM(D837:D849)</f>
        <v>-327692861</v>
      </c>
      <c r="E850" s="762">
        <f t="shared" si="58"/>
        <v>-147332846</v>
      </c>
      <c r="F850" s="762">
        <f t="shared" si="58"/>
        <v>-28755238</v>
      </c>
      <c r="G850" s="762">
        <f t="shared" si="58"/>
        <v>0</v>
      </c>
      <c r="H850" s="762">
        <f t="shared" si="58"/>
        <v>0</v>
      </c>
      <c r="I850" s="762">
        <f t="shared" si="58"/>
        <v>0</v>
      </c>
      <c r="J850" s="762">
        <f t="shared" si="58"/>
        <v>-11127287</v>
      </c>
      <c r="K850" s="762">
        <f t="shared" si="58"/>
        <v>0</v>
      </c>
      <c r="L850" s="762">
        <f t="shared" si="58"/>
        <v>-866</v>
      </c>
      <c r="M850" s="723">
        <f t="shared" si="58"/>
        <v>-514909098</v>
      </c>
    </row>
    <row r="851" spans="1:15" hidden="1" outlineLevel="1">
      <c r="B851" s="823" t="str">
        <f>'AUSM FGD'!$B$2</f>
        <v>The University of Texas at Austin Medical School (M)</v>
      </c>
      <c r="D851" s="762">
        <f>'AUSM FGD'!$D$84</f>
        <v>-967735</v>
      </c>
      <c r="E851" s="762">
        <f>'AUSM FGD'!$E$84</f>
        <v>-1555764</v>
      </c>
      <c r="F851" s="762">
        <f>'AUSM FGD'!$F$84</f>
        <v>-3187303</v>
      </c>
      <c r="G851" s="762">
        <f>'AUSM FGD'!$G$84</f>
        <v>211059</v>
      </c>
      <c r="H851" s="762">
        <f>'AUSM FGD'!$H$84</f>
        <v>0</v>
      </c>
      <c r="I851" s="762">
        <f>'AUSM FGD'!$I$84</f>
        <v>0</v>
      </c>
      <c r="J851" s="762">
        <f>'AUSM FGD'!$J$84</f>
        <v>-2550656</v>
      </c>
      <c r="K851" s="762">
        <f>'AUSM FGD'!$K$84</f>
        <v>0</v>
      </c>
      <c r="L851" s="762">
        <f>'AUSM FGD'!$L$84</f>
        <v>0</v>
      </c>
      <c r="M851" s="723">
        <f>'AUSM FGD'!$M$84</f>
        <v>-8050399</v>
      </c>
    </row>
    <row r="852" spans="1:15" hidden="1" outlineLevel="1">
      <c r="B852" s="823" t="str">
        <f>'HSH FGD'!$B$2</f>
        <v>The University of Texas Health Science Center at Houston</v>
      </c>
      <c r="D852" s="762">
        <f>'HSH FGD'!$D$84</f>
        <v>-20070855</v>
      </c>
      <c r="E852" s="762">
        <f>'HSH FGD'!$E$84</f>
        <v>-144333018</v>
      </c>
      <c r="F852" s="762">
        <f>'HSH FGD'!$F$84</f>
        <v>2445690</v>
      </c>
      <c r="G852" s="762">
        <f>'HSH FGD'!$G$84</f>
        <v>-8146137</v>
      </c>
      <c r="H852" s="762">
        <f>'HSH FGD'!$H$84</f>
        <v>-85571</v>
      </c>
      <c r="I852" s="762">
        <f>'HSH FGD'!$I$84</f>
        <v>96165752</v>
      </c>
      <c r="J852" s="762">
        <f>'HSH FGD'!$J$84</f>
        <v>-7288748</v>
      </c>
      <c r="K852" s="762">
        <f>'HSH FGD'!$K$84</f>
        <v>0</v>
      </c>
      <c r="L852" s="762">
        <f>'HSH FGD'!$L$84</f>
        <v>23648990</v>
      </c>
      <c r="M852" s="723">
        <f>'HSH FGD'!$M$84</f>
        <v>-57663897</v>
      </c>
    </row>
    <row r="853" spans="1:15" hidden="1" outlineLevel="1">
      <c r="B853" s="823" t="str">
        <f>'HSSA FGD'!$B$2</f>
        <v>The University of Texas Health Science Center at San Antonio</v>
      </c>
      <c r="D853" s="762">
        <f>'HSSA FGD'!$D$84</f>
        <v>10018830</v>
      </c>
      <c r="E853" s="762">
        <f>'HSSA FGD'!$E$84</f>
        <v>-41648993</v>
      </c>
      <c r="F853" s="762">
        <f>'HSSA FGD'!$F$84</f>
        <v>-279844</v>
      </c>
      <c r="G853" s="762">
        <f>'HSSA FGD'!$G$84</f>
        <v>-10319227</v>
      </c>
      <c r="H853" s="762">
        <f>'HSSA FGD'!$H$84</f>
        <v>3512</v>
      </c>
      <c r="I853" s="762">
        <f>'HSSA FGD'!$I$84</f>
        <v>6169679</v>
      </c>
      <c r="J853" s="762">
        <f>'HSSA FGD'!$J$84</f>
        <v>-23574004</v>
      </c>
      <c r="K853" s="762">
        <f>'HSSA FGD'!$K$84</f>
        <v>0</v>
      </c>
      <c r="L853" s="762">
        <f>'HSSA FGD'!$L$84</f>
        <v>-4169523</v>
      </c>
      <c r="M853" s="723">
        <f>'HSSA FGD'!$M$84</f>
        <v>-63799570</v>
      </c>
    </row>
    <row r="854" spans="1:15" hidden="1" outlineLevel="1">
      <c r="B854" s="823" t="str">
        <f>'MBG FGD'!$B$2</f>
        <v>The University of Texas Medical Branch at Galveston</v>
      </c>
      <c r="D854" s="762">
        <f>'MBG FGD'!$D$84</f>
        <v>-225909856</v>
      </c>
      <c r="E854" s="762">
        <f>'MBG FGD'!$E$84</f>
        <v>36663616</v>
      </c>
      <c r="F854" s="762">
        <f>'MBG FGD'!$F$84</f>
        <v>-1765417</v>
      </c>
      <c r="G854" s="762">
        <f>'MBG FGD'!$G$84</f>
        <v>-11043564</v>
      </c>
      <c r="H854" s="762">
        <f>'MBG FGD'!$H$84</f>
        <v>-34701</v>
      </c>
      <c r="I854" s="762">
        <f>'MBG FGD'!$I$84</f>
        <v>16896231</v>
      </c>
      <c r="J854" s="762">
        <f>'MBG FGD'!$J$84</f>
        <v>-27498968</v>
      </c>
      <c r="K854" s="762">
        <f>'MBG FGD'!$K$84</f>
        <v>0</v>
      </c>
      <c r="L854" s="762">
        <f>'MBG FGD'!$L$84</f>
        <v>26294851</v>
      </c>
      <c r="M854" s="723">
        <f>'MBG FGD'!$M$84</f>
        <v>-186397808</v>
      </c>
    </row>
    <row r="855" spans="1:15" hidden="1" outlineLevel="1">
      <c r="B855" s="823" t="str">
        <f>'MDA FGD'!$B$2</f>
        <v>The University of Texas M.D. Anderson Cancer Center</v>
      </c>
      <c r="D855" s="762">
        <f>'MDA FGD'!$D$84</f>
        <v>-793042060</v>
      </c>
      <c r="E855" s="762">
        <f>'MDA FGD'!$E$84</f>
        <v>-8280647</v>
      </c>
      <c r="F855" s="762">
        <f>'MDA FGD'!$F$84</f>
        <v>-8342463</v>
      </c>
      <c r="G855" s="762">
        <f>'MDA FGD'!$G$84</f>
        <v>812940</v>
      </c>
      <c r="H855" s="762">
        <f>'MDA FGD'!$H$84</f>
        <v>0</v>
      </c>
      <c r="I855" s="762">
        <f>'MDA FGD'!$I$84</f>
        <v>8521448</v>
      </c>
      <c r="J855" s="762">
        <f>'MDA FGD'!$J$84</f>
        <v>435323661</v>
      </c>
      <c r="K855" s="762">
        <f>'MDA FGD'!$K$84</f>
        <v>0</v>
      </c>
      <c r="L855" s="762">
        <f>'MDA FGD'!$L$84</f>
        <v>23979651</v>
      </c>
      <c r="M855" s="723">
        <f>'MDA FGD'!$M$84</f>
        <v>-341027470</v>
      </c>
    </row>
    <row r="856" spans="1:15" hidden="1" outlineLevel="1">
      <c r="B856" s="823" t="str">
        <f>'RGVM FGD'!$B$2</f>
        <v>The University of Texas Rio Grande Valley Medical School (M)</v>
      </c>
      <c r="D856" s="762">
        <f>'RGVM FGD'!$D$84</f>
        <v>4629480</v>
      </c>
      <c r="E856" s="762">
        <f>'RGVM FGD'!$E$84</f>
        <v>1927138</v>
      </c>
      <c r="F856" s="762">
        <f>'RGVM FGD'!$F$84</f>
        <v>1694940</v>
      </c>
      <c r="G856" s="762">
        <f>'RGVM FGD'!$G$84</f>
        <v>-622062</v>
      </c>
      <c r="H856" s="762">
        <f>'RGVM FGD'!$H$84</f>
        <v>0</v>
      </c>
      <c r="I856" s="762">
        <f>'RGVM FGD'!$I$84</f>
        <v>2625</v>
      </c>
      <c r="J856" s="762">
        <f>'RGVM FGD'!$J$84</f>
        <v>-5342774</v>
      </c>
      <c r="K856" s="762">
        <f>'RGVM FGD'!$K$84</f>
        <v>0</v>
      </c>
      <c r="L856" s="762">
        <f>'RGVM FGD'!$L$84</f>
        <v>2934775</v>
      </c>
      <c r="M856" s="723">
        <f>'RGVM FGD'!$M$84</f>
        <v>5224122</v>
      </c>
    </row>
    <row r="857" spans="1:15" hidden="1" outlineLevel="1">
      <c r="B857" s="823" t="str">
        <f>'SWM FGD'!$B$2</f>
        <v>The University of Texas Southwestern Medical Center</v>
      </c>
      <c r="D857" s="762">
        <f>'SWM FGD'!$D$84</f>
        <v>-12177546</v>
      </c>
      <c r="E857" s="762">
        <f>'SWM FGD'!$E$84</f>
        <v>-43293207</v>
      </c>
      <c r="F857" s="762">
        <f>'SWM FGD'!$F$84</f>
        <v>-607738</v>
      </c>
      <c r="G857" s="762">
        <f>'SWM FGD'!$G$84</f>
        <v>-405307972</v>
      </c>
      <c r="H857" s="762">
        <f>'SWM FGD'!$H$84</f>
        <v>-200000</v>
      </c>
      <c r="I857" s="762">
        <f>'SWM FGD'!$I$84</f>
        <v>50991012</v>
      </c>
      <c r="J857" s="762">
        <f>'SWM FGD'!$J$84</f>
        <v>60447629</v>
      </c>
      <c r="K857" s="762">
        <f>'SWM FGD'!$K$84</f>
        <v>0</v>
      </c>
      <c r="L857" s="762">
        <f>'SWM FGD'!$L$84</f>
        <v>13169450</v>
      </c>
      <c r="M857" s="723">
        <f>'SWM FGD'!$M$84</f>
        <v>-336978372</v>
      </c>
    </row>
    <row r="858" spans="1:15" hidden="1" outlineLevel="1">
      <c r="B858" s="823" t="str">
        <f>'TAMHSC FGD'!$B$2</f>
        <v>Texas A&amp;M University System Health Science Center</v>
      </c>
      <c r="D858" s="762">
        <f>'TAMHSC FGD'!$D$84</f>
        <v>-20340855</v>
      </c>
      <c r="E858" s="762">
        <f>'TAMHSC FGD'!$E$84</f>
        <v>20050824</v>
      </c>
      <c r="F858" s="762">
        <f>'TAMHSC FGD'!$F$84</f>
        <v>204499</v>
      </c>
      <c r="G858" s="762">
        <f>'TAMHSC FGD'!$G$84</f>
        <v>-2155927</v>
      </c>
      <c r="H858" s="762">
        <f>'TAMHSC FGD'!$H$84</f>
        <v>-21740</v>
      </c>
      <c r="I858" s="762">
        <f>'TAMHSC FGD'!$I$84</f>
        <v>70452</v>
      </c>
      <c r="J858" s="762">
        <f>'TAMHSC FGD'!$J$84</f>
        <v>214414</v>
      </c>
      <c r="K858" s="762">
        <f>'TAMHSC FGD'!$K$84</f>
        <v>0</v>
      </c>
      <c r="L858" s="762">
        <f>'TAMHSC FGD'!$L$84</f>
        <v>0</v>
      </c>
      <c r="M858" s="723">
        <f>'TAMHSC FGD'!$M$84</f>
        <v>-1978333</v>
      </c>
    </row>
    <row r="859" spans="1:15" hidden="1" outlineLevel="1">
      <c r="B859" s="823" t="str">
        <f>'THC FGD'!$B$2</f>
        <v>The University of Texas Health Science Center at Tyler</v>
      </c>
      <c r="D859" s="762">
        <f>'THC FGD'!$D$84</f>
        <v>11589539</v>
      </c>
      <c r="E859" s="762">
        <f>'THC FGD'!$E$84</f>
        <v>-18090295</v>
      </c>
      <c r="F859" s="762">
        <f>'THC FGD'!$F$84</f>
        <v>565</v>
      </c>
      <c r="G859" s="762">
        <f>'THC FGD'!$G$84</f>
        <v>-1485318</v>
      </c>
      <c r="H859" s="762">
        <f>'THC FGD'!$H$84</f>
        <v>0</v>
      </c>
      <c r="I859" s="762">
        <f>'THC FGD'!$I$84</f>
        <v>235628</v>
      </c>
      <c r="J859" s="762">
        <f>'THC FGD'!$J$84</f>
        <v>-437286</v>
      </c>
      <c r="K859" s="762">
        <f>'THC FGD'!$K$84</f>
        <v>0</v>
      </c>
      <c r="L859" s="762">
        <f>'THC FGD'!$L$84</f>
        <v>1249040</v>
      </c>
      <c r="M859" s="723">
        <f>'THC FGD'!$M$84</f>
        <v>-6938127</v>
      </c>
    </row>
    <row r="860" spans="1:15" hidden="1" outlineLevel="1">
      <c r="B860" s="823" t="str">
        <f>'TTUHSC FGD'!$B$2</f>
        <v>Texas Tech University Health Sciences Center</v>
      </c>
      <c r="D860" s="762">
        <f>'TTUHSC FGD'!$D$84</f>
        <v>-26870125</v>
      </c>
      <c r="E860" s="762">
        <f>'TTUHSC FGD'!$E$84</f>
        <v>-5628252</v>
      </c>
      <c r="F860" s="762">
        <f>'TTUHSC FGD'!$F$84</f>
        <v>-690689</v>
      </c>
      <c r="G860" s="762">
        <f>'TTUHSC FGD'!$G$84</f>
        <v>-15518198</v>
      </c>
      <c r="H860" s="762">
        <f>'TTUHSC FGD'!$H$84</f>
        <v>-54207</v>
      </c>
      <c r="I860" s="762">
        <f>'TTUHSC FGD'!$I$84</f>
        <v>18138857</v>
      </c>
      <c r="J860" s="762">
        <f>'TTUHSC FGD'!$J$84</f>
        <v>8485084</v>
      </c>
      <c r="K860" s="762">
        <f>'TTUHSC FGD'!$K$84</f>
        <v>0</v>
      </c>
      <c r="L860" s="762">
        <f>'TTUHSC FGD'!$L$84</f>
        <v>0</v>
      </c>
      <c r="M860" s="723">
        <f>'TTUHSC FGD'!$M$84</f>
        <v>-22137530</v>
      </c>
    </row>
    <row r="861" spans="1:15" hidden="1" outlineLevel="1">
      <c r="B861" s="823" t="str">
        <f>'TTUHSCEP FGD'!$B$2</f>
        <v>Texas Tech University Health Sciences Center at El Paso</v>
      </c>
      <c r="D861" s="762">
        <f>'TTUHSCEP FGD'!$D$84</f>
        <v>-11506406</v>
      </c>
      <c r="E861" s="762">
        <f>'TTUHSCEP FGD'!$E$84</f>
        <v>-1365066</v>
      </c>
      <c r="F861" s="762">
        <f>'TTUHSCEP FGD'!$F$84</f>
        <v>0</v>
      </c>
      <c r="G861" s="762">
        <f>'TTUHSCEP FGD'!$G$84</f>
        <v>-3539862</v>
      </c>
      <c r="H861" s="762">
        <f>'TTUHSCEP FGD'!$H$84</f>
        <v>0</v>
      </c>
      <c r="I861" s="762">
        <f>'TTUHSCEP FGD'!$I$84</f>
        <v>-279774</v>
      </c>
      <c r="J861" s="762">
        <f>'TTUHSCEP FGD'!$J$84</f>
        <v>818982</v>
      </c>
      <c r="K861" s="762">
        <f>'TTUHSCEP FGD'!$K$84</f>
        <v>0</v>
      </c>
      <c r="L861" s="762">
        <f>'TTUHSCEP FGD'!$L$84</f>
        <v>0</v>
      </c>
      <c r="M861" s="723">
        <f>'TTUHSCEP FGD'!$M$84</f>
        <v>-15872126</v>
      </c>
    </row>
    <row r="862" spans="1:15" hidden="1" outlineLevel="1">
      <c r="B862" s="823" t="str">
        <f>'UHM FGD'!$B$2</f>
        <v>University of Houston Medical School (M)</v>
      </c>
      <c r="D862" s="762">
        <f>'UHM FGD'!$D$84</f>
        <v>-720498</v>
      </c>
      <c r="E862" s="762">
        <f>'UHM FGD'!$E$84</f>
        <v>991710</v>
      </c>
      <c r="F862" s="762">
        <f>'UHM FGD'!$F$84</f>
        <v>0</v>
      </c>
      <c r="G862" s="762">
        <f>'UHM FGD'!$G$84</f>
        <v>8699</v>
      </c>
      <c r="H862" s="762">
        <f>'UHM FGD'!$H$84</f>
        <v>0</v>
      </c>
      <c r="I862" s="762">
        <f>'UHM FGD'!$I$84</f>
        <v>0</v>
      </c>
      <c r="J862" s="762">
        <f>'UHM FGD'!$J$84</f>
        <v>0</v>
      </c>
      <c r="K862" s="762">
        <f>'UHM FGD'!$K$84</f>
        <v>0</v>
      </c>
      <c r="L862" s="762">
        <f>'UHM FGD'!$L$84</f>
        <v>0</v>
      </c>
      <c r="M862" s="723">
        <f>'UHM FGD'!$M$84</f>
        <v>279911</v>
      </c>
    </row>
    <row r="863" spans="1:15" hidden="1" outlineLevel="1">
      <c r="B863" s="823" t="str">
        <f>'UNTHSC1 FGD'!$B$2</f>
        <v>University of North Texas Health Science Center at Fort Worth (Public Medical)</v>
      </c>
      <c r="D863" s="762">
        <f>'UNTHSC1 FGD'!$D$84</f>
        <v>-18841172</v>
      </c>
      <c r="E863" s="762">
        <f>'UNTHSC1 FGD'!$E$84</f>
        <v>-4516296</v>
      </c>
      <c r="F863" s="762">
        <f>'UNTHSC1 FGD'!$F$84</f>
        <v>-173040</v>
      </c>
      <c r="G863" s="762">
        <f>'UNTHSC1 FGD'!$G$84</f>
        <v>598413</v>
      </c>
      <c r="H863" s="762">
        <f>'UNTHSC1 FGD'!$H$84</f>
        <v>874902</v>
      </c>
      <c r="I863" s="762">
        <f>'UNTHSC1 FGD'!$I$84</f>
        <v>-1065430</v>
      </c>
      <c r="J863" s="762">
        <f>'UNTHSC1 FGD'!$J$84</f>
        <v>0</v>
      </c>
      <c r="K863" s="762">
        <f>'UNTHSC1 FGD'!$K$84</f>
        <v>-14175088</v>
      </c>
      <c r="L863" s="762">
        <f>'UNTHSC1 FGD'!$L$84</f>
        <v>3279635</v>
      </c>
      <c r="M863" s="723">
        <f>'UNTHSC1 FGD'!$M$84</f>
        <v>-34018076</v>
      </c>
    </row>
    <row r="864" spans="1:15" collapsed="1">
      <c r="A864" s="460">
        <v>67</v>
      </c>
      <c r="B864" s="858" t="s">
        <v>155</v>
      </c>
      <c r="C864" s="858"/>
      <c r="D864" s="769">
        <f t="shared" ref="D864:M864" si="59">SUM(D851:D863)</f>
        <v>-1104209259</v>
      </c>
      <c r="E864" s="769">
        <f t="shared" si="59"/>
        <v>-209078250</v>
      </c>
      <c r="F864" s="769">
        <f t="shared" si="59"/>
        <v>-10700800</v>
      </c>
      <c r="G864" s="769">
        <f t="shared" si="59"/>
        <v>-456507156</v>
      </c>
      <c r="H864" s="769">
        <f t="shared" si="59"/>
        <v>482195</v>
      </c>
      <c r="I864" s="769">
        <f t="shared" si="59"/>
        <v>195846480</v>
      </c>
      <c r="J864" s="769">
        <f t="shared" si="59"/>
        <v>438597334</v>
      </c>
      <c r="K864" s="769">
        <f t="shared" si="59"/>
        <v>-14175088</v>
      </c>
      <c r="L864" s="769">
        <f t="shared" si="59"/>
        <v>90386869</v>
      </c>
      <c r="M864" s="769">
        <f t="shared" si="59"/>
        <v>-1069357675</v>
      </c>
      <c r="O864" s="322" t="str">
        <f>IF(M864&lt;&gt;M1129,"Error","OK")</f>
        <v>OK</v>
      </c>
    </row>
    <row r="865" spans="1:13">
      <c r="A865" s="460">
        <v>68</v>
      </c>
      <c r="D865" s="723"/>
      <c r="E865" s="723"/>
      <c r="F865" s="723"/>
      <c r="G865" s="723"/>
      <c r="H865" s="723"/>
      <c r="I865" s="723"/>
      <c r="J865" s="723"/>
      <c r="K865" s="723"/>
      <c r="L865" s="723"/>
      <c r="M865" s="723"/>
    </row>
    <row r="866" spans="1:13">
      <c r="A866" s="460">
        <v>69</v>
      </c>
      <c r="B866" s="771" t="s">
        <v>478</v>
      </c>
      <c r="C866" s="771"/>
      <c r="D866" s="723"/>
      <c r="E866" s="723"/>
      <c r="F866" s="723"/>
      <c r="G866" s="723"/>
      <c r="H866" s="723"/>
      <c r="I866" s="723"/>
      <c r="J866" s="723"/>
      <c r="K866" s="723"/>
      <c r="L866" s="723"/>
      <c r="M866" s="723"/>
    </row>
    <row r="867" spans="1:13" hidden="1" outlineLevel="1">
      <c r="B867" s="823" t="str">
        <f>'AUSM FGD'!$B$2</f>
        <v>The University of Texas at Austin Medical School (M)</v>
      </c>
      <c r="C867" s="771"/>
      <c r="D867" s="723">
        <f>'AUSM FGD'!$D$87</f>
        <v>0</v>
      </c>
      <c r="E867" s="723">
        <f>'AUSM FGD'!$E$87</f>
        <v>0</v>
      </c>
      <c r="F867" s="723">
        <f>'AUSM FGD'!$F$87</f>
        <v>0</v>
      </c>
      <c r="G867" s="723">
        <f>'AUSM FGD'!$G$87</f>
        <v>-24722</v>
      </c>
      <c r="H867" s="723">
        <f>'AUSM FGD'!$H$87</f>
        <v>0</v>
      </c>
      <c r="I867" s="723">
        <f>'AUSM FGD'!$I$87</f>
        <v>-6141137</v>
      </c>
      <c r="J867" s="723">
        <f>'AUSM FGD'!$J$87</f>
        <v>0</v>
      </c>
      <c r="K867" s="723">
        <f>'AUSM FGD'!$K$87</f>
        <v>0</v>
      </c>
      <c r="L867" s="723">
        <f>'AUSM FGD'!$L$87</f>
        <v>0</v>
      </c>
      <c r="M867" s="723">
        <f>'AUSM FGD'!$M$87</f>
        <v>-6165859</v>
      </c>
    </row>
    <row r="868" spans="1:13" hidden="1" outlineLevel="1">
      <c r="B868" s="823" t="str">
        <f>'HSH FGD'!$B$2</f>
        <v>The University of Texas Health Science Center at Houston</v>
      </c>
      <c r="C868" s="771"/>
      <c r="D868" s="723">
        <f>'HSH FGD'!$D$87</f>
        <v>0</v>
      </c>
      <c r="E868" s="723">
        <f>'HSH FGD'!$E$87</f>
        <v>-101440882</v>
      </c>
      <c r="F868" s="723">
        <f>'HSH FGD'!$F$87</f>
        <v>0</v>
      </c>
      <c r="G868" s="723">
        <f>'HSH FGD'!$G$87</f>
        <v>-1</v>
      </c>
      <c r="H868" s="723">
        <f>'HSH FGD'!$H$87</f>
        <v>0</v>
      </c>
      <c r="I868" s="723">
        <f>'HSH FGD'!$I$87</f>
        <v>-98653840</v>
      </c>
      <c r="J868" s="723">
        <f>'HSH FGD'!$J$87</f>
        <v>0</v>
      </c>
      <c r="K868" s="723">
        <f>'HSH FGD'!$K$87</f>
        <v>0</v>
      </c>
      <c r="L868" s="723">
        <f>'HSH FGD'!$L$87</f>
        <v>0</v>
      </c>
      <c r="M868" s="723">
        <f>'HSH FGD'!$M$87</f>
        <v>-200094723</v>
      </c>
    </row>
    <row r="869" spans="1:13" hidden="1" outlineLevel="1">
      <c r="B869" s="823" t="str">
        <f>'HSSA FGD'!$B$2</f>
        <v>The University of Texas Health Science Center at San Antonio</v>
      </c>
      <c r="C869" s="771"/>
      <c r="D869" s="723">
        <f>'HSSA FGD'!$D$87</f>
        <v>0</v>
      </c>
      <c r="E869" s="723">
        <f>'HSSA FGD'!$E$87</f>
        <v>-43442137</v>
      </c>
      <c r="F869" s="723">
        <f>'HSSA FGD'!$F$87</f>
        <v>0</v>
      </c>
      <c r="G869" s="723">
        <f>'HSSA FGD'!$G$87</f>
        <v>-10073400</v>
      </c>
      <c r="H869" s="723">
        <f>'HSSA FGD'!$H$87</f>
        <v>-195589</v>
      </c>
      <c r="I869" s="723">
        <f>'HSSA FGD'!$I$87</f>
        <v>-84867337</v>
      </c>
      <c r="J869" s="723">
        <f>'HSSA FGD'!$J$87</f>
        <v>0</v>
      </c>
      <c r="K869" s="723">
        <f>'HSSA FGD'!$K$87</f>
        <v>0</v>
      </c>
      <c r="L869" s="723">
        <f>'HSSA FGD'!$L$87</f>
        <v>0</v>
      </c>
      <c r="M869" s="723">
        <f>'HSSA FGD'!$M$87</f>
        <v>-138578463</v>
      </c>
    </row>
    <row r="870" spans="1:13" hidden="1" outlineLevel="1">
      <c r="B870" s="823" t="str">
        <f>'MBG FGD'!$B$2</f>
        <v>The University of Texas Medical Branch at Galveston</v>
      </c>
      <c r="C870" s="771"/>
      <c r="D870" s="723">
        <f>'MBG FGD'!$D$87</f>
        <v>0</v>
      </c>
      <c r="E870" s="723">
        <f>'MBG FGD'!$E$87</f>
        <v>-97856028</v>
      </c>
      <c r="F870" s="723">
        <f>'MBG FGD'!$F$87</f>
        <v>0</v>
      </c>
      <c r="G870" s="723">
        <f>'MBG FGD'!$G$87</f>
        <v>0</v>
      </c>
      <c r="H870" s="723">
        <f>'MBG FGD'!$H$87</f>
        <v>0</v>
      </c>
      <c r="I870" s="723">
        <f>'MBG FGD'!$I$87</f>
        <v>-90832407</v>
      </c>
      <c r="J870" s="723">
        <f>'MBG FGD'!$J$87</f>
        <v>0</v>
      </c>
      <c r="K870" s="723">
        <f>'MBG FGD'!$K$87</f>
        <v>0</v>
      </c>
      <c r="L870" s="723">
        <f>'MBG FGD'!$L$87</f>
        <v>0</v>
      </c>
      <c r="M870" s="723">
        <f>'MBG FGD'!$M$87</f>
        <v>-188688435</v>
      </c>
    </row>
    <row r="871" spans="1:13" hidden="1" outlineLevel="1">
      <c r="B871" s="823" t="str">
        <f>'MDA FGD'!$B$2</f>
        <v>The University of Texas M.D. Anderson Cancer Center</v>
      </c>
      <c r="C871" s="771"/>
      <c r="D871" s="723">
        <f>'MDA FGD'!$D$87</f>
        <v>-767463283</v>
      </c>
      <c r="E871" s="723">
        <f>'MDA FGD'!$E$87</f>
        <v>-187465697</v>
      </c>
      <c r="F871" s="723">
        <f>'MDA FGD'!$F$87</f>
        <v>0</v>
      </c>
      <c r="G871" s="723">
        <f>'MDA FGD'!$G$87</f>
        <v>0</v>
      </c>
      <c r="H871" s="723">
        <f>'MDA FGD'!$H$87</f>
        <v>0</v>
      </c>
      <c r="I871" s="723">
        <f>'MDA FGD'!$I$87</f>
        <v>-194242703</v>
      </c>
      <c r="J871" s="723">
        <f>'MDA FGD'!$J$87</f>
        <v>0</v>
      </c>
      <c r="K871" s="723">
        <f>'MDA FGD'!$K$87</f>
        <v>0</v>
      </c>
      <c r="L871" s="723">
        <f>'MDA FGD'!$L$87</f>
        <v>0</v>
      </c>
      <c r="M871" s="723">
        <f>'MDA FGD'!$M$87</f>
        <v>-1149171683</v>
      </c>
    </row>
    <row r="872" spans="1:13" hidden="1" outlineLevel="1">
      <c r="B872" s="823" t="str">
        <f>'RGVM FGD'!$B$2</f>
        <v>The University of Texas Rio Grande Valley Medical School (M)</v>
      </c>
      <c r="C872" s="771"/>
      <c r="D872" s="723">
        <f>'RGVM FGD'!$D$87</f>
        <v>0</v>
      </c>
      <c r="E872" s="723">
        <f>'RGVM FGD'!$E$87</f>
        <v>0</v>
      </c>
      <c r="F872" s="723">
        <f>'RGVM FGD'!$F$87</f>
        <v>0</v>
      </c>
      <c r="G872" s="723">
        <f>'RGVM FGD'!$G$87</f>
        <v>0</v>
      </c>
      <c r="H872" s="723">
        <f>'RGVM FGD'!$H$87</f>
        <v>0</v>
      </c>
      <c r="I872" s="723">
        <f>'RGVM FGD'!$I$87</f>
        <v>-657730</v>
      </c>
      <c r="J872" s="723">
        <f>'RGVM FGD'!$J$87</f>
        <v>0</v>
      </c>
      <c r="K872" s="723">
        <f>'RGVM FGD'!$K$87</f>
        <v>0</v>
      </c>
      <c r="L872" s="723">
        <f>'RGVM FGD'!$L$87</f>
        <v>0</v>
      </c>
      <c r="M872" s="723">
        <f>'RGVM FGD'!$M$87</f>
        <v>-657730</v>
      </c>
    </row>
    <row r="873" spans="1:13" hidden="1" outlineLevel="1">
      <c r="B873" s="823" t="str">
        <f>'SWM FGD'!$B$2</f>
        <v>The University of Texas Southwestern Medical Center</v>
      </c>
      <c r="C873" s="771"/>
      <c r="D873" s="723">
        <f>'SWM FGD'!$D$87</f>
        <v>0</v>
      </c>
      <c r="E873" s="723">
        <f>'SWM FGD'!$E$87</f>
        <v>-185758159</v>
      </c>
      <c r="F873" s="723">
        <f>'SWM FGD'!$F$87</f>
        <v>-3088498</v>
      </c>
      <c r="G873" s="723">
        <f>'SWM FGD'!$G$87</f>
        <v>-86921085</v>
      </c>
      <c r="H873" s="723">
        <f>'SWM FGD'!$H$87</f>
        <v>-33991</v>
      </c>
      <c r="I873" s="723">
        <f>'SWM FGD'!$I$87</f>
        <v>-232870442</v>
      </c>
      <c r="J873" s="723">
        <f>'SWM FGD'!$J$87</f>
        <v>0</v>
      </c>
      <c r="K873" s="723">
        <f>'SWM FGD'!$K$87</f>
        <v>0</v>
      </c>
      <c r="L873" s="723">
        <f>'SWM FGD'!$L$87</f>
        <v>0</v>
      </c>
      <c r="M873" s="723">
        <f>'SWM FGD'!$M$87</f>
        <v>-508672175</v>
      </c>
    </row>
    <row r="874" spans="1:13" hidden="1" outlineLevel="1">
      <c r="B874" s="823" t="str">
        <f>'TAMHSC FGD'!$B$2</f>
        <v>Texas A&amp;M University System Health Science Center</v>
      </c>
      <c r="C874" s="771"/>
      <c r="D874" s="723">
        <f>'TAMHSC FGD'!$D$87</f>
        <v>-12287337</v>
      </c>
      <c r="E874" s="723">
        <f>'TAMHSC FGD'!$E$87</f>
        <v>-40326507</v>
      </c>
      <c r="F874" s="723">
        <f>'TAMHSC FGD'!$F$87</f>
        <v>0</v>
      </c>
      <c r="G874" s="723">
        <f>'TAMHSC FGD'!$G$87</f>
        <v>0</v>
      </c>
      <c r="H874" s="723">
        <f>'TAMHSC FGD'!$H$87</f>
        <v>0</v>
      </c>
      <c r="I874" s="723">
        <f>'TAMHSC FGD'!$I$87</f>
        <v>-12222737</v>
      </c>
      <c r="J874" s="723">
        <f>'TAMHSC FGD'!$J$87</f>
        <v>0</v>
      </c>
      <c r="K874" s="723">
        <f>'TAMHSC FGD'!$K$87</f>
        <v>0</v>
      </c>
      <c r="L874" s="723">
        <f>'TAMHSC FGD'!$L$87</f>
        <v>0</v>
      </c>
      <c r="M874" s="723">
        <f>'TAMHSC FGD'!$M$87</f>
        <v>-64836581</v>
      </c>
    </row>
    <row r="875" spans="1:13" hidden="1" outlineLevel="1">
      <c r="B875" s="823" t="str">
        <f>'THC FGD'!$B$2</f>
        <v>The University of Texas Health Science Center at Tyler</v>
      </c>
      <c r="C875" s="771"/>
      <c r="D875" s="723">
        <f>'THC FGD'!$D$87</f>
        <v>5751</v>
      </c>
      <c r="E875" s="723">
        <f>'THC FGD'!$E$87</f>
        <v>-663604</v>
      </c>
      <c r="F875" s="723">
        <f>'THC FGD'!$F$87</f>
        <v>0</v>
      </c>
      <c r="G875" s="723">
        <f>'THC FGD'!$G$87</f>
        <v>-54039</v>
      </c>
      <c r="H875" s="723">
        <f>'THC FGD'!$H$87</f>
        <v>0</v>
      </c>
      <c r="I875" s="723">
        <f>'THC FGD'!$I$87</f>
        <v>-6942214</v>
      </c>
      <c r="J875" s="723">
        <f>'THC FGD'!$J$87</f>
        <v>0</v>
      </c>
      <c r="K875" s="723">
        <f>'THC FGD'!$K$87</f>
        <v>0</v>
      </c>
      <c r="L875" s="723">
        <f>'THC FGD'!$L$87</f>
        <v>0</v>
      </c>
      <c r="M875" s="723">
        <f>'THC FGD'!$M$87</f>
        <v>-7654106</v>
      </c>
    </row>
    <row r="876" spans="1:13" hidden="1" outlineLevel="1">
      <c r="B876" s="823" t="str">
        <f>'TTUHSC FGD'!$B$2</f>
        <v>Texas Tech University Health Sciences Center</v>
      </c>
      <c r="C876" s="771"/>
      <c r="D876" s="723">
        <f>'TTUHSC FGD'!$D$87</f>
        <v>0</v>
      </c>
      <c r="E876" s="723">
        <f>'TTUHSC FGD'!$E$87</f>
        <v>-27441380</v>
      </c>
      <c r="F876" s="723">
        <f>'TTUHSC FGD'!$F$87</f>
        <v>0</v>
      </c>
      <c r="G876" s="723">
        <f>'TTUHSC FGD'!$G$87</f>
        <v>-5419763</v>
      </c>
      <c r="H876" s="723">
        <f>'TTUHSC FGD'!$H$87</f>
        <v>0</v>
      </c>
      <c r="I876" s="723">
        <f>'TTUHSC FGD'!$I$87</f>
        <v>-2101079</v>
      </c>
      <c r="J876" s="723">
        <f>'TTUHSC FGD'!$J$87</f>
        <v>0</v>
      </c>
      <c r="K876" s="723">
        <f>'TTUHSC FGD'!$K$87</f>
        <v>0</v>
      </c>
      <c r="L876" s="723">
        <f>'TTUHSC FGD'!$L$87</f>
        <v>0</v>
      </c>
      <c r="M876" s="723">
        <f>'TTUHSC FGD'!$M$87</f>
        <v>-34962222</v>
      </c>
    </row>
    <row r="877" spans="1:13" hidden="1" outlineLevel="1">
      <c r="B877" s="823" t="str">
        <f>'TTUHSCEP FGD'!$B$2</f>
        <v>Texas Tech University Health Sciences Center at El Paso</v>
      </c>
      <c r="C877" s="771"/>
      <c r="D877" s="723">
        <f>'TTUHSCEP FGD'!$D$87</f>
        <v>0</v>
      </c>
      <c r="E877" s="723">
        <f>'TTUHSCEP FGD'!$E$87</f>
        <v>-13212345</v>
      </c>
      <c r="F877" s="723">
        <f>'TTUHSCEP FGD'!$F$87</f>
        <v>0</v>
      </c>
      <c r="G877" s="723">
        <f>'TTUHSCEP FGD'!$G$87</f>
        <v>-404575</v>
      </c>
      <c r="H877" s="723">
        <f>'TTUHSCEP FGD'!$H$87</f>
        <v>0</v>
      </c>
      <c r="I877" s="723">
        <f>'TTUHSCEP FGD'!$I$87</f>
        <v>-1185356</v>
      </c>
      <c r="J877" s="723">
        <f>'TTUHSCEP FGD'!$J$87</f>
        <v>0</v>
      </c>
      <c r="K877" s="723">
        <f>'TTUHSCEP FGD'!$K$87</f>
        <v>0</v>
      </c>
      <c r="L877" s="723">
        <f>'TTUHSCEP FGD'!$L$87</f>
        <v>0</v>
      </c>
      <c r="M877" s="723">
        <f>'TTUHSCEP FGD'!$M$87</f>
        <v>-14802276</v>
      </c>
    </row>
    <row r="878" spans="1:13" hidden="1" outlineLevel="1">
      <c r="B878" s="823" t="str">
        <f>'UHM FGD'!$B$2</f>
        <v>University of Houston Medical School (M)</v>
      </c>
      <c r="C878" s="771"/>
      <c r="D878" s="723">
        <f>'UHM FGD'!$D$87</f>
        <v>0</v>
      </c>
      <c r="E878" s="723">
        <f>'UHM FGD'!$E$87</f>
        <v>0</v>
      </c>
      <c r="F878" s="723">
        <f>'UHM FGD'!$F$87</f>
        <v>0</v>
      </c>
      <c r="G878" s="723">
        <f>'UHM FGD'!$G$87</f>
        <v>0</v>
      </c>
      <c r="H878" s="723">
        <f>'UHM FGD'!$H$87</f>
        <v>0</v>
      </c>
      <c r="I878" s="723">
        <f>'UHM FGD'!$I$87</f>
        <v>0</v>
      </c>
      <c r="J878" s="723">
        <f>'UHM FGD'!$J$87</f>
        <v>0</v>
      </c>
      <c r="K878" s="723">
        <f>'UHM FGD'!$K$87</f>
        <v>0</v>
      </c>
      <c r="L878" s="723">
        <f>'UHM FGD'!$L$87</f>
        <v>0</v>
      </c>
      <c r="M878" s="723">
        <f>'UHM FGD'!$M$87</f>
        <v>0</v>
      </c>
    </row>
    <row r="879" spans="1:13" hidden="1" outlineLevel="1">
      <c r="B879" s="823" t="str">
        <f>'UNTHSC1 FGD'!$B$2</f>
        <v>University of North Texas Health Science Center at Fort Worth (Public Medical)</v>
      </c>
      <c r="C879" s="771"/>
      <c r="D879" s="723">
        <f>'UNTHSC1 FGD'!$D$87</f>
        <v>0</v>
      </c>
      <c r="E879" s="723">
        <f>'UNTHSC1 FGD'!$E$87</f>
        <v>-24975391</v>
      </c>
      <c r="F879" s="723">
        <f>'UNTHSC1 FGD'!$F$87</f>
        <v>0</v>
      </c>
      <c r="G879" s="723">
        <f>'UNTHSC1 FGD'!$G$87</f>
        <v>0</v>
      </c>
      <c r="H879" s="723">
        <f>'UNTHSC1 FGD'!$H$87</f>
        <v>0</v>
      </c>
      <c r="I879" s="723">
        <f>'UNTHSC1 FGD'!$I$87</f>
        <v>-9004542</v>
      </c>
      <c r="J879" s="723">
        <f>'UNTHSC1 FGD'!$J$87</f>
        <v>0</v>
      </c>
      <c r="K879" s="723">
        <f>'UNTHSC1 FGD'!$K$87</f>
        <v>0</v>
      </c>
      <c r="L879" s="723">
        <f>'UNTHSC1 FGD'!$L$87</f>
        <v>0</v>
      </c>
      <c r="M879" s="723">
        <f>'UNTHSC1 FGD'!$M$87</f>
        <v>-33979933</v>
      </c>
    </row>
    <row r="880" spans="1:13" collapsed="1">
      <c r="A880" s="460">
        <v>70</v>
      </c>
      <c r="B880" s="752" t="s">
        <v>479</v>
      </c>
      <c r="D880" s="762">
        <f t="shared" ref="D880:M880" si="60">SUM(D867:D879)</f>
        <v>-779744869</v>
      </c>
      <c r="E880" s="762">
        <f t="shared" si="60"/>
        <v>-722582130</v>
      </c>
      <c r="F880" s="762">
        <f t="shared" si="60"/>
        <v>-3088498</v>
      </c>
      <c r="G880" s="762">
        <f t="shared" si="60"/>
        <v>-102897585</v>
      </c>
      <c r="H880" s="762">
        <f t="shared" si="60"/>
        <v>-229580</v>
      </c>
      <c r="I880" s="762">
        <f t="shared" si="60"/>
        <v>-739721524</v>
      </c>
      <c r="J880" s="762">
        <f t="shared" si="60"/>
        <v>0</v>
      </c>
      <c r="K880" s="762">
        <f t="shared" si="60"/>
        <v>0</v>
      </c>
      <c r="L880" s="762">
        <f t="shared" si="60"/>
        <v>0</v>
      </c>
      <c r="M880" s="723">
        <f t="shared" si="60"/>
        <v>-2348264186</v>
      </c>
    </row>
    <row r="881" spans="1:13" hidden="1" outlineLevel="1">
      <c r="B881" s="823" t="str">
        <f>'AUSM FGD'!$B$2</f>
        <v>The University of Texas at Austin Medical School (M)</v>
      </c>
      <c r="D881" s="762">
        <f>'AUSM FGD'!$D$88</f>
        <v>0</v>
      </c>
      <c r="E881" s="762">
        <f>'AUSM FGD'!$E$88</f>
        <v>0</v>
      </c>
      <c r="F881" s="762">
        <f>'AUSM FGD'!$F$88</f>
        <v>0</v>
      </c>
      <c r="G881" s="762">
        <f>'AUSM FGD'!$G$88</f>
        <v>0</v>
      </c>
      <c r="H881" s="762">
        <f>'AUSM FGD'!$H$88</f>
        <v>0</v>
      </c>
      <c r="I881" s="762">
        <f>'AUSM FGD'!$I$88</f>
        <v>2065831</v>
      </c>
      <c r="J881" s="762">
        <f>'AUSM FGD'!$J$88</f>
        <v>0</v>
      </c>
      <c r="K881" s="762">
        <f>'AUSM FGD'!$K$88</f>
        <v>0</v>
      </c>
      <c r="L881" s="762">
        <f>'AUSM FGD'!$L$88</f>
        <v>0</v>
      </c>
      <c r="M881" s="723">
        <f>'AUSM FGD'!$M$88</f>
        <v>2065831</v>
      </c>
    </row>
    <row r="882" spans="1:13" hidden="1" outlineLevel="1">
      <c r="B882" s="823" t="str">
        <f>'HSH FGD'!$B$2</f>
        <v>The University of Texas Health Science Center at Houston</v>
      </c>
      <c r="D882" s="762">
        <f>'HSH FGD'!$D$88</f>
        <v>0</v>
      </c>
      <c r="E882" s="762">
        <f>'HSH FGD'!$E$88</f>
        <v>0</v>
      </c>
      <c r="F882" s="762">
        <f>'HSH FGD'!$F$88</f>
        <v>0</v>
      </c>
      <c r="G882" s="762">
        <f>'HSH FGD'!$G$88</f>
        <v>0</v>
      </c>
      <c r="H882" s="762">
        <f>'HSH FGD'!$H$88</f>
        <v>0</v>
      </c>
      <c r="I882" s="762">
        <f>'HSH FGD'!$I$88</f>
        <v>46142799</v>
      </c>
      <c r="J882" s="762">
        <f>'HSH FGD'!$J$88</f>
        <v>0</v>
      </c>
      <c r="K882" s="762">
        <f>'HSH FGD'!$K$88</f>
        <v>0</v>
      </c>
      <c r="L882" s="762">
        <f>'HSH FGD'!$L$88</f>
        <v>0</v>
      </c>
      <c r="M882" s="723">
        <f>'HSH FGD'!$M$88</f>
        <v>46142799</v>
      </c>
    </row>
    <row r="883" spans="1:13" hidden="1" outlineLevel="1">
      <c r="B883" s="823" t="str">
        <f>'HSSA FGD'!$B$2</f>
        <v>The University of Texas Health Science Center at San Antonio</v>
      </c>
      <c r="D883" s="762">
        <f>'HSSA FGD'!$D$88</f>
        <v>0</v>
      </c>
      <c r="E883" s="762">
        <f>'HSSA FGD'!$E$88</f>
        <v>0</v>
      </c>
      <c r="F883" s="762">
        <f>'HSSA FGD'!$F$88</f>
        <v>0</v>
      </c>
      <c r="G883" s="762">
        <f>'HSSA FGD'!$G$88</f>
        <v>249528</v>
      </c>
      <c r="H883" s="762">
        <f>'HSSA FGD'!$H$88</f>
        <v>0</v>
      </c>
      <c r="I883" s="762">
        <f>'HSSA FGD'!$I$88</f>
        <v>6417112</v>
      </c>
      <c r="J883" s="762">
        <f>'HSSA FGD'!$J$88</f>
        <v>0</v>
      </c>
      <c r="K883" s="762">
        <f>'HSSA FGD'!$K$88</f>
        <v>0</v>
      </c>
      <c r="L883" s="762">
        <f>'HSSA FGD'!$L$88</f>
        <v>0</v>
      </c>
      <c r="M883" s="723">
        <f>'HSSA FGD'!$M$88</f>
        <v>6666640</v>
      </c>
    </row>
    <row r="884" spans="1:13" hidden="1" outlineLevel="1">
      <c r="B884" s="823" t="str">
        <f>'MBG FGD'!$B$2</f>
        <v>The University of Texas Medical Branch at Galveston</v>
      </c>
      <c r="D884" s="762">
        <f>'MBG FGD'!$D$88</f>
        <v>0</v>
      </c>
      <c r="E884" s="762">
        <f>'MBG FGD'!$E$88</f>
        <v>0</v>
      </c>
      <c r="F884" s="762">
        <f>'MBG FGD'!$F$88</f>
        <v>0</v>
      </c>
      <c r="G884" s="762">
        <f>'MBG FGD'!$G$88</f>
        <v>683519</v>
      </c>
      <c r="H884" s="762">
        <f>'MBG FGD'!$H$88</f>
        <v>0</v>
      </c>
      <c r="I884" s="762">
        <f>'MBG FGD'!$I$88</f>
        <v>9200490</v>
      </c>
      <c r="J884" s="762">
        <f>'MBG FGD'!$J$88</f>
        <v>0</v>
      </c>
      <c r="K884" s="762">
        <f>'MBG FGD'!$K$88</f>
        <v>0</v>
      </c>
      <c r="L884" s="762">
        <f>'MBG FGD'!$L$88</f>
        <v>0</v>
      </c>
      <c r="M884" s="723">
        <f>'MBG FGD'!$M$88</f>
        <v>9884009</v>
      </c>
    </row>
    <row r="885" spans="1:13" hidden="1" outlineLevel="1">
      <c r="B885" s="823" t="str">
        <f>'MDA FGD'!$B$2</f>
        <v>The University of Texas M.D. Anderson Cancer Center</v>
      </c>
      <c r="D885" s="762">
        <f>'MDA FGD'!$D$88</f>
        <v>0</v>
      </c>
      <c r="E885" s="762">
        <f>'MDA FGD'!$E$88</f>
        <v>0</v>
      </c>
      <c r="F885" s="762">
        <f>'MDA FGD'!$F$88</f>
        <v>0</v>
      </c>
      <c r="G885" s="762">
        <f>'MDA FGD'!$G$88</f>
        <v>-586811</v>
      </c>
      <c r="H885" s="762">
        <f>'MDA FGD'!$H$88</f>
        <v>0</v>
      </c>
      <c r="I885" s="762">
        <f>'MDA FGD'!$I$88</f>
        <v>19892460</v>
      </c>
      <c r="J885" s="762">
        <f>'MDA FGD'!$J$88</f>
        <v>0</v>
      </c>
      <c r="K885" s="762">
        <f>'MDA FGD'!$K$88</f>
        <v>0</v>
      </c>
      <c r="L885" s="762">
        <f>'MDA FGD'!$L$88</f>
        <v>0</v>
      </c>
      <c r="M885" s="723">
        <f>'MDA FGD'!$M$88</f>
        <v>19305649</v>
      </c>
    </row>
    <row r="886" spans="1:13" hidden="1" outlineLevel="1">
      <c r="B886" s="823" t="str">
        <f>'RGVM FGD'!$B$2</f>
        <v>The University of Texas Rio Grande Valley Medical School (M)</v>
      </c>
      <c r="D886" s="762">
        <f>'RGVM FGD'!$D$88</f>
        <v>0</v>
      </c>
      <c r="E886" s="762">
        <f>'RGVM FGD'!$E$88</f>
        <v>0</v>
      </c>
      <c r="F886" s="762">
        <f>'RGVM FGD'!$F$88</f>
        <v>0</v>
      </c>
      <c r="G886" s="762">
        <f>'RGVM FGD'!$G$88</f>
        <v>0</v>
      </c>
      <c r="H886" s="762">
        <f>'RGVM FGD'!$H$88</f>
        <v>0</v>
      </c>
      <c r="I886" s="762">
        <f>'RGVM FGD'!$I$88</f>
        <v>961830</v>
      </c>
      <c r="J886" s="762">
        <f>'RGVM FGD'!$J$88</f>
        <v>0</v>
      </c>
      <c r="K886" s="762">
        <f>'RGVM FGD'!$K$88</f>
        <v>0</v>
      </c>
      <c r="L886" s="762">
        <f>'RGVM FGD'!$L$88</f>
        <v>0</v>
      </c>
      <c r="M886" s="723">
        <f>'RGVM FGD'!$M$88</f>
        <v>961830</v>
      </c>
    </row>
    <row r="887" spans="1:13" hidden="1" outlineLevel="1">
      <c r="B887" s="823" t="str">
        <f>'SWM FGD'!$B$2</f>
        <v>The University of Texas Southwestern Medical Center</v>
      </c>
      <c r="D887" s="762">
        <f>'SWM FGD'!$D$88</f>
        <v>0</v>
      </c>
      <c r="E887" s="762">
        <f>'SWM FGD'!$E$88</f>
        <v>0</v>
      </c>
      <c r="F887" s="762">
        <f>'SWM FGD'!$F$88</f>
        <v>0</v>
      </c>
      <c r="G887" s="762">
        <f>'SWM FGD'!$G$88</f>
        <v>3073928</v>
      </c>
      <c r="H887" s="762">
        <f>'SWM FGD'!$H$88</f>
        <v>0</v>
      </c>
      <c r="I887" s="762">
        <f>'SWM FGD'!$I$88</f>
        <v>58224520</v>
      </c>
      <c r="J887" s="762">
        <f>'SWM FGD'!$J$88</f>
        <v>0</v>
      </c>
      <c r="K887" s="762">
        <f>'SWM FGD'!$K$88</f>
        <v>0</v>
      </c>
      <c r="L887" s="762">
        <f>'SWM FGD'!$L$88</f>
        <v>0</v>
      </c>
      <c r="M887" s="723">
        <f>'SWM FGD'!$M$88</f>
        <v>61298448</v>
      </c>
    </row>
    <row r="888" spans="1:13" hidden="1" outlineLevel="1">
      <c r="B888" s="823" t="str">
        <f>'TAMHSC FGD'!$B$2</f>
        <v>Texas A&amp;M University System Health Science Center</v>
      </c>
      <c r="D888" s="762">
        <f>'TAMHSC FGD'!$D$88</f>
        <v>0</v>
      </c>
      <c r="E888" s="762">
        <f>'TAMHSC FGD'!$E$88</f>
        <v>0</v>
      </c>
      <c r="F888" s="762">
        <f>'TAMHSC FGD'!$F$88</f>
        <v>0</v>
      </c>
      <c r="G888" s="762">
        <f>'TAMHSC FGD'!$G$88</f>
        <v>0</v>
      </c>
      <c r="H888" s="762">
        <f>'TAMHSC FGD'!$H$88</f>
        <v>0</v>
      </c>
      <c r="I888" s="762">
        <f>'TAMHSC FGD'!$I$88</f>
        <v>66453</v>
      </c>
      <c r="J888" s="762">
        <f>'TAMHSC FGD'!$J$88</f>
        <v>0</v>
      </c>
      <c r="K888" s="762">
        <f>'TAMHSC FGD'!$K$88</f>
        <v>0</v>
      </c>
      <c r="L888" s="762">
        <f>'TAMHSC FGD'!$L$88</f>
        <v>0</v>
      </c>
      <c r="M888" s="723">
        <f>'TAMHSC FGD'!$M$88</f>
        <v>66453</v>
      </c>
    </row>
    <row r="889" spans="1:13" hidden="1" outlineLevel="1">
      <c r="B889" s="823" t="str">
        <f>'THC FGD'!$B$2</f>
        <v>The University of Texas Health Science Center at Tyler</v>
      </c>
      <c r="D889" s="762">
        <f>'THC FGD'!$D$88</f>
        <v>0</v>
      </c>
      <c r="E889" s="762">
        <f>'THC FGD'!$E$88</f>
        <v>0</v>
      </c>
      <c r="F889" s="762">
        <f>'THC FGD'!$F$88</f>
        <v>0</v>
      </c>
      <c r="G889" s="762">
        <f>'THC FGD'!$G$88</f>
        <v>0</v>
      </c>
      <c r="H889" s="762">
        <f>'THC FGD'!$H$88</f>
        <v>0</v>
      </c>
      <c r="I889" s="762">
        <f>'THC FGD'!$I$88</f>
        <v>1097241</v>
      </c>
      <c r="J889" s="762">
        <f>'THC FGD'!$J$88</f>
        <v>0</v>
      </c>
      <c r="K889" s="762">
        <f>'THC FGD'!$K$88</f>
        <v>0</v>
      </c>
      <c r="L889" s="762">
        <f>'THC FGD'!$L$88</f>
        <v>0</v>
      </c>
      <c r="M889" s="723">
        <f>'THC FGD'!$M$88</f>
        <v>1097241</v>
      </c>
    </row>
    <row r="890" spans="1:13" hidden="1" outlineLevel="1">
      <c r="B890" s="823" t="str">
        <f>'TTUHSC FGD'!$B$2</f>
        <v>Texas Tech University Health Sciences Center</v>
      </c>
      <c r="D890" s="762">
        <f>'TTUHSC FGD'!$D$88</f>
        <v>0</v>
      </c>
      <c r="E890" s="762">
        <f>'TTUHSC FGD'!$E$88</f>
        <v>0</v>
      </c>
      <c r="F890" s="762">
        <f>'TTUHSC FGD'!$F$88</f>
        <v>0</v>
      </c>
      <c r="G890" s="762">
        <f>'TTUHSC FGD'!$G$88</f>
        <v>0</v>
      </c>
      <c r="H890" s="762">
        <f>'TTUHSC FGD'!$H$88</f>
        <v>0</v>
      </c>
      <c r="I890" s="762">
        <f>'TTUHSC FGD'!$I$88</f>
        <v>133991</v>
      </c>
      <c r="J890" s="762">
        <f>'TTUHSC FGD'!$J$88</f>
        <v>0</v>
      </c>
      <c r="K890" s="762">
        <f>'TTUHSC FGD'!$K$88</f>
        <v>0</v>
      </c>
      <c r="L890" s="762">
        <f>'TTUHSC FGD'!$L$88</f>
        <v>0</v>
      </c>
      <c r="M890" s="723">
        <f>'TTUHSC FGD'!$M$88</f>
        <v>133991</v>
      </c>
    </row>
    <row r="891" spans="1:13" hidden="1" outlineLevel="1">
      <c r="B891" s="823" t="str">
        <f>'TTUHSCEP FGD'!$B$2</f>
        <v>Texas Tech University Health Sciences Center at El Paso</v>
      </c>
      <c r="D891" s="762">
        <f>'TTUHSCEP FGD'!$D$88</f>
        <v>0</v>
      </c>
      <c r="E891" s="762">
        <f>'TTUHSCEP FGD'!$E$88</f>
        <v>0</v>
      </c>
      <c r="F891" s="762">
        <f>'TTUHSCEP FGD'!$F$88</f>
        <v>0</v>
      </c>
      <c r="G891" s="762">
        <f>'TTUHSCEP FGD'!$G$88</f>
        <v>0</v>
      </c>
      <c r="H891" s="762">
        <f>'TTUHSCEP FGD'!$H$88</f>
        <v>0</v>
      </c>
      <c r="I891" s="762">
        <f>'TTUHSCEP FGD'!$I$88</f>
        <v>71929</v>
      </c>
      <c r="J891" s="762">
        <f>'TTUHSCEP FGD'!$J$88</f>
        <v>0</v>
      </c>
      <c r="K891" s="762">
        <f>'TTUHSCEP FGD'!$K$88</f>
        <v>0</v>
      </c>
      <c r="L891" s="762">
        <f>'TTUHSCEP FGD'!$L$88</f>
        <v>0</v>
      </c>
      <c r="M891" s="723">
        <f>'TTUHSCEP FGD'!$M$88</f>
        <v>71929</v>
      </c>
    </row>
    <row r="892" spans="1:13" hidden="1" outlineLevel="1">
      <c r="B892" s="823" t="str">
        <f>'UHM FGD'!$B$2</f>
        <v>University of Houston Medical School (M)</v>
      </c>
      <c r="D892" s="762">
        <f>'UHM FGD'!$D$88</f>
        <v>0</v>
      </c>
      <c r="E892" s="762">
        <f>'UHM FGD'!$E$88</f>
        <v>0</v>
      </c>
      <c r="F892" s="762">
        <f>'UHM FGD'!$F$88</f>
        <v>0</v>
      </c>
      <c r="G892" s="762">
        <f>'UHM FGD'!$G$88</f>
        <v>0</v>
      </c>
      <c r="H892" s="762">
        <f>'UHM FGD'!$H$88</f>
        <v>0</v>
      </c>
      <c r="I892" s="762">
        <f>'UHM FGD'!$I$88</f>
        <v>0</v>
      </c>
      <c r="J892" s="762">
        <f>'UHM FGD'!$J$88</f>
        <v>0</v>
      </c>
      <c r="K892" s="762">
        <f>'UHM FGD'!$K$88</f>
        <v>0</v>
      </c>
      <c r="L892" s="762">
        <f>'UHM FGD'!$L$88</f>
        <v>0</v>
      </c>
      <c r="M892" s="723">
        <f>'UHM FGD'!$M$88</f>
        <v>0</v>
      </c>
    </row>
    <row r="893" spans="1:13" hidden="1" outlineLevel="1">
      <c r="B893" s="823" t="str">
        <f>'UNTHSC1 FGD'!$B$2</f>
        <v>University of North Texas Health Science Center at Fort Worth (Public Medical)</v>
      </c>
      <c r="D893" s="762">
        <f>'UNTHSC1 FGD'!$D$88</f>
        <v>0</v>
      </c>
      <c r="E893" s="762">
        <f>'UNTHSC1 FGD'!$E$88</f>
        <v>0</v>
      </c>
      <c r="F893" s="762">
        <f>'UNTHSC1 FGD'!$F$88</f>
        <v>0</v>
      </c>
      <c r="G893" s="762">
        <f>'UNTHSC1 FGD'!$G$88</f>
        <v>0</v>
      </c>
      <c r="H893" s="762">
        <f>'UNTHSC1 FGD'!$H$88</f>
        <v>0</v>
      </c>
      <c r="I893" s="762">
        <f>'UNTHSC1 FGD'!$I$88</f>
        <v>0</v>
      </c>
      <c r="J893" s="762">
        <f>'UNTHSC1 FGD'!$J$88</f>
        <v>0</v>
      </c>
      <c r="K893" s="762">
        <f>'UNTHSC1 FGD'!$K$88</f>
        <v>0</v>
      </c>
      <c r="L893" s="762">
        <f>'UNTHSC1 FGD'!$L$88</f>
        <v>0</v>
      </c>
      <c r="M893" s="723">
        <f>'UNTHSC1 FGD'!$M$88</f>
        <v>0</v>
      </c>
    </row>
    <row r="894" spans="1:13" collapsed="1">
      <c r="A894" s="460">
        <v>71</v>
      </c>
      <c r="B894" s="752" t="s">
        <v>480</v>
      </c>
      <c r="D894" s="762">
        <f t="shared" ref="D894:M894" si="61">SUM(D881:D893)</f>
        <v>0</v>
      </c>
      <c r="E894" s="762">
        <f t="shared" si="61"/>
        <v>0</v>
      </c>
      <c r="F894" s="762">
        <f t="shared" si="61"/>
        <v>0</v>
      </c>
      <c r="G894" s="762">
        <f t="shared" si="61"/>
        <v>3420164</v>
      </c>
      <c r="H894" s="762">
        <f t="shared" si="61"/>
        <v>0</v>
      </c>
      <c r="I894" s="762">
        <f t="shared" si="61"/>
        <v>144274656</v>
      </c>
      <c r="J894" s="762">
        <f t="shared" si="61"/>
        <v>0</v>
      </c>
      <c r="K894" s="762">
        <f t="shared" si="61"/>
        <v>0</v>
      </c>
      <c r="L894" s="762">
        <f t="shared" si="61"/>
        <v>0</v>
      </c>
      <c r="M894" s="723">
        <f t="shared" si="61"/>
        <v>147694820</v>
      </c>
    </row>
    <row r="895" spans="1:13" hidden="1" outlineLevel="1">
      <c r="B895" s="823" t="str">
        <f>'AUSM FGD'!$B$2</f>
        <v>The University of Texas at Austin Medical School (M)</v>
      </c>
      <c r="D895" s="762">
        <f>'AUSM FGD'!$D$89</f>
        <v>0</v>
      </c>
      <c r="E895" s="762">
        <f>'AUSM FGD'!$E$89</f>
        <v>0</v>
      </c>
      <c r="F895" s="762">
        <f>'AUSM FGD'!$F$89</f>
        <v>0</v>
      </c>
      <c r="G895" s="762">
        <f>'AUSM FGD'!$G$89</f>
        <v>-24722</v>
      </c>
      <c r="H895" s="762">
        <f>'AUSM FGD'!$H$89</f>
        <v>0</v>
      </c>
      <c r="I895" s="762">
        <f>'AUSM FGD'!$I$89</f>
        <v>-4075306</v>
      </c>
      <c r="J895" s="762">
        <f>'AUSM FGD'!$J$89</f>
        <v>0</v>
      </c>
      <c r="K895" s="762">
        <f>'AUSM FGD'!$K$89</f>
        <v>0</v>
      </c>
      <c r="L895" s="762">
        <f>'AUSM FGD'!$L$89</f>
        <v>0</v>
      </c>
      <c r="M895" s="723">
        <f>'AUSM FGD'!$M$89</f>
        <v>-4100028</v>
      </c>
    </row>
    <row r="896" spans="1:13" hidden="1" outlineLevel="1">
      <c r="B896" s="823" t="str">
        <f>'HSH FGD'!$B$2</f>
        <v>The University of Texas Health Science Center at Houston</v>
      </c>
      <c r="D896" s="762">
        <f>'HSH FGD'!$D$89</f>
        <v>0</v>
      </c>
      <c r="E896" s="762">
        <f>'HSH FGD'!$E$89</f>
        <v>-101440882</v>
      </c>
      <c r="F896" s="762">
        <f>'HSH FGD'!$F$89</f>
        <v>0</v>
      </c>
      <c r="G896" s="762">
        <f>'HSH FGD'!$G$89</f>
        <v>-1</v>
      </c>
      <c r="H896" s="762">
        <f>'HSH FGD'!$H$89</f>
        <v>0</v>
      </c>
      <c r="I896" s="762">
        <f>'HSH FGD'!$I$89</f>
        <v>-52511041</v>
      </c>
      <c r="J896" s="762">
        <f>'HSH FGD'!$J$89</f>
        <v>0</v>
      </c>
      <c r="K896" s="762">
        <f>'HSH FGD'!$K$89</f>
        <v>0</v>
      </c>
      <c r="L896" s="762">
        <f>'HSH FGD'!$L$89</f>
        <v>0</v>
      </c>
      <c r="M896" s="723">
        <f>'HSH FGD'!$M$89</f>
        <v>-153951924</v>
      </c>
    </row>
    <row r="897" spans="1:15" hidden="1" outlineLevel="1">
      <c r="B897" s="823" t="str">
        <f>'HSSA FGD'!$B$2</f>
        <v>The University of Texas Health Science Center at San Antonio</v>
      </c>
      <c r="D897" s="762">
        <f>'HSSA FGD'!$D$89</f>
        <v>0</v>
      </c>
      <c r="E897" s="762">
        <f>'HSSA FGD'!$E$89</f>
        <v>-43442137</v>
      </c>
      <c r="F897" s="762">
        <f>'HSSA FGD'!$F$89</f>
        <v>0</v>
      </c>
      <c r="G897" s="762">
        <f>'HSSA FGD'!$G$89</f>
        <v>-9823872</v>
      </c>
      <c r="H897" s="762">
        <f>'HSSA FGD'!$H$89</f>
        <v>-195589</v>
      </c>
      <c r="I897" s="762">
        <f>'HSSA FGD'!$I$89</f>
        <v>-78450225</v>
      </c>
      <c r="J897" s="762">
        <f>'HSSA FGD'!$J$89</f>
        <v>0</v>
      </c>
      <c r="K897" s="762">
        <f>'HSSA FGD'!$K$89</f>
        <v>0</v>
      </c>
      <c r="L897" s="762">
        <f>'HSSA FGD'!$L$89</f>
        <v>0</v>
      </c>
      <c r="M897" s="723">
        <f>'HSSA FGD'!$M$89</f>
        <v>-131911823</v>
      </c>
    </row>
    <row r="898" spans="1:15" hidden="1" outlineLevel="1">
      <c r="B898" s="823" t="str">
        <f>'MBG FGD'!$B$2</f>
        <v>The University of Texas Medical Branch at Galveston</v>
      </c>
      <c r="D898" s="762">
        <f>'MBG FGD'!$D$89</f>
        <v>0</v>
      </c>
      <c r="E898" s="762">
        <f>'MBG FGD'!$E$89</f>
        <v>-97856028</v>
      </c>
      <c r="F898" s="762">
        <f>'MBG FGD'!$F$89</f>
        <v>0</v>
      </c>
      <c r="G898" s="762">
        <f>'MBG FGD'!$G$89</f>
        <v>683519</v>
      </c>
      <c r="H898" s="762">
        <f>'MBG FGD'!$H$89</f>
        <v>0</v>
      </c>
      <c r="I898" s="762">
        <f>'MBG FGD'!$I$89</f>
        <v>-81631917</v>
      </c>
      <c r="J898" s="762">
        <f>'MBG FGD'!$J$89</f>
        <v>0</v>
      </c>
      <c r="K898" s="762">
        <f>'MBG FGD'!$K$89</f>
        <v>0</v>
      </c>
      <c r="L898" s="762">
        <f>'MBG FGD'!$L$89</f>
        <v>0</v>
      </c>
      <c r="M898" s="723">
        <f>'MBG FGD'!$M$89</f>
        <v>-178804426</v>
      </c>
    </row>
    <row r="899" spans="1:15" hidden="1" outlineLevel="1">
      <c r="B899" s="823" t="str">
        <f>'MDA FGD'!$B$2</f>
        <v>The University of Texas M.D. Anderson Cancer Center</v>
      </c>
      <c r="D899" s="762">
        <f>'MDA FGD'!$D$89</f>
        <v>-767463283</v>
      </c>
      <c r="E899" s="762">
        <f>'MDA FGD'!$E$89</f>
        <v>-187465697</v>
      </c>
      <c r="F899" s="762">
        <f>'MDA FGD'!$F$89</f>
        <v>0</v>
      </c>
      <c r="G899" s="762">
        <f>'MDA FGD'!$G$89</f>
        <v>-586811</v>
      </c>
      <c r="H899" s="762">
        <f>'MDA FGD'!$H$89</f>
        <v>0</v>
      </c>
      <c r="I899" s="762">
        <f>'MDA FGD'!$I$89</f>
        <v>-174350243</v>
      </c>
      <c r="J899" s="762">
        <f>'MDA FGD'!$J$89</f>
        <v>0</v>
      </c>
      <c r="K899" s="762">
        <f>'MDA FGD'!$K$89</f>
        <v>0</v>
      </c>
      <c r="L899" s="762">
        <f>'MDA FGD'!$L$89</f>
        <v>0</v>
      </c>
      <c r="M899" s="723">
        <f>'MDA FGD'!$M$89</f>
        <v>-1129866034</v>
      </c>
    </row>
    <row r="900" spans="1:15" hidden="1" outlineLevel="1">
      <c r="B900" s="823" t="str">
        <f>'RGVM FGD'!$B$2</f>
        <v>The University of Texas Rio Grande Valley Medical School (M)</v>
      </c>
      <c r="D900" s="762">
        <f>'RGVM FGD'!$D$89</f>
        <v>0</v>
      </c>
      <c r="E900" s="762">
        <f>'RGVM FGD'!$E$89</f>
        <v>0</v>
      </c>
      <c r="F900" s="762">
        <f>'RGVM FGD'!$F$89</f>
        <v>0</v>
      </c>
      <c r="G900" s="762">
        <f>'RGVM FGD'!$G$89</f>
        <v>0</v>
      </c>
      <c r="H900" s="762">
        <f>'RGVM FGD'!$H$89</f>
        <v>0</v>
      </c>
      <c r="I900" s="762">
        <f>'RGVM FGD'!$I$89</f>
        <v>304100</v>
      </c>
      <c r="J900" s="762">
        <f>'RGVM FGD'!$J$89</f>
        <v>0</v>
      </c>
      <c r="K900" s="762">
        <f>'RGVM FGD'!$K$89</f>
        <v>0</v>
      </c>
      <c r="L900" s="762">
        <f>'RGVM FGD'!$L$89</f>
        <v>0</v>
      </c>
      <c r="M900" s="723">
        <f>'RGVM FGD'!$M$89</f>
        <v>304100</v>
      </c>
    </row>
    <row r="901" spans="1:15" hidden="1" outlineLevel="1">
      <c r="B901" s="823" t="str">
        <f>'SWM FGD'!$B$2</f>
        <v>The University of Texas Southwestern Medical Center</v>
      </c>
      <c r="D901" s="762">
        <f>'SWM FGD'!$D$89</f>
        <v>0</v>
      </c>
      <c r="E901" s="762">
        <f>'SWM FGD'!$E$89</f>
        <v>-185758159</v>
      </c>
      <c r="F901" s="762">
        <f>'SWM FGD'!$F$89</f>
        <v>-3088498</v>
      </c>
      <c r="G901" s="762">
        <f>'SWM FGD'!$G$89</f>
        <v>-83847157</v>
      </c>
      <c r="H901" s="762">
        <f>'SWM FGD'!$H$89</f>
        <v>-33991</v>
      </c>
      <c r="I901" s="762">
        <f>'SWM FGD'!$I$89</f>
        <v>-174645922</v>
      </c>
      <c r="J901" s="762">
        <f>'SWM FGD'!$J$89</f>
        <v>0</v>
      </c>
      <c r="K901" s="762">
        <f>'SWM FGD'!$K$89</f>
        <v>0</v>
      </c>
      <c r="L901" s="762">
        <f>'SWM FGD'!$L$89</f>
        <v>0</v>
      </c>
      <c r="M901" s="723">
        <f>'SWM FGD'!$M$89</f>
        <v>-447373727</v>
      </c>
    </row>
    <row r="902" spans="1:15" hidden="1" outlineLevel="1">
      <c r="B902" s="823" t="str">
        <f>'TAMHSC FGD'!$B$2</f>
        <v>Texas A&amp;M University System Health Science Center</v>
      </c>
      <c r="D902" s="762">
        <f>'TAMHSC FGD'!$D$89</f>
        <v>-12287337</v>
      </c>
      <c r="E902" s="762">
        <f>'TAMHSC FGD'!$E$89</f>
        <v>-40326507</v>
      </c>
      <c r="F902" s="762">
        <f>'TAMHSC FGD'!$F$89</f>
        <v>0</v>
      </c>
      <c r="G902" s="762">
        <f>'TAMHSC FGD'!$G$89</f>
        <v>0</v>
      </c>
      <c r="H902" s="762">
        <f>'TAMHSC FGD'!$H$89</f>
        <v>0</v>
      </c>
      <c r="I902" s="762">
        <f>'TAMHSC FGD'!$I$89</f>
        <v>-12156284</v>
      </c>
      <c r="J902" s="762">
        <f>'TAMHSC FGD'!$J$89</f>
        <v>0</v>
      </c>
      <c r="K902" s="762">
        <f>'TAMHSC FGD'!$K$89</f>
        <v>0</v>
      </c>
      <c r="L902" s="762">
        <f>'TAMHSC FGD'!$L$89</f>
        <v>0</v>
      </c>
      <c r="M902" s="723">
        <f>'TAMHSC FGD'!$M$89</f>
        <v>-64770128</v>
      </c>
    </row>
    <row r="903" spans="1:15" hidden="1" outlineLevel="1">
      <c r="B903" s="823" t="str">
        <f>'THC FGD'!$B$2</f>
        <v>The University of Texas Health Science Center at Tyler</v>
      </c>
      <c r="D903" s="762">
        <f>'THC FGD'!$D$89</f>
        <v>5751</v>
      </c>
      <c r="E903" s="762">
        <f>'THC FGD'!$E$89</f>
        <v>-663604</v>
      </c>
      <c r="F903" s="762">
        <f>'THC FGD'!$F$89</f>
        <v>0</v>
      </c>
      <c r="G903" s="762">
        <f>'THC FGD'!$G$89</f>
        <v>-54039</v>
      </c>
      <c r="H903" s="762">
        <f>'THC FGD'!$H$89</f>
        <v>0</v>
      </c>
      <c r="I903" s="762">
        <f>'THC FGD'!$I$89</f>
        <v>-5844973</v>
      </c>
      <c r="J903" s="762">
        <f>'THC FGD'!$J$89</f>
        <v>0</v>
      </c>
      <c r="K903" s="762">
        <f>'THC FGD'!$K$89</f>
        <v>0</v>
      </c>
      <c r="L903" s="762">
        <f>'THC FGD'!$L$89</f>
        <v>0</v>
      </c>
      <c r="M903" s="723">
        <f>'THC FGD'!$M$89</f>
        <v>-6556865</v>
      </c>
    </row>
    <row r="904" spans="1:15" hidden="1" outlineLevel="1">
      <c r="B904" s="823" t="str">
        <f>'TTUHSC FGD'!$B$2</f>
        <v>Texas Tech University Health Sciences Center</v>
      </c>
      <c r="D904" s="762">
        <f>'TTUHSC FGD'!$D$89</f>
        <v>0</v>
      </c>
      <c r="E904" s="762">
        <f>'TTUHSC FGD'!$E$89</f>
        <v>-27441380</v>
      </c>
      <c r="F904" s="762">
        <f>'TTUHSC FGD'!$F$89</f>
        <v>0</v>
      </c>
      <c r="G904" s="762">
        <f>'TTUHSC FGD'!$G$89</f>
        <v>-5419763</v>
      </c>
      <c r="H904" s="762">
        <f>'TTUHSC FGD'!$H$89</f>
        <v>0</v>
      </c>
      <c r="I904" s="762">
        <f>'TTUHSC FGD'!$I$89</f>
        <v>-1967088</v>
      </c>
      <c r="J904" s="762">
        <f>'TTUHSC FGD'!$J$89</f>
        <v>0</v>
      </c>
      <c r="K904" s="762">
        <f>'TTUHSC FGD'!$K$89</f>
        <v>0</v>
      </c>
      <c r="L904" s="762">
        <f>'TTUHSC FGD'!$L$89</f>
        <v>0</v>
      </c>
      <c r="M904" s="723">
        <f>'TTUHSC FGD'!$M$89</f>
        <v>-34828231</v>
      </c>
    </row>
    <row r="905" spans="1:15" hidden="1" outlineLevel="1">
      <c r="B905" s="823" t="str">
        <f>'TTUHSCEP FGD'!$B$2</f>
        <v>Texas Tech University Health Sciences Center at El Paso</v>
      </c>
      <c r="D905" s="762">
        <f>'TTUHSCEP FGD'!$D$89</f>
        <v>0</v>
      </c>
      <c r="E905" s="762">
        <f>'TTUHSCEP FGD'!$E$89</f>
        <v>-13212345</v>
      </c>
      <c r="F905" s="762">
        <f>'TTUHSCEP FGD'!$F$89</f>
        <v>0</v>
      </c>
      <c r="G905" s="762">
        <f>'TTUHSCEP FGD'!$G$89</f>
        <v>-404575</v>
      </c>
      <c r="H905" s="762">
        <f>'TTUHSCEP FGD'!$H$89</f>
        <v>0</v>
      </c>
      <c r="I905" s="762">
        <f>'TTUHSCEP FGD'!$I$89</f>
        <v>-1113427</v>
      </c>
      <c r="J905" s="762">
        <f>'TTUHSCEP FGD'!$J$89</f>
        <v>0</v>
      </c>
      <c r="K905" s="762">
        <f>'TTUHSCEP FGD'!$K$89</f>
        <v>0</v>
      </c>
      <c r="L905" s="762">
        <f>'TTUHSCEP FGD'!$L$89</f>
        <v>0</v>
      </c>
      <c r="M905" s="723">
        <f>'TTUHSCEP FGD'!$M$89</f>
        <v>-14730347</v>
      </c>
    </row>
    <row r="906" spans="1:15" hidden="1" outlineLevel="1">
      <c r="B906" s="823" t="str">
        <f>'UHM FGD'!$B$2</f>
        <v>University of Houston Medical School (M)</v>
      </c>
      <c r="D906" s="762">
        <f>'UHM FGD'!$D$89</f>
        <v>0</v>
      </c>
      <c r="E906" s="762">
        <f>'UHM FGD'!$E$89</f>
        <v>0</v>
      </c>
      <c r="F906" s="762">
        <f>'UHM FGD'!$F$89</f>
        <v>0</v>
      </c>
      <c r="G906" s="762">
        <f>'UHM FGD'!$G$89</f>
        <v>0</v>
      </c>
      <c r="H906" s="762">
        <f>'UHM FGD'!$H$89</f>
        <v>0</v>
      </c>
      <c r="I906" s="762">
        <f>'UHM FGD'!$I$89</f>
        <v>0</v>
      </c>
      <c r="J906" s="762">
        <f>'UHM FGD'!$J$89</f>
        <v>0</v>
      </c>
      <c r="K906" s="762">
        <f>'UHM FGD'!$K$89</f>
        <v>0</v>
      </c>
      <c r="L906" s="762">
        <f>'UHM FGD'!$L$89</f>
        <v>0</v>
      </c>
      <c r="M906" s="723">
        <f>'UHM FGD'!$M$89</f>
        <v>0</v>
      </c>
    </row>
    <row r="907" spans="1:15" hidden="1" outlineLevel="1">
      <c r="B907" s="823" t="str">
        <f>'UNTHSC1 FGD'!$B$2</f>
        <v>University of North Texas Health Science Center at Fort Worth (Public Medical)</v>
      </c>
      <c r="D907" s="762">
        <f>'UNTHSC1 FGD'!$D$89</f>
        <v>0</v>
      </c>
      <c r="E907" s="762">
        <f>'UNTHSC1 FGD'!$E$89</f>
        <v>-24975391</v>
      </c>
      <c r="F907" s="762">
        <f>'UNTHSC1 FGD'!$F$89</f>
        <v>0</v>
      </c>
      <c r="G907" s="762">
        <f>'UNTHSC1 FGD'!$G$89</f>
        <v>0</v>
      </c>
      <c r="H907" s="762">
        <f>'UNTHSC1 FGD'!$H$89</f>
        <v>0</v>
      </c>
      <c r="I907" s="762">
        <f>'UNTHSC1 FGD'!$I$89</f>
        <v>-9004542</v>
      </c>
      <c r="J907" s="762">
        <f>'UNTHSC1 FGD'!$J$89</f>
        <v>0</v>
      </c>
      <c r="K907" s="762">
        <f>'UNTHSC1 FGD'!$K$89</f>
        <v>0</v>
      </c>
      <c r="L907" s="762">
        <f>'UNTHSC1 FGD'!$L$89</f>
        <v>0</v>
      </c>
      <c r="M907" s="723">
        <f>'UNTHSC1 FGD'!$M$89</f>
        <v>-33979933</v>
      </c>
    </row>
    <row r="908" spans="1:15" collapsed="1">
      <c r="A908" s="460">
        <v>72</v>
      </c>
      <c r="B908" s="858" t="s">
        <v>155</v>
      </c>
      <c r="C908" s="858"/>
      <c r="D908" s="769">
        <f t="shared" ref="D908:M908" si="62">SUM(D895:D907)</f>
        <v>-779744869</v>
      </c>
      <c r="E908" s="769">
        <f t="shared" si="62"/>
        <v>-722582130</v>
      </c>
      <c r="F908" s="769">
        <f t="shared" si="62"/>
        <v>-3088498</v>
      </c>
      <c r="G908" s="769">
        <f t="shared" si="62"/>
        <v>-99477421</v>
      </c>
      <c r="H908" s="769">
        <f t="shared" si="62"/>
        <v>-229580</v>
      </c>
      <c r="I908" s="769">
        <f t="shared" si="62"/>
        <v>-595446868</v>
      </c>
      <c r="J908" s="769">
        <f t="shared" si="62"/>
        <v>0</v>
      </c>
      <c r="K908" s="769">
        <f t="shared" si="62"/>
        <v>0</v>
      </c>
      <c r="L908" s="769">
        <f t="shared" si="62"/>
        <v>0</v>
      </c>
      <c r="M908" s="769">
        <f t="shared" si="62"/>
        <v>-2200569366</v>
      </c>
      <c r="O908" s="322" t="str">
        <f>IF(M908&lt;&gt;M1134,"Error","OK")</f>
        <v>OK</v>
      </c>
    </row>
    <row r="909" spans="1:15">
      <c r="A909" s="460">
        <v>73</v>
      </c>
      <c r="D909" s="723"/>
      <c r="E909" s="723"/>
      <c r="F909" s="723"/>
      <c r="G909" s="723"/>
      <c r="H909" s="723"/>
      <c r="I909" s="723"/>
      <c r="J909" s="723"/>
      <c r="K909" s="723"/>
      <c r="L909" s="723"/>
      <c r="M909" s="723"/>
    </row>
    <row r="910" spans="1:15" hidden="1" outlineLevel="1">
      <c r="B910" s="823" t="str">
        <f>'AUSM FGD'!$B$2</f>
        <v>The University of Texas at Austin Medical School (M)</v>
      </c>
      <c r="D910" s="723">
        <f>'AUSM FGD'!$D$91</f>
        <v>-7338566</v>
      </c>
      <c r="E910" s="723">
        <f>'AUSM FGD'!$E$91</f>
        <v>5065605</v>
      </c>
      <c r="F910" s="723">
        <f>'AUSM FGD'!$F$91</f>
        <v>-1006729</v>
      </c>
      <c r="G910" s="723">
        <f>'AUSM FGD'!$G$91</f>
        <v>-5453054</v>
      </c>
      <c r="H910" s="723">
        <f>'AUSM FGD'!$H$91</f>
        <v>0</v>
      </c>
      <c r="I910" s="723">
        <f>'AUSM FGD'!$I$91</f>
        <v>-5368982</v>
      </c>
      <c r="J910" s="723">
        <f>'AUSM FGD'!$J$91</f>
        <v>-3249718</v>
      </c>
      <c r="K910" s="723">
        <f>'AUSM FGD'!$K$91</f>
        <v>0</v>
      </c>
      <c r="L910" s="723">
        <f>'AUSM FGD'!$L$91</f>
        <v>-123159</v>
      </c>
      <c r="M910" s="723">
        <f>'AUSM FGD'!$M$91</f>
        <v>-17474603</v>
      </c>
    </row>
    <row r="911" spans="1:15" hidden="1" outlineLevel="1">
      <c r="B911" s="823" t="str">
        <f>'HSH FGD'!$B$2</f>
        <v>The University of Texas Health Science Center at Houston</v>
      </c>
      <c r="D911" s="723">
        <f>'HSH FGD'!$D$91</f>
        <v>-8281797</v>
      </c>
      <c r="E911" s="723">
        <f>'HSH FGD'!$E$91</f>
        <v>-91864367</v>
      </c>
      <c r="F911" s="723">
        <f>'HSH FGD'!$F$91</f>
        <v>10956061</v>
      </c>
      <c r="G911" s="723">
        <f>'HSH FGD'!$G$91</f>
        <v>7814841</v>
      </c>
      <c r="H911" s="723">
        <f>'HSH FGD'!$H$91</f>
        <v>-515341</v>
      </c>
      <c r="I911" s="723">
        <f>'HSH FGD'!$I$91</f>
        <v>45759780</v>
      </c>
      <c r="J911" s="723">
        <f>'HSH FGD'!$J$91</f>
        <v>-9105236</v>
      </c>
      <c r="K911" s="723">
        <f>'HSH FGD'!$K$91</f>
        <v>0</v>
      </c>
      <c r="L911" s="723">
        <f>'HSH FGD'!$L$91</f>
        <v>23230841</v>
      </c>
      <c r="M911" s="723">
        <f>'HSH FGD'!$M$91</f>
        <v>-22005218</v>
      </c>
    </row>
    <row r="912" spans="1:15" hidden="1" outlineLevel="1">
      <c r="B912" s="823" t="str">
        <f>'HSSA FGD'!$B$2</f>
        <v>The University of Texas Health Science Center at San Antonio</v>
      </c>
      <c r="D912" s="723">
        <f>'HSSA FGD'!$D$91</f>
        <v>-7174317</v>
      </c>
      <c r="E912" s="723">
        <f>'HSSA FGD'!$E$91</f>
        <v>6147045</v>
      </c>
      <c r="F912" s="723">
        <f>'HSSA FGD'!$F$91</f>
        <v>2403677</v>
      </c>
      <c r="G912" s="723">
        <f>'HSSA FGD'!$G$91</f>
        <v>-1396963</v>
      </c>
      <c r="H912" s="723">
        <f>'HSSA FGD'!$H$91</f>
        <v>-372547</v>
      </c>
      <c r="I912" s="723">
        <f>'HSSA FGD'!$I$91</f>
        <v>-71975105</v>
      </c>
      <c r="J912" s="723">
        <f>'HSSA FGD'!$J$91</f>
        <v>-25110519</v>
      </c>
      <c r="K912" s="723">
        <f>'HSSA FGD'!$K$91</f>
        <v>0</v>
      </c>
      <c r="L912" s="723">
        <f>'HSSA FGD'!$L$91</f>
        <v>-4226127</v>
      </c>
      <c r="M912" s="723">
        <f>'HSSA FGD'!$M$91</f>
        <v>-101704856</v>
      </c>
    </row>
    <row r="913" spans="1:15" hidden="1" outlineLevel="1">
      <c r="B913" s="823" t="str">
        <f>'MBG FGD'!$B$2</f>
        <v>The University of Texas Medical Branch at Galveston</v>
      </c>
      <c r="D913" s="723">
        <f>'MBG FGD'!$D$91</f>
        <v>-19161892</v>
      </c>
      <c r="E913" s="723">
        <f>'MBG FGD'!$E$91</f>
        <v>-43726768</v>
      </c>
      <c r="F913" s="723">
        <f>'MBG FGD'!$F$91</f>
        <v>2944181</v>
      </c>
      <c r="G913" s="723">
        <f>'MBG FGD'!$G$91</f>
        <v>9401236</v>
      </c>
      <c r="H913" s="723">
        <f>'MBG FGD'!$H$91</f>
        <v>191513</v>
      </c>
      <c r="I913" s="723">
        <f>'MBG FGD'!$I$91</f>
        <v>-62773492</v>
      </c>
      <c r="J913" s="723">
        <f>'MBG FGD'!$J$91</f>
        <v>19044190</v>
      </c>
      <c r="K913" s="723">
        <f>'MBG FGD'!$K$91</f>
        <v>0</v>
      </c>
      <c r="L913" s="723">
        <f>'MBG FGD'!$L$91</f>
        <v>23669452</v>
      </c>
      <c r="M913" s="723">
        <f>'MBG FGD'!$M$91</f>
        <v>-70411580</v>
      </c>
    </row>
    <row r="914" spans="1:15" hidden="1" outlineLevel="1">
      <c r="B914" s="823" t="str">
        <f>'MDA FGD'!$B$2</f>
        <v>The University of Texas M.D. Anderson Cancer Center</v>
      </c>
      <c r="D914" s="723">
        <f>'MDA FGD'!$D$91</f>
        <v>-455662483</v>
      </c>
      <c r="E914" s="723">
        <f>'MDA FGD'!$E$91</f>
        <v>-2441368</v>
      </c>
      <c r="F914" s="723">
        <f>'MDA FGD'!$F$91</f>
        <v>7820182</v>
      </c>
      <c r="G914" s="723">
        <f>'MDA FGD'!$G$91</f>
        <v>-14261664</v>
      </c>
      <c r="H914" s="723">
        <f>'MDA FGD'!$H$91</f>
        <v>0</v>
      </c>
      <c r="I914" s="723">
        <f>'MDA FGD'!$I$91</f>
        <v>-165708907</v>
      </c>
      <c r="J914" s="723">
        <f>'MDA FGD'!$J$91</f>
        <v>435323661</v>
      </c>
      <c r="K914" s="723">
        <f>'MDA FGD'!$K$91</f>
        <v>0</v>
      </c>
      <c r="L914" s="723">
        <f>'MDA FGD'!$L$91</f>
        <v>25033267</v>
      </c>
      <c r="M914" s="723">
        <f>'MDA FGD'!$M$91</f>
        <v>-169897312</v>
      </c>
    </row>
    <row r="915" spans="1:15" hidden="1" outlineLevel="1">
      <c r="B915" s="823" t="str">
        <f>'RGVM FGD'!$B$2</f>
        <v>The University of Texas Rio Grande Valley Medical School (M)</v>
      </c>
      <c r="D915" s="723">
        <f>'RGVM FGD'!$D$91</f>
        <v>-1398381</v>
      </c>
      <c r="E915" s="723">
        <f>'RGVM FGD'!$E$91</f>
        <v>8927078</v>
      </c>
      <c r="F915" s="723">
        <f>'RGVM FGD'!$F$91</f>
        <v>156298</v>
      </c>
      <c r="G915" s="723">
        <f>'RGVM FGD'!$G$91</f>
        <v>-1867013</v>
      </c>
      <c r="H915" s="723">
        <f>'RGVM FGD'!$H$91</f>
        <v>0</v>
      </c>
      <c r="I915" s="723">
        <f>'RGVM FGD'!$I$91</f>
        <v>307773</v>
      </c>
      <c r="J915" s="723">
        <f>'RGVM FGD'!$J$91</f>
        <v>-6165921</v>
      </c>
      <c r="K915" s="723">
        <f>'RGVM FGD'!$K$91</f>
        <v>0</v>
      </c>
      <c r="L915" s="723">
        <f>'RGVM FGD'!$L$91</f>
        <v>2934775</v>
      </c>
      <c r="M915" s="723">
        <f>'RGVM FGD'!$M$91</f>
        <v>2894609</v>
      </c>
    </row>
    <row r="916" spans="1:15" hidden="1" outlineLevel="1">
      <c r="B916" s="823" t="str">
        <f>'SWM FGD'!$B$2</f>
        <v>The University of Texas Southwestern Medical Center</v>
      </c>
      <c r="D916" s="723">
        <f>'SWM FGD'!$D$91</f>
        <v>-496830</v>
      </c>
      <c r="E916" s="723">
        <f>'SWM FGD'!$E$91</f>
        <v>276130257</v>
      </c>
      <c r="F916" s="723">
        <f>'SWM FGD'!$F$91</f>
        <v>-8941471</v>
      </c>
      <c r="G916" s="723">
        <f>'SWM FGD'!$G$91</f>
        <v>-337115567</v>
      </c>
      <c r="H916" s="723">
        <f>'SWM FGD'!$H$91</f>
        <v>-555703</v>
      </c>
      <c r="I916" s="723">
        <f>'SWM FGD'!$I$91</f>
        <v>-122389701</v>
      </c>
      <c r="J916" s="723">
        <f>'SWM FGD'!$J$91</f>
        <v>14008880</v>
      </c>
      <c r="K916" s="723">
        <f>'SWM FGD'!$K$91</f>
        <v>0</v>
      </c>
      <c r="L916" s="723">
        <f>'SWM FGD'!$L$91</f>
        <v>12356443</v>
      </c>
      <c r="M916" s="723">
        <f>'SWM FGD'!$M$91</f>
        <v>-167003692</v>
      </c>
    </row>
    <row r="917" spans="1:15" hidden="1" outlineLevel="1">
      <c r="B917" s="823" t="str">
        <f>'TAMHSC FGD'!$B$2</f>
        <v>Texas A&amp;M University System Health Science Center</v>
      </c>
      <c r="D917" s="723">
        <f>'TAMHSC FGD'!$D$91</f>
        <v>-11314451</v>
      </c>
      <c r="E917" s="723">
        <f>'TAMHSC FGD'!$E$91</f>
        <v>58748858</v>
      </c>
      <c r="F917" s="723">
        <f>'TAMHSC FGD'!$F$91</f>
        <v>10682</v>
      </c>
      <c r="G917" s="723">
        <f>'TAMHSC FGD'!$G$91</f>
        <v>2028524</v>
      </c>
      <c r="H917" s="723">
        <f>'TAMHSC FGD'!$H$91</f>
        <v>-9650</v>
      </c>
      <c r="I917" s="723">
        <f>'TAMHSC FGD'!$I$91</f>
        <v>-12879964</v>
      </c>
      <c r="J917" s="723">
        <f>'TAMHSC FGD'!$J$91</f>
        <v>214414</v>
      </c>
      <c r="K917" s="723">
        <f>'TAMHSC FGD'!$K$91</f>
        <v>0</v>
      </c>
      <c r="L917" s="723">
        <f>'TAMHSC FGD'!$L$91</f>
        <v>-10919647</v>
      </c>
      <c r="M917" s="723">
        <f>'TAMHSC FGD'!$M$91</f>
        <v>25878766</v>
      </c>
    </row>
    <row r="918" spans="1:15" hidden="1" outlineLevel="1">
      <c r="B918" s="823" t="str">
        <f>'THC FGD'!$B$2</f>
        <v>The University of Texas Health Science Center at Tyler</v>
      </c>
      <c r="D918" s="723">
        <f>'THC FGD'!$D$91</f>
        <v>5325038</v>
      </c>
      <c r="E918" s="723">
        <f>'THC FGD'!$E$91</f>
        <v>-4855529</v>
      </c>
      <c r="F918" s="723">
        <f>'THC FGD'!$F$91</f>
        <v>-31123</v>
      </c>
      <c r="G918" s="723">
        <f>'THC FGD'!$G$91</f>
        <v>7555294</v>
      </c>
      <c r="H918" s="723">
        <f>'THC FGD'!$H$91</f>
        <v>0</v>
      </c>
      <c r="I918" s="723">
        <f>'THC FGD'!$I$91</f>
        <v>-5607266</v>
      </c>
      <c r="J918" s="723">
        <f>'THC FGD'!$J$91</f>
        <v>-739549</v>
      </c>
      <c r="K918" s="723">
        <f>'THC FGD'!$K$91</f>
        <v>0</v>
      </c>
      <c r="L918" s="723">
        <f>'THC FGD'!$L$91</f>
        <v>1209757</v>
      </c>
      <c r="M918" s="723">
        <f>'THC FGD'!$M$91</f>
        <v>2856622</v>
      </c>
    </row>
    <row r="919" spans="1:15" hidden="1" outlineLevel="1">
      <c r="B919" s="823" t="str">
        <f>'TTUHSC FGD'!$B$2</f>
        <v>Texas Tech University Health Sciences Center</v>
      </c>
      <c r="D919" s="723">
        <f>'TTUHSC FGD'!$D$91</f>
        <v>-979622</v>
      </c>
      <c r="E919" s="723">
        <f>'TTUHSC FGD'!$E$91</f>
        <v>6983824</v>
      </c>
      <c r="F919" s="723">
        <f>'TTUHSC FGD'!$F$91</f>
        <v>-224133</v>
      </c>
      <c r="G919" s="723">
        <f>'TTUHSC FGD'!$G$91</f>
        <v>100086</v>
      </c>
      <c r="H919" s="723">
        <f>'TTUHSC FGD'!$H$91</f>
        <v>-329726</v>
      </c>
      <c r="I919" s="723">
        <f>'TTUHSC FGD'!$I$91</f>
        <v>12006907</v>
      </c>
      <c r="J919" s="723">
        <f>'TTUHSC FGD'!$J$91</f>
        <v>1779925</v>
      </c>
      <c r="K919" s="723">
        <f>'TTUHSC FGD'!$K$91</f>
        <v>0</v>
      </c>
      <c r="L919" s="723">
        <f>'TTUHSC FGD'!$L$91</f>
        <v>-191185</v>
      </c>
      <c r="M919" s="723">
        <f>'TTUHSC FGD'!$M$91</f>
        <v>19146076</v>
      </c>
    </row>
    <row r="920" spans="1:15" hidden="1" outlineLevel="1">
      <c r="B920" s="823" t="str">
        <f>'TTUHSCEP FGD'!$B$2</f>
        <v>Texas Tech University Health Sciences Center at El Paso</v>
      </c>
      <c r="D920" s="723">
        <f>'TTUHSCEP FGD'!$D$91</f>
        <v>1177263</v>
      </c>
      <c r="E920" s="723">
        <f>'TTUHSCEP FGD'!$E$91</f>
        <v>-1074910</v>
      </c>
      <c r="F920" s="723">
        <f>'TTUHSCEP FGD'!$F$91</f>
        <v>6966</v>
      </c>
      <c r="G920" s="723">
        <f>'TTUHSCEP FGD'!$G$91</f>
        <v>3301329</v>
      </c>
      <c r="H920" s="723">
        <f>'TTUHSCEP FGD'!$H$91</f>
        <v>-124877</v>
      </c>
      <c r="I920" s="723">
        <f>'TTUHSCEP FGD'!$I$91</f>
        <v>-3559060</v>
      </c>
      <c r="J920" s="723">
        <f>'TTUHSCEP FGD'!$J$91</f>
        <v>-1144310</v>
      </c>
      <c r="K920" s="723">
        <f>'TTUHSCEP FGD'!$K$91</f>
        <v>0</v>
      </c>
      <c r="L920" s="723">
        <f>'TTUHSCEP FGD'!$L$91</f>
        <v>-464449</v>
      </c>
      <c r="M920" s="723">
        <f>'TTUHSCEP FGD'!$M$91</f>
        <v>-1882048</v>
      </c>
    </row>
    <row r="921" spans="1:15" hidden="1" outlineLevel="1">
      <c r="B921" s="823" t="str">
        <f>'UHM FGD'!$B$2</f>
        <v>University of Houston Medical School (M)</v>
      </c>
      <c r="D921" s="723">
        <f>'UHM FGD'!$D$91</f>
        <v>1111447</v>
      </c>
      <c r="E921" s="723">
        <f>'UHM FGD'!$E$91</f>
        <v>-1884621</v>
      </c>
      <c r="F921" s="723">
        <f>'UHM FGD'!$F$91</f>
        <v>50940</v>
      </c>
      <c r="G921" s="723">
        <f>'UHM FGD'!$G$91</f>
        <v>1075373</v>
      </c>
      <c r="H921" s="723">
        <f>'UHM FGD'!$H$91</f>
        <v>0</v>
      </c>
      <c r="I921" s="723">
        <f>'UHM FGD'!$I$91</f>
        <v>0</v>
      </c>
      <c r="J921" s="723">
        <f>'UHM FGD'!$J$91</f>
        <v>0</v>
      </c>
      <c r="K921" s="723">
        <f>'UHM FGD'!$K$91</f>
        <v>0</v>
      </c>
      <c r="L921" s="723">
        <f>'UHM FGD'!$L$91</f>
        <v>0</v>
      </c>
      <c r="M921" s="723">
        <f>'UHM FGD'!$M$91</f>
        <v>353139</v>
      </c>
    </row>
    <row r="922" spans="1:15" hidden="1" outlineLevel="1">
      <c r="B922" s="823" t="str">
        <f>'UNTHSC1 FGD'!$B$2</f>
        <v>University of North Texas Health Science Center at Fort Worth (Public Medical)</v>
      </c>
      <c r="D922" s="723">
        <f>'UNTHSC1 FGD'!$D$91</f>
        <v>-3628375</v>
      </c>
      <c r="E922" s="723">
        <f>'UNTHSC1 FGD'!$E$91</f>
        <v>-4672462</v>
      </c>
      <c r="F922" s="723">
        <f>'UNTHSC1 FGD'!$F$91</f>
        <v>330505</v>
      </c>
      <c r="G922" s="723">
        <f>'UNTHSC1 FGD'!$G$91</f>
        <v>10362699</v>
      </c>
      <c r="H922" s="723">
        <f>'UNTHSC1 FGD'!$H$91</f>
        <v>976482</v>
      </c>
      <c r="I922" s="723">
        <f>'UNTHSC1 FGD'!$I$91</f>
        <v>-8716147</v>
      </c>
      <c r="J922" s="723">
        <f>'UNTHSC1 FGD'!$J$91</f>
        <v>-209</v>
      </c>
      <c r="K922" s="723">
        <f>'UNTHSC1 FGD'!$K$91</f>
        <v>-14175088</v>
      </c>
      <c r="L922" s="723">
        <f>'UNTHSC1 FGD'!$L$91</f>
        <v>2554961</v>
      </c>
      <c r="M922" s="723">
        <f>'UNTHSC1 FGD'!$M$91</f>
        <v>-16967634</v>
      </c>
    </row>
    <row r="923" spans="1:15" collapsed="1">
      <c r="A923" s="460">
        <v>74</v>
      </c>
      <c r="B923" s="858" t="s">
        <v>606</v>
      </c>
      <c r="C923" s="858"/>
      <c r="D923" s="769">
        <f t="shared" ref="D923:M923" si="63">SUM(D910:D922)</f>
        <v>-507822966</v>
      </c>
      <c r="E923" s="769">
        <f t="shared" si="63"/>
        <v>211482642</v>
      </c>
      <c r="F923" s="769">
        <f t="shared" si="63"/>
        <v>14476036</v>
      </c>
      <c r="G923" s="769">
        <f t="shared" si="63"/>
        <v>-318454879</v>
      </c>
      <c r="H923" s="769">
        <f t="shared" si="63"/>
        <v>-739849</v>
      </c>
      <c r="I923" s="769">
        <f t="shared" si="63"/>
        <v>-400904164</v>
      </c>
      <c r="J923" s="769">
        <f t="shared" si="63"/>
        <v>424855608</v>
      </c>
      <c r="K923" s="769">
        <f t="shared" si="63"/>
        <v>-14175088</v>
      </c>
      <c r="L923" s="769">
        <f t="shared" si="63"/>
        <v>75064929</v>
      </c>
      <c r="M923" s="769">
        <f t="shared" si="63"/>
        <v>-516217731</v>
      </c>
      <c r="O923" s="322" t="str">
        <f>IF(M923&lt;&gt;M1136,"Error","OK")</f>
        <v>OK</v>
      </c>
    </row>
    <row r="924" spans="1:15">
      <c r="A924" s="460">
        <v>75</v>
      </c>
      <c r="D924" s="723"/>
      <c r="E924" s="723"/>
      <c r="F924" s="723"/>
      <c r="G924" s="723"/>
      <c r="H924" s="723"/>
      <c r="I924" s="723"/>
      <c r="J924" s="723"/>
      <c r="K924" s="723"/>
      <c r="L924" s="723"/>
      <c r="M924" s="723"/>
    </row>
    <row r="925" spans="1:15" hidden="1" outlineLevel="1">
      <c r="B925" s="823" t="str">
        <f>'AUSM FGD'!$B$2</f>
        <v>The University of Texas at Austin Medical School (M)</v>
      </c>
      <c r="D925" s="723">
        <f>'AUSM FGD'!$D$93</f>
        <v>0</v>
      </c>
      <c r="E925" s="723">
        <f>'AUSM FGD'!$E$93</f>
        <v>0</v>
      </c>
      <c r="F925" s="723">
        <f>'AUSM FGD'!$F$93</f>
        <v>0</v>
      </c>
      <c r="G925" s="723">
        <f>'AUSM FGD'!$G$93</f>
        <v>0</v>
      </c>
      <c r="H925" s="723">
        <f>'AUSM FGD'!$H$93</f>
        <v>0</v>
      </c>
      <c r="I925" s="723">
        <f>'AUSM FGD'!$I$93</f>
        <v>0</v>
      </c>
      <c r="J925" s="723">
        <f>'AUSM FGD'!$J$93</f>
        <v>0</v>
      </c>
      <c r="K925" s="723">
        <f>'AUSM FGD'!$K$93</f>
        <v>0</v>
      </c>
      <c r="L925" s="723">
        <f>'AUSM FGD'!$L$93</f>
        <v>-26062937</v>
      </c>
      <c r="M925" s="723">
        <f>'AUSM FGD'!$M$93</f>
        <v>-26062937</v>
      </c>
    </row>
    <row r="926" spans="1:15" hidden="1" outlineLevel="1">
      <c r="B926" s="823" t="str">
        <f>'HSH FGD'!$B$2</f>
        <v>The University of Texas Health Science Center at Houston</v>
      </c>
      <c r="D926" s="723">
        <f>'HSH FGD'!$D$93</f>
        <v>0</v>
      </c>
      <c r="E926" s="723">
        <f>'HSH FGD'!$E$93</f>
        <v>0</v>
      </c>
      <c r="F926" s="723">
        <f>'HSH FGD'!$F$93</f>
        <v>0</v>
      </c>
      <c r="G926" s="723">
        <f>'HSH FGD'!$G$93</f>
        <v>0</v>
      </c>
      <c r="H926" s="723">
        <f>'HSH FGD'!$H$93</f>
        <v>0</v>
      </c>
      <c r="I926" s="723">
        <f>'HSH FGD'!$I$93</f>
        <v>0</v>
      </c>
      <c r="J926" s="723">
        <f>'HSH FGD'!$J$93</f>
        <v>0</v>
      </c>
      <c r="K926" s="723">
        <f>'HSH FGD'!$K$93</f>
        <v>0</v>
      </c>
      <c r="L926" s="723">
        <f>'HSH FGD'!$L$93</f>
        <v>-102585352</v>
      </c>
      <c r="M926" s="723">
        <f>'HSH FGD'!$M$93</f>
        <v>-102585352</v>
      </c>
    </row>
    <row r="927" spans="1:15" hidden="1" outlineLevel="1">
      <c r="B927" s="823" t="str">
        <f>'HSSA FGD'!$B$2</f>
        <v>The University of Texas Health Science Center at San Antonio</v>
      </c>
      <c r="D927" s="723">
        <f>'HSSA FGD'!$D$93</f>
        <v>0</v>
      </c>
      <c r="E927" s="723">
        <f>'HSSA FGD'!$E$93</f>
        <v>0</v>
      </c>
      <c r="F927" s="723">
        <f>'HSSA FGD'!$F$93</f>
        <v>0</v>
      </c>
      <c r="G927" s="723">
        <f>'HSSA FGD'!$G$93</f>
        <v>0</v>
      </c>
      <c r="H927" s="723">
        <f>'HSSA FGD'!$H$93</f>
        <v>0</v>
      </c>
      <c r="I927" s="723">
        <f>'HSSA FGD'!$I$93</f>
        <v>0</v>
      </c>
      <c r="J927" s="723">
        <f>'HSSA FGD'!$J$93</f>
        <v>0</v>
      </c>
      <c r="K927" s="723">
        <f>'HSSA FGD'!$K$93</f>
        <v>0</v>
      </c>
      <c r="L927" s="723">
        <f>'HSSA FGD'!$L$93</f>
        <v>-67461322</v>
      </c>
      <c r="M927" s="723">
        <f>'HSSA FGD'!$M$93</f>
        <v>-67461322</v>
      </c>
    </row>
    <row r="928" spans="1:15" hidden="1" outlineLevel="1">
      <c r="B928" s="823" t="str">
        <f>'MBG FGD'!$B$2</f>
        <v>The University of Texas Medical Branch at Galveston</v>
      </c>
      <c r="D928" s="723">
        <f>'MBG FGD'!$D$93</f>
        <v>0</v>
      </c>
      <c r="E928" s="723">
        <f>'MBG FGD'!$E$93</f>
        <v>0</v>
      </c>
      <c r="F928" s="723">
        <f>'MBG FGD'!$F$93</f>
        <v>0</v>
      </c>
      <c r="G928" s="723">
        <f>'MBG FGD'!$G$93</f>
        <v>0</v>
      </c>
      <c r="H928" s="723">
        <f>'MBG FGD'!$H$93</f>
        <v>0</v>
      </c>
      <c r="I928" s="723">
        <f>'MBG FGD'!$I$93</f>
        <v>0</v>
      </c>
      <c r="J928" s="723">
        <f>'MBG FGD'!$J$93</f>
        <v>0</v>
      </c>
      <c r="K928" s="723">
        <f>'MBG FGD'!$K$93</f>
        <v>0</v>
      </c>
      <c r="L928" s="723">
        <f>'MBG FGD'!$L$93</f>
        <v>-213137449</v>
      </c>
      <c r="M928" s="723">
        <f>'MBG FGD'!$M$93</f>
        <v>-213137449</v>
      </c>
    </row>
    <row r="929" spans="1:13" hidden="1" outlineLevel="1">
      <c r="B929" s="823" t="str">
        <f>'MDA FGD'!$B$2</f>
        <v>The University of Texas M.D. Anderson Cancer Center</v>
      </c>
      <c r="D929" s="723">
        <f>'MDA FGD'!$D$93</f>
        <v>-367129</v>
      </c>
      <c r="E929" s="723">
        <f>'MDA FGD'!$E$93</f>
        <v>0</v>
      </c>
      <c r="F929" s="723">
        <f>'MDA FGD'!$F$93</f>
        <v>0</v>
      </c>
      <c r="G929" s="723">
        <f>'MDA FGD'!$G$93</f>
        <v>0</v>
      </c>
      <c r="H929" s="723">
        <f>'MDA FGD'!$H$93</f>
        <v>0</v>
      </c>
      <c r="I929" s="723">
        <f>'MDA FGD'!$I$93</f>
        <v>0</v>
      </c>
      <c r="J929" s="723">
        <f>'MDA FGD'!$J$93</f>
        <v>0</v>
      </c>
      <c r="K929" s="723">
        <f>'MDA FGD'!$K$93</f>
        <v>0</v>
      </c>
      <c r="L929" s="723">
        <f>'MDA FGD'!$L$93</f>
        <v>-371948473</v>
      </c>
      <c r="M929" s="723">
        <f>'MDA FGD'!$M$93</f>
        <v>-372315602</v>
      </c>
    </row>
    <row r="930" spans="1:13" hidden="1" outlineLevel="1">
      <c r="B930" s="823" t="str">
        <f>'RGVM FGD'!$B$2</f>
        <v>The University of Texas Rio Grande Valley Medical School (M)</v>
      </c>
      <c r="D930" s="723">
        <f>'RGVM FGD'!$D$93</f>
        <v>0</v>
      </c>
      <c r="E930" s="723">
        <f>'RGVM FGD'!$E$93</f>
        <v>0</v>
      </c>
      <c r="F930" s="723">
        <f>'RGVM FGD'!$F$93</f>
        <v>0</v>
      </c>
      <c r="G930" s="723">
        <f>'RGVM FGD'!$G$93</f>
        <v>0</v>
      </c>
      <c r="H930" s="723">
        <f>'RGVM FGD'!$H$93</f>
        <v>0</v>
      </c>
      <c r="I930" s="723">
        <f>'RGVM FGD'!$I$93</f>
        <v>0</v>
      </c>
      <c r="J930" s="723">
        <f>'RGVM FGD'!$J$93</f>
        <v>0</v>
      </c>
      <c r="K930" s="723">
        <f>'RGVM FGD'!$K$93</f>
        <v>0</v>
      </c>
      <c r="L930" s="723">
        <f>'RGVM FGD'!$L$93</f>
        <v>-13112732</v>
      </c>
      <c r="M930" s="723">
        <f>'RGVM FGD'!$M$93</f>
        <v>-13112732</v>
      </c>
    </row>
    <row r="931" spans="1:13" hidden="1" outlineLevel="1">
      <c r="B931" s="823" t="str">
        <f>'SWM FGD'!$B$2</f>
        <v>The University of Texas Southwestern Medical Center</v>
      </c>
      <c r="D931" s="723">
        <f>'SWM FGD'!$D$93</f>
        <v>0</v>
      </c>
      <c r="E931" s="723">
        <f>'SWM FGD'!$E$93</f>
        <v>0</v>
      </c>
      <c r="F931" s="723">
        <f>'SWM FGD'!$F$93</f>
        <v>0</v>
      </c>
      <c r="G931" s="723">
        <f>'SWM FGD'!$G$93</f>
        <v>0</v>
      </c>
      <c r="H931" s="723">
        <f>'SWM FGD'!$H$93</f>
        <v>0</v>
      </c>
      <c r="I931" s="723">
        <f>'SWM FGD'!$I$93</f>
        <v>0</v>
      </c>
      <c r="J931" s="723">
        <f>'SWM FGD'!$J$93</f>
        <v>0</v>
      </c>
      <c r="K931" s="723">
        <f>'SWM FGD'!$K$93</f>
        <v>0</v>
      </c>
      <c r="L931" s="723">
        <f>'SWM FGD'!$L$93</f>
        <v>-243738948</v>
      </c>
      <c r="M931" s="723">
        <f>'SWM FGD'!$M$93</f>
        <v>-243738948</v>
      </c>
    </row>
    <row r="932" spans="1:13" hidden="1" outlineLevel="1">
      <c r="B932" s="823" t="str">
        <f>'TAMHSC FGD'!$B$2</f>
        <v>Texas A&amp;M University System Health Science Center</v>
      </c>
      <c r="D932" s="723">
        <f>'TAMHSC FGD'!$D$93</f>
        <v>0</v>
      </c>
      <c r="E932" s="723">
        <f>'TAMHSC FGD'!$E$93</f>
        <v>0</v>
      </c>
      <c r="F932" s="723">
        <f>'TAMHSC FGD'!$F$93</f>
        <v>0</v>
      </c>
      <c r="G932" s="723">
        <f>'TAMHSC FGD'!$G$93</f>
        <v>0</v>
      </c>
      <c r="H932" s="723">
        <f>'TAMHSC FGD'!$H$93</f>
        <v>0</v>
      </c>
      <c r="I932" s="723">
        <f>'TAMHSC FGD'!$I$93</f>
        <v>0</v>
      </c>
      <c r="J932" s="723">
        <f>'TAMHSC FGD'!$J$93</f>
        <v>0</v>
      </c>
      <c r="K932" s="723">
        <f>'TAMHSC FGD'!$K$93</f>
        <v>0</v>
      </c>
      <c r="L932" s="723">
        <f>'TAMHSC FGD'!$L$93</f>
        <v>-32898042</v>
      </c>
      <c r="M932" s="723">
        <f>'TAMHSC FGD'!$M$93</f>
        <v>-32898042</v>
      </c>
    </row>
    <row r="933" spans="1:13" hidden="1" outlineLevel="1">
      <c r="B933" s="823" t="str">
        <f>'THC FGD'!$B$2</f>
        <v>The University of Texas Health Science Center at Tyler</v>
      </c>
      <c r="D933" s="723">
        <f>'THC FGD'!$D$93</f>
        <v>0</v>
      </c>
      <c r="E933" s="723">
        <f>'THC FGD'!$E$93</f>
        <v>0</v>
      </c>
      <c r="F933" s="723">
        <f>'THC FGD'!$F$93</f>
        <v>0</v>
      </c>
      <c r="G933" s="723">
        <f>'THC FGD'!$G$93</f>
        <v>0</v>
      </c>
      <c r="H933" s="723">
        <f>'THC FGD'!$H$93</f>
        <v>0</v>
      </c>
      <c r="I933" s="723">
        <f>'THC FGD'!$I$93</f>
        <v>0</v>
      </c>
      <c r="J933" s="723">
        <f>'THC FGD'!$J$93</f>
        <v>0</v>
      </c>
      <c r="K933" s="723">
        <f>'THC FGD'!$K$93</f>
        <v>0</v>
      </c>
      <c r="L933" s="723">
        <f>'THC FGD'!$L$93</f>
        <v>-18918417</v>
      </c>
      <c r="M933" s="723">
        <f>'THC FGD'!$M$93</f>
        <v>-18918417</v>
      </c>
    </row>
    <row r="934" spans="1:13" hidden="1" outlineLevel="1">
      <c r="B934" s="823" t="str">
        <f>'TTUHSC FGD'!$B$2</f>
        <v>Texas Tech University Health Sciences Center</v>
      </c>
      <c r="D934" s="723">
        <f>'TTUHSC FGD'!$D$93</f>
        <v>0</v>
      </c>
      <c r="E934" s="723">
        <f>'TTUHSC FGD'!$E$93</f>
        <v>0</v>
      </c>
      <c r="F934" s="723">
        <f>'TTUHSC FGD'!$F$93</f>
        <v>0</v>
      </c>
      <c r="G934" s="723">
        <f>'TTUHSC FGD'!$G$93</f>
        <v>0</v>
      </c>
      <c r="H934" s="723">
        <f>'TTUHSC FGD'!$H$93</f>
        <v>0</v>
      </c>
      <c r="I934" s="723">
        <f>'TTUHSC FGD'!$I$93</f>
        <v>0</v>
      </c>
      <c r="J934" s="723">
        <f>'TTUHSC FGD'!$J$93</f>
        <v>0</v>
      </c>
      <c r="K934" s="723">
        <f>'TTUHSC FGD'!$K$93</f>
        <v>0</v>
      </c>
      <c r="L934" s="723">
        <f>'TTUHSC FGD'!$L$93</f>
        <v>-28102451</v>
      </c>
      <c r="M934" s="723">
        <f>'TTUHSC FGD'!$M$93</f>
        <v>-28102451</v>
      </c>
    </row>
    <row r="935" spans="1:13" hidden="1" outlineLevel="1">
      <c r="B935" s="823" t="str">
        <f>'TTUHSCEP FGD'!$B$2</f>
        <v>Texas Tech University Health Sciences Center at El Paso</v>
      </c>
      <c r="D935" s="723">
        <f>'TTUHSCEP FGD'!$D$93</f>
        <v>0</v>
      </c>
      <c r="E935" s="723">
        <f>'TTUHSCEP FGD'!$E$93</f>
        <v>0</v>
      </c>
      <c r="F935" s="723">
        <f>'TTUHSCEP FGD'!$F$93</f>
        <v>0</v>
      </c>
      <c r="G935" s="723">
        <f>'TTUHSCEP FGD'!$G$93</f>
        <v>0</v>
      </c>
      <c r="H935" s="723">
        <f>'TTUHSCEP FGD'!$H$93</f>
        <v>0</v>
      </c>
      <c r="I935" s="723">
        <f>'TTUHSCEP FGD'!$I$93</f>
        <v>0</v>
      </c>
      <c r="J935" s="723">
        <f>'TTUHSCEP FGD'!$J$93</f>
        <v>0</v>
      </c>
      <c r="K935" s="723">
        <f>'TTUHSCEP FGD'!$K$93</f>
        <v>0</v>
      </c>
      <c r="L935" s="723">
        <f>'TTUHSCEP FGD'!$L$93</f>
        <v>-19266718</v>
      </c>
      <c r="M935" s="723">
        <f>'TTUHSCEP FGD'!$M$93</f>
        <v>-19266718</v>
      </c>
    </row>
    <row r="936" spans="1:13" hidden="1" outlineLevel="1">
      <c r="B936" s="823" t="str">
        <f>'UHM FGD'!$B$2</f>
        <v>University of Houston Medical School (M)</v>
      </c>
      <c r="D936" s="723">
        <f>'UHM FGD'!$D$93</f>
        <v>0</v>
      </c>
      <c r="E936" s="723">
        <f>'UHM FGD'!$E$93</f>
        <v>0</v>
      </c>
      <c r="F936" s="723">
        <f>'UHM FGD'!$F$93</f>
        <v>0</v>
      </c>
      <c r="G936" s="723">
        <f>'UHM FGD'!$G$93</f>
        <v>0</v>
      </c>
      <c r="H936" s="723">
        <f>'UHM FGD'!$H$93</f>
        <v>0</v>
      </c>
      <c r="I936" s="723">
        <f>'UHM FGD'!$I$93</f>
        <v>0</v>
      </c>
      <c r="J936" s="723">
        <f>'UHM FGD'!$J$93</f>
        <v>0</v>
      </c>
      <c r="K936" s="723">
        <f>'UHM FGD'!$K$93</f>
        <v>0</v>
      </c>
      <c r="L936" s="723">
        <f>'UHM FGD'!$L$93</f>
        <v>0</v>
      </c>
      <c r="M936" s="723">
        <f>'UHM FGD'!$M$93</f>
        <v>0</v>
      </c>
    </row>
    <row r="937" spans="1:13" hidden="1" outlineLevel="1">
      <c r="B937" s="823" t="str">
        <f>'UNTHSC1 FGD'!$B$2</f>
        <v>University of North Texas Health Science Center at Fort Worth (Public Medical)</v>
      </c>
      <c r="D937" s="723">
        <f>'UNTHSC1 FGD'!$D$93</f>
        <v>0</v>
      </c>
      <c r="E937" s="723">
        <f>'UNTHSC1 FGD'!$E$93</f>
        <v>0</v>
      </c>
      <c r="F937" s="723">
        <f>'UNTHSC1 FGD'!$F$93</f>
        <v>0</v>
      </c>
      <c r="G937" s="723">
        <f>'UNTHSC1 FGD'!$G$93</f>
        <v>0</v>
      </c>
      <c r="H937" s="723">
        <f>'UNTHSC1 FGD'!$H$93</f>
        <v>0</v>
      </c>
      <c r="I937" s="723">
        <f>'UNTHSC1 FGD'!$I$93</f>
        <v>0</v>
      </c>
      <c r="J937" s="723">
        <f>'UNTHSC1 FGD'!$J$93</f>
        <v>0</v>
      </c>
      <c r="K937" s="723">
        <f>'UNTHSC1 FGD'!$K$93</f>
        <v>0</v>
      </c>
      <c r="L937" s="723">
        <f>'UNTHSC1 FGD'!$L$93</f>
        <v>-20848813</v>
      </c>
      <c r="M937" s="723">
        <f>'UNTHSC1 FGD'!$M$93</f>
        <v>-20848813</v>
      </c>
    </row>
    <row r="938" spans="1:13" collapsed="1">
      <c r="A938" s="460">
        <v>77</v>
      </c>
      <c r="B938" s="320" t="s">
        <v>482</v>
      </c>
      <c r="C938" s="320"/>
      <c r="D938" s="762">
        <f t="shared" ref="D938:M938" si="64">SUM(D925:D937)</f>
        <v>-367129</v>
      </c>
      <c r="E938" s="762">
        <f t="shared" si="64"/>
        <v>0</v>
      </c>
      <c r="F938" s="762">
        <f t="shared" si="64"/>
        <v>0</v>
      </c>
      <c r="G938" s="762">
        <f t="shared" si="64"/>
        <v>0</v>
      </c>
      <c r="H938" s="762">
        <f t="shared" si="64"/>
        <v>0</v>
      </c>
      <c r="I938" s="762">
        <f t="shared" si="64"/>
        <v>0</v>
      </c>
      <c r="J938" s="762">
        <f t="shared" si="64"/>
        <v>0</v>
      </c>
      <c r="K938" s="762">
        <f t="shared" si="64"/>
        <v>0</v>
      </c>
      <c r="L938" s="762">
        <f t="shared" si="64"/>
        <v>-1158081654</v>
      </c>
      <c r="M938" s="723">
        <f t="shared" si="64"/>
        <v>-1158448783</v>
      </c>
    </row>
    <row r="939" spans="1:13" hidden="1" outlineLevel="1">
      <c r="B939" s="823" t="str">
        <f>'AUSM FGD'!$B$2</f>
        <v>The University of Texas at Austin Medical School (M)</v>
      </c>
      <c r="C939" s="320"/>
      <c r="D939" s="762">
        <f>'AUSM FGD'!$D$94</f>
        <v>0</v>
      </c>
      <c r="E939" s="762">
        <f>'AUSM FGD'!$E$94</f>
        <v>0</v>
      </c>
      <c r="F939" s="762">
        <f>'AUSM FGD'!$F$94</f>
        <v>0</v>
      </c>
      <c r="G939" s="762">
        <f>'AUSM FGD'!$G$94</f>
        <v>0</v>
      </c>
      <c r="H939" s="762">
        <f>'AUSM FGD'!$H$94</f>
        <v>0</v>
      </c>
      <c r="I939" s="762">
        <f>'AUSM FGD'!$I$94</f>
        <v>0</v>
      </c>
      <c r="J939" s="762">
        <f>'AUSM FGD'!$J$94</f>
        <v>0</v>
      </c>
      <c r="K939" s="762">
        <f>'AUSM FGD'!$K$94</f>
        <v>0</v>
      </c>
      <c r="L939" s="762">
        <f>'AUSM FGD'!$L$94</f>
        <v>0</v>
      </c>
      <c r="M939" s="723">
        <f>'AUSM FGD'!$M$94</f>
        <v>0</v>
      </c>
    </row>
    <row r="940" spans="1:13" hidden="1" outlineLevel="1">
      <c r="B940" s="823" t="str">
        <f>'HSH FGD'!$B$2</f>
        <v>The University of Texas Health Science Center at Houston</v>
      </c>
      <c r="C940" s="320"/>
      <c r="D940" s="762">
        <f>'HSH FGD'!$D$94</f>
        <v>0</v>
      </c>
      <c r="E940" s="762">
        <f>'HSH FGD'!$E$94</f>
        <v>0</v>
      </c>
      <c r="F940" s="762">
        <f>'HSH FGD'!$F$94</f>
        <v>0</v>
      </c>
      <c r="G940" s="762">
        <f>'HSH FGD'!$G$94</f>
        <v>0</v>
      </c>
      <c r="H940" s="762">
        <f>'HSH FGD'!$H$94</f>
        <v>0</v>
      </c>
      <c r="I940" s="762">
        <f>'HSH FGD'!$I$94</f>
        <v>0</v>
      </c>
      <c r="J940" s="762">
        <f>'HSH FGD'!$J$94</f>
        <v>0</v>
      </c>
      <c r="K940" s="762">
        <f>'HSH FGD'!$K$94</f>
        <v>0</v>
      </c>
      <c r="L940" s="762">
        <f>'HSH FGD'!$L$94</f>
        <v>0</v>
      </c>
      <c r="M940" s="723">
        <f>'HSH FGD'!$M$94</f>
        <v>0</v>
      </c>
    </row>
    <row r="941" spans="1:13" hidden="1" outlineLevel="1">
      <c r="B941" s="823" t="str">
        <f>'HSSA FGD'!$B$2</f>
        <v>The University of Texas Health Science Center at San Antonio</v>
      </c>
      <c r="C941" s="320"/>
      <c r="D941" s="762">
        <f>'HSSA FGD'!$D$94</f>
        <v>0</v>
      </c>
      <c r="E941" s="762">
        <f>'HSSA FGD'!$E$94</f>
        <v>0</v>
      </c>
      <c r="F941" s="762">
        <f>'HSSA FGD'!$F$94</f>
        <v>0</v>
      </c>
      <c r="G941" s="762">
        <f>'HSSA FGD'!$G$94</f>
        <v>0</v>
      </c>
      <c r="H941" s="762">
        <f>'HSSA FGD'!$H$94</f>
        <v>0</v>
      </c>
      <c r="I941" s="762">
        <f>'HSSA FGD'!$I$94</f>
        <v>0</v>
      </c>
      <c r="J941" s="762">
        <f>'HSSA FGD'!$J$94</f>
        <v>0</v>
      </c>
      <c r="K941" s="762">
        <f>'HSSA FGD'!$K$94</f>
        <v>0</v>
      </c>
      <c r="L941" s="762">
        <f>'HSSA FGD'!$L$94</f>
        <v>0</v>
      </c>
      <c r="M941" s="723">
        <f>'HSSA FGD'!$M$94</f>
        <v>0</v>
      </c>
    </row>
    <row r="942" spans="1:13" hidden="1" outlineLevel="1">
      <c r="B942" s="823" t="str">
        <f>'MBG FGD'!$B$2</f>
        <v>The University of Texas Medical Branch at Galveston</v>
      </c>
      <c r="C942" s="320"/>
      <c r="D942" s="762">
        <f>'MBG FGD'!$D$94</f>
        <v>0</v>
      </c>
      <c r="E942" s="762">
        <f>'MBG FGD'!$E$94</f>
        <v>0</v>
      </c>
      <c r="F942" s="762">
        <f>'MBG FGD'!$F$94</f>
        <v>0</v>
      </c>
      <c r="G942" s="762">
        <f>'MBG FGD'!$G$94</f>
        <v>0</v>
      </c>
      <c r="H942" s="762">
        <f>'MBG FGD'!$H$94</f>
        <v>0</v>
      </c>
      <c r="I942" s="762">
        <f>'MBG FGD'!$I$94</f>
        <v>0</v>
      </c>
      <c r="J942" s="762">
        <f>'MBG FGD'!$J$94</f>
        <v>0</v>
      </c>
      <c r="K942" s="762">
        <f>'MBG FGD'!$K$94</f>
        <v>0</v>
      </c>
      <c r="L942" s="762">
        <f>'MBG FGD'!$L$94</f>
        <v>0</v>
      </c>
      <c r="M942" s="723">
        <f>'MBG FGD'!$M$94</f>
        <v>0</v>
      </c>
    </row>
    <row r="943" spans="1:13" hidden="1" outlineLevel="1">
      <c r="B943" s="823" t="str">
        <f>'MDA FGD'!$B$2</f>
        <v>The University of Texas M.D. Anderson Cancer Center</v>
      </c>
      <c r="C943" s="320"/>
      <c r="D943" s="762">
        <f>'MDA FGD'!$D$94</f>
        <v>0</v>
      </c>
      <c r="E943" s="762">
        <f>'MDA FGD'!$E$94</f>
        <v>0</v>
      </c>
      <c r="F943" s="762">
        <f>'MDA FGD'!$F$94</f>
        <v>0</v>
      </c>
      <c r="G943" s="762">
        <f>'MDA FGD'!$G$94</f>
        <v>0</v>
      </c>
      <c r="H943" s="762">
        <f>'MDA FGD'!$H$94</f>
        <v>0</v>
      </c>
      <c r="I943" s="762">
        <f>'MDA FGD'!$I$94</f>
        <v>0</v>
      </c>
      <c r="J943" s="762">
        <f>'MDA FGD'!$J$94</f>
        <v>0</v>
      </c>
      <c r="K943" s="762">
        <f>'MDA FGD'!$K$94</f>
        <v>0</v>
      </c>
      <c r="L943" s="762">
        <f>'MDA FGD'!$L$94</f>
        <v>0</v>
      </c>
      <c r="M943" s="723">
        <f>'MDA FGD'!$M$94</f>
        <v>0</v>
      </c>
    </row>
    <row r="944" spans="1:13" hidden="1" outlineLevel="1">
      <c r="B944" s="823" t="str">
        <f>'RGVM FGD'!$B$2</f>
        <v>The University of Texas Rio Grande Valley Medical School (M)</v>
      </c>
      <c r="C944" s="320"/>
      <c r="D944" s="762">
        <f>'RGVM FGD'!$D$94</f>
        <v>0</v>
      </c>
      <c r="E944" s="762">
        <f>'RGVM FGD'!$E$94</f>
        <v>0</v>
      </c>
      <c r="F944" s="762">
        <f>'RGVM FGD'!$F$94</f>
        <v>0</v>
      </c>
      <c r="G944" s="762">
        <f>'RGVM FGD'!$G$94</f>
        <v>0</v>
      </c>
      <c r="H944" s="762">
        <f>'RGVM FGD'!$H$94</f>
        <v>0</v>
      </c>
      <c r="I944" s="762">
        <f>'RGVM FGD'!$I$94</f>
        <v>0</v>
      </c>
      <c r="J944" s="762">
        <f>'RGVM FGD'!$J$94</f>
        <v>0</v>
      </c>
      <c r="K944" s="762">
        <f>'RGVM FGD'!$K$94</f>
        <v>0</v>
      </c>
      <c r="L944" s="762">
        <f>'RGVM FGD'!$L$94</f>
        <v>0</v>
      </c>
      <c r="M944" s="723">
        <f>'RGVM FGD'!$M$94</f>
        <v>0</v>
      </c>
    </row>
    <row r="945" spans="1:13" hidden="1" outlineLevel="1">
      <c r="B945" s="823" t="str">
        <f>'SWM FGD'!$B$2</f>
        <v>The University of Texas Southwestern Medical Center</v>
      </c>
      <c r="C945" s="320"/>
      <c r="D945" s="762">
        <f>'SWM FGD'!$D$94</f>
        <v>0</v>
      </c>
      <c r="E945" s="762">
        <f>'SWM FGD'!$E$94</f>
        <v>0</v>
      </c>
      <c r="F945" s="762">
        <f>'SWM FGD'!$F$94</f>
        <v>0</v>
      </c>
      <c r="G945" s="762">
        <f>'SWM FGD'!$G$94</f>
        <v>0</v>
      </c>
      <c r="H945" s="762">
        <f>'SWM FGD'!$H$94</f>
        <v>0</v>
      </c>
      <c r="I945" s="762">
        <f>'SWM FGD'!$I$94</f>
        <v>0</v>
      </c>
      <c r="J945" s="762">
        <f>'SWM FGD'!$J$94</f>
        <v>0</v>
      </c>
      <c r="K945" s="762">
        <f>'SWM FGD'!$K$94</f>
        <v>0</v>
      </c>
      <c r="L945" s="762">
        <f>'SWM FGD'!$L$94</f>
        <v>0</v>
      </c>
      <c r="M945" s="723">
        <f>'SWM FGD'!$M$94</f>
        <v>0</v>
      </c>
    </row>
    <row r="946" spans="1:13" hidden="1" outlineLevel="1">
      <c r="B946" s="823" t="str">
        <f>'TAMHSC FGD'!$B$2</f>
        <v>Texas A&amp;M University System Health Science Center</v>
      </c>
      <c r="C946" s="320"/>
      <c r="D946" s="762">
        <f>'TAMHSC FGD'!$D$94</f>
        <v>0</v>
      </c>
      <c r="E946" s="762">
        <f>'TAMHSC FGD'!$E$94</f>
        <v>0</v>
      </c>
      <c r="F946" s="762">
        <f>'TAMHSC FGD'!$F$94</f>
        <v>0</v>
      </c>
      <c r="G946" s="762">
        <f>'TAMHSC FGD'!$G$94</f>
        <v>0</v>
      </c>
      <c r="H946" s="762">
        <f>'TAMHSC FGD'!$H$94</f>
        <v>0</v>
      </c>
      <c r="I946" s="762">
        <f>'TAMHSC FGD'!$I$94</f>
        <v>0</v>
      </c>
      <c r="J946" s="762">
        <f>'TAMHSC FGD'!$J$94</f>
        <v>0</v>
      </c>
      <c r="K946" s="762">
        <f>'TAMHSC FGD'!$K$94</f>
        <v>0</v>
      </c>
      <c r="L946" s="762">
        <f>'TAMHSC FGD'!$L$94</f>
        <v>17799267</v>
      </c>
      <c r="M946" s="723">
        <f>'TAMHSC FGD'!$M$94</f>
        <v>17799267</v>
      </c>
    </row>
    <row r="947" spans="1:13" hidden="1" outlineLevel="1">
      <c r="B947" s="823" t="str">
        <f>'THC FGD'!$B$2</f>
        <v>The University of Texas Health Science Center at Tyler</v>
      </c>
      <c r="C947" s="320"/>
      <c r="D947" s="762">
        <f>'THC FGD'!$D$94</f>
        <v>0</v>
      </c>
      <c r="E947" s="762">
        <f>'THC FGD'!$E$94</f>
        <v>0</v>
      </c>
      <c r="F947" s="762">
        <f>'THC FGD'!$F$94</f>
        <v>0</v>
      </c>
      <c r="G947" s="762">
        <f>'THC FGD'!$G$94</f>
        <v>0</v>
      </c>
      <c r="H947" s="762">
        <f>'THC FGD'!$H$94</f>
        <v>0</v>
      </c>
      <c r="I947" s="762">
        <f>'THC FGD'!$I$94</f>
        <v>0</v>
      </c>
      <c r="J947" s="762">
        <f>'THC FGD'!$J$94</f>
        <v>0</v>
      </c>
      <c r="K947" s="762">
        <f>'THC FGD'!$K$94</f>
        <v>0</v>
      </c>
      <c r="L947" s="762">
        <f>'THC FGD'!$L$94</f>
        <v>0</v>
      </c>
      <c r="M947" s="723">
        <f>'THC FGD'!$M$94</f>
        <v>0</v>
      </c>
    </row>
    <row r="948" spans="1:13" hidden="1" outlineLevel="1">
      <c r="B948" s="823" t="str">
        <f>'TTUHSC FGD'!$B$2</f>
        <v>Texas Tech University Health Sciences Center</v>
      </c>
      <c r="C948" s="320"/>
      <c r="D948" s="762">
        <f>'TTUHSC FGD'!$D$94</f>
        <v>0</v>
      </c>
      <c r="E948" s="762">
        <f>'TTUHSC FGD'!$E$94</f>
        <v>0</v>
      </c>
      <c r="F948" s="762">
        <f>'TTUHSC FGD'!$F$94</f>
        <v>0</v>
      </c>
      <c r="G948" s="762">
        <f>'TTUHSC FGD'!$G$94</f>
        <v>0</v>
      </c>
      <c r="H948" s="762">
        <f>'TTUHSC FGD'!$H$94</f>
        <v>0</v>
      </c>
      <c r="I948" s="762">
        <f>'TTUHSC FGD'!$I$94</f>
        <v>0</v>
      </c>
      <c r="J948" s="762">
        <f>'TTUHSC FGD'!$J$94</f>
        <v>0</v>
      </c>
      <c r="K948" s="762">
        <f>'TTUHSC FGD'!$K$94</f>
        <v>0</v>
      </c>
      <c r="L948" s="762">
        <f>'TTUHSC FGD'!$L$94</f>
        <v>-280343</v>
      </c>
      <c r="M948" s="723">
        <f>'TTUHSC FGD'!$M$94</f>
        <v>-280343</v>
      </c>
    </row>
    <row r="949" spans="1:13" hidden="1" outlineLevel="1">
      <c r="B949" s="823" t="str">
        <f>'TTUHSCEP FGD'!$B$2</f>
        <v>Texas Tech University Health Sciences Center at El Paso</v>
      </c>
      <c r="C949" s="320"/>
      <c r="D949" s="762">
        <f>'TTUHSCEP FGD'!$D$94</f>
        <v>0</v>
      </c>
      <c r="E949" s="762">
        <f>'TTUHSCEP FGD'!$E$94</f>
        <v>0</v>
      </c>
      <c r="F949" s="762">
        <f>'TTUHSCEP FGD'!$F$94</f>
        <v>0</v>
      </c>
      <c r="G949" s="762">
        <f>'TTUHSCEP FGD'!$G$94</f>
        <v>0</v>
      </c>
      <c r="H949" s="762">
        <f>'TTUHSCEP FGD'!$H$94</f>
        <v>0</v>
      </c>
      <c r="I949" s="762">
        <f>'TTUHSCEP FGD'!$I$94</f>
        <v>0</v>
      </c>
      <c r="J949" s="762">
        <f>'TTUHSCEP FGD'!$J$94</f>
        <v>0</v>
      </c>
      <c r="K949" s="762">
        <f>'TTUHSCEP FGD'!$K$94</f>
        <v>0</v>
      </c>
      <c r="L949" s="762">
        <f>'TTUHSCEP FGD'!$L$94</f>
        <v>-6780</v>
      </c>
      <c r="M949" s="723">
        <f>'TTUHSCEP FGD'!$M$94</f>
        <v>-6780</v>
      </c>
    </row>
    <row r="950" spans="1:13" hidden="1" outlineLevel="1">
      <c r="B950" s="823" t="str">
        <f>'UHM FGD'!$B$2</f>
        <v>University of Houston Medical School (M)</v>
      </c>
      <c r="C950" s="320"/>
      <c r="D950" s="762">
        <f>'UHM FGD'!$D$94</f>
        <v>0</v>
      </c>
      <c r="E950" s="762">
        <f>'UHM FGD'!$E$94</f>
        <v>0</v>
      </c>
      <c r="F950" s="762">
        <f>'UHM FGD'!$F$94</f>
        <v>0</v>
      </c>
      <c r="G950" s="762">
        <f>'UHM FGD'!$G$94</f>
        <v>0</v>
      </c>
      <c r="H950" s="762">
        <f>'UHM FGD'!$H$94</f>
        <v>0</v>
      </c>
      <c r="I950" s="762">
        <f>'UHM FGD'!$I$94</f>
        <v>0</v>
      </c>
      <c r="J950" s="762">
        <f>'UHM FGD'!$J$94</f>
        <v>0</v>
      </c>
      <c r="K950" s="762">
        <f>'UHM FGD'!$K$94</f>
        <v>0</v>
      </c>
      <c r="L950" s="762">
        <f>'UHM FGD'!$L$94</f>
        <v>0</v>
      </c>
      <c r="M950" s="723">
        <f>'UHM FGD'!$M$94</f>
        <v>0</v>
      </c>
    </row>
    <row r="951" spans="1:13" hidden="1" outlineLevel="1">
      <c r="B951" s="823" t="str">
        <f>'UNTHSC1 FGD'!$B$2</f>
        <v>University of North Texas Health Science Center at Fort Worth (Public Medical)</v>
      </c>
      <c r="C951" s="320"/>
      <c r="D951" s="762">
        <f>'UNTHSC1 FGD'!$D$94</f>
        <v>0</v>
      </c>
      <c r="E951" s="762">
        <f>'UNTHSC1 FGD'!$E$94</f>
        <v>0</v>
      </c>
      <c r="F951" s="762">
        <f>'UNTHSC1 FGD'!$F$94</f>
        <v>0</v>
      </c>
      <c r="G951" s="762">
        <f>'UNTHSC1 FGD'!$G$94</f>
        <v>0</v>
      </c>
      <c r="H951" s="762">
        <f>'UNTHSC1 FGD'!$H$94</f>
        <v>0</v>
      </c>
      <c r="I951" s="762">
        <f>'UNTHSC1 FGD'!$I$94</f>
        <v>0</v>
      </c>
      <c r="J951" s="762">
        <f>'UNTHSC1 FGD'!$J$94</f>
        <v>0</v>
      </c>
      <c r="K951" s="762">
        <f>'UNTHSC1 FGD'!$K$94</f>
        <v>0</v>
      </c>
      <c r="L951" s="762">
        <f>'UNTHSC1 FGD'!$L$94</f>
        <v>1096</v>
      </c>
      <c r="M951" s="723">
        <f>'UNTHSC1 FGD'!$M$94</f>
        <v>1096</v>
      </c>
    </row>
    <row r="952" spans="1:13" collapsed="1">
      <c r="A952" s="460">
        <v>78</v>
      </c>
      <c r="B952" s="320" t="s">
        <v>483</v>
      </c>
      <c r="C952" s="320"/>
      <c r="D952" s="762">
        <f t="shared" ref="D952:M952" si="65">SUM(D939:D951)</f>
        <v>0</v>
      </c>
      <c r="E952" s="762">
        <f t="shared" si="65"/>
        <v>0</v>
      </c>
      <c r="F952" s="762">
        <f t="shared" si="65"/>
        <v>0</v>
      </c>
      <c r="G952" s="762">
        <f t="shared" si="65"/>
        <v>0</v>
      </c>
      <c r="H952" s="762">
        <f t="shared" si="65"/>
        <v>0</v>
      </c>
      <c r="I952" s="762">
        <f t="shared" si="65"/>
        <v>0</v>
      </c>
      <c r="J952" s="762">
        <f t="shared" si="65"/>
        <v>0</v>
      </c>
      <c r="K952" s="762">
        <f t="shared" si="65"/>
        <v>0</v>
      </c>
      <c r="L952" s="762">
        <f t="shared" si="65"/>
        <v>17513240</v>
      </c>
      <c r="M952" s="723">
        <f t="shared" si="65"/>
        <v>17513240</v>
      </c>
    </row>
    <row r="953" spans="1:13" hidden="1" outlineLevel="1">
      <c r="B953" s="823" t="str">
        <f>'AUSM FGD'!$B$2</f>
        <v>The University of Texas at Austin Medical School (M)</v>
      </c>
      <c r="C953" s="320"/>
      <c r="D953" s="762">
        <f>'AUSM FGD'!$D$95</f>
        <v>0</v>
      </c>
      <c r="E953" s="762">
        <f>'AUSM FGD'!$E$95</f>
        <v>0</v>
      </c>
      <c r="F953" s="762">
        <f>'AUSM FGD'!$F$95</f>
        <v>0</v>
      </c>
      <c r="G953" s="762">
        <f>'AUSM FGD'!$G$95</f>
        <v>0</v>
      </c>
      <c r="H953" s="762">
        <f>'AUSM FGD'!$H$95</f>
        <v>0</v>
      </c>
      <c r="I953" s="762">
        <f>'AUSM FGD'!$I$95</f>
        <v>0</v>
      </c>
      <c r="J953" s="762">
        <f>'AUSM FGD'!$J$95</f>
        <v>0</v>
      </c>
      <c r="K953" s="762">
        <f>'AUSM FGD'!$K$95</f>
        <v>0</v>
      </c>
      <c r="L953" s="762">
        <f>'AUSM FGD'!$L$95</f>
        <v>0</v>
      </c>
      <c r="M953" s="723">
        <f>'AUSM FGD'!$M$95</f>
        <v>0</v>
      </c>
    </row>
    <row r="954" spans="1:13" hidden="1" outlineLevel="1">
      <c r="B954" s="823" t="str">
        <f>'HSH FGD'!$B$2</f>
        <v>The University of Texas Health Science Center at Houston</v>
      </c>
      <c r="C954" s="320"/>
      <c r="D954" s="762">
        <f>'HSH FGD'!$D$95</f>
        <v>0</v>
      </c>
      <c r="E954" s="762">
        <f>'HSH FGD'!$E$95</f>
        <v>0</v>
      </c>
      <c r="F954" s="762">
        <f>'HSH FGD'!$F$95</f>
        <v>0</v>
      </c>
      <c r="G954" s="762">
        <f>'HSH FGD'!$G$95</f>
        <v>0</v>
      </c>
      <c r="H954" s="762">
        <f>'HSH FGD'!$H$95</f>
        <v>0</v>
      </c>
      <c r="I954" s="762">
        <f>'HSH FGD'!$I$95</f>
        <v>0</v>
      </c>
      <c r="J954" s="762">
        <f>'HSH FGD'!$J$95</f>
        <v>0</v>
      </c>
      <c r="K954" s="762">
        <f>'HSH FGD'!$K$95</f>
        <v>0</v>
      </c>
      <c r="L954" s="762">
        <f>'HSH FGD'!$L$95</f>
        <v>0</v>
      </c>
      <c r="M954" s="723">
        <f>'HSH FGD'!$M$95</f>
        <v>0</v>
      </c>
    </row>
    <row r="955" spans="1:13" hidden="1" outlineLevel="1">
      <c r="B955" s="823" t="str">
        <f>'HSSA FGD'!$B$2</f>
        <v>The University of Texas Health Science Center at San Antonio</v>
      </c>
      <c r="C955" s="320"/>
      <c r="D955" s="762">
        <f>'HSSA FGD'!$D$95</f>
        <v>0</v>
      </c>
      <c r="E955" s="762">
        <f>'HSSA FGD'!$E$95</f>
        <v>0</v>
      </c>
      <c r="F955" s="762">
        <f>'HSSA FGD'!$F$95</f>
        <v>0</v>
      </c>
      <c r="G955" s="762">
        <f>'HSSA FGD'!$G$95</f>
        <v>0</v>
      </c>
      <c r="H955" s="762">
        <f>'HSSA FGD'!$H$95</f>
        <v>0</v>
      </c>
      <c r="I955" s="762">
        <f>'HSSA FGD'!$I$95</f>
        <v>0</v>
      </c>
      <c r="J955" s="762">
        <f>'HSSA FGD'!$J$95</f>
        <v>0</v>
      </c>
      <c r="K955" s="762">
        <f>'HSSA FGD'!$K$95</f>
        <v>0</v>
      </c>
      <c r="L955" s="762">
        <f>'HSSA FGD'!$L$95</f>
        <v>0</v>
      </c>
      <c r="M955" s="723">
        <f>'HSSA FGD'!$M$95</f>
        <v>0</v>
      </c>
    </row>
    <row r="956" spans="1:13" hidden="1" outlineLevel="1">
      <c r="B956" s="823" t="str">
        <f>'MBG FGD'!$B$2</f>
        <v>The University of Texas Medical Branch at Galveston</v>
      </c>
      <c r="C956" s="320"/>
      <c r="D956" s="762">
        <f>'MBG FGD'!$D$95</f>
        <v>0</v>
      </c>
      <c r="E956" s="762">
        <f>'MBG FGD'!$E$95</f>
        <v>0</v>
      </c>
      <c r="F956" s="762">
        <f>'MBG FGD'!$F$95</f>
        <v>0</v>
      </c>
      <c r="G956" s="762">
        <f>'MBG FGD'!$G$95</f>
        <v>0</v>
      </c>
      <c r="H956" s="762">
        <f>'MBG FGD'!$H$95</f>
        <v>0</v>
      </c>
      <c r="I956" s="762">
        <f>'MBG FGD'!$I$95</f>
        <v>0</v>
      </c>
      <c r="J956" s="762">
        <f>'MBG FGD'!$J$95</f>
        <v>0</v>
      </c>
      <c r="K956" s="762">
        <f>'MBG FGD'!$K$95</f>
        <v>0</v>
      </c>
      <c r="L956" s="762">
        <f>'MBG FGD'!$L$95</f>
        <v>0</v>
      </c>
      <c r="M956" s="723">
        <f>'MBG FGD'!$M$95</f>
        <v>0</v>
      </c>
    </row>
    <row r="957" spans="1:13" hidden="1" outlineLevel="1">
      <c r="B957" s="823" t="str">
        <f>'MDA FGD'!$B$2</f>
        <v>The University of Texas M.D. Anderson Cancer Center</v>
      </c>
      <c r="C957" s="320"/>
      <c r="D957" s="762">
        <f>'MDA FGD'!$D$95</f>
        <v>0</v>
      </c>
      <c r="E957" s="762">
        <f>'MDA FGD'!$E$95</f>
        <v>0</v>
      </c>
      <c r="F957" s="762">
        <f>'MDA FGD'!$F$95</f>
        <v>0</v>
      </c>
      <c r="G957" s="762">
        <f>'MDA FGD'!$G$95</f>
        <v>0</v>
      </c>
      <c r="H957" s="762">
        <f>'MDA FGD'!$H$95</f>
        <v>0</v>
      </c>
      <c r="I957" s="762">
        <f>'MDA FGD'!$I$95</f>
        <v>0</v>
      </c>
      <c r="J957" s="762">
        <f>'MDA FGD'!$J$95</f>
        <v>0</v>
      </c>
      <c r="K957" s="762">
        <f>'MDA FGD'!$K$95</f>
        <v>0</v>
      </c>
      <c r="L957" s="762">
        <f>'MDA FGD'!$L$95</f>
        <v>0</v>
      </c>
      <c r="M957" s="723">
        <f>'MDA FGD'!$M$95</f>
        <v>0</v>
      </c>
    </row>
    <row r="958" spans="1:13" hidden="1" outlineLevel="1">
      <c r="B958" s="823" t="str">
        <f>'RGVM FGD'!$B$2</f>
        <v>The University of Texas Rio Grande Valley Medical School (M)</v>
      </c>
      <c r="C958" s="320"/>
      <c r="D958" s="762">
        <f>'RGVM FGD'!$D$95</f>
        <v>0</v>
      </c>
      <c r="E958" s="762">
        <f>'RGVM FGD'!$E$95</f>
        <v>0</v>
      </c>
      <c r="F958" s="762">
        <f>'RGVM FGD'!$F$95</f>
        <v>0</v>
      </c>
      <c r="G958" s="762">
        <f>'RGVM FGD'!$G$95</f>
        <v>0</v>
      </c>
      <c r="H958" s="762">
        <f>'RGVM FGD'!$H$95</f>
        <v>0</v>
      </c>
      <c r="I958" s="762">
        <f>'RGVM FGD'!$I$95</f>
        <v>0</v>
      </c>
      <c r="J958" s="762">
        <f>'RGVM FGD'!$J$95</f>
        <v>0</v>
      </c>
      <c r="K958" s="762">
        <f>'RGVM FGD'!$K$95</f>
        <v>0</v>
      </c>
      <c r="L958" s="762">
        <f>'RGVM FGD'!$L$95</f>
        <v>0</v>
      </c>
      <c r="M958" s="723">
        <f>'RGVM FGD'!$M$95</f>
        <v>0</v>
      </c>
    </row>
    <row r="959" spans="1:13" hidden="1" outlineLevel="1">
      <c r="B959" s="823" t="str">
        <f>'SWM FGD'!$B$2</f>
        <v>The University of Texas Southwestern Medical Center</v>
      </c>
      <c r="C959" s="320"/>
      <c r="D959" s="762">
        <f>'SWM FGD'!$D$95</f>
        <v>0</v>
      </c>
      <c r="E959" s="762">
        <f>'SWM FGD'!$E$95</f>
        <v>0</v>
      </c>
      <c r="F959" s="762">
        <f>'SWM FGD'!$F$95</f>
        <v>0</v>
      </c>
      <c r="G959" s="762">
        <f>'SWM FGD'!$G$95</f>
        <v>0</v>
      </c>
      <c r="H959" s="762">
        <f>'SWM FGD'!$H$95</f>
        <v>0</v>
      </c>
      <c r="I959" s="762">
        <f>'SWM FGD'!$I$95</f>
        <v>0</v>
      </c>
      <c r="J959" s="762">
        <f>'SWM FGD'!$J$95</f>
        <v>0</v>
      </c>
      <c r="K959" s="762">
        <f>'SWM FGD'!$K$95</f>
        <v>0</v>
      </c>
      <c r="L959" s="762">
        <f>'SWM FGD'!$L$95</f>
        <v>0</v>
      </c>
      <c r="M959" s="723">
        <f>'SWM FGD'!$M$95</f>
        <v>0</v>
      </c>
    </row>
    <row r="960" spans="1:13" hidden="1" outlineLevel="1">
      <c r="B960" s="823" t="str">
        <f>'TAMHSC FGD'!$B$2</f>
        <v>Texas A&amp;M University System Health Science Center</v>
      </c>
      <c r="C960" s="320"/>
      <c r="D960" s="762">
        <f>'TAMHSC FGD'!$D$95</f>
        <v>0</v>
      </c>
      <c r="E960" s="762">
        <f>'TAMHSC FGD'!$E$95</f>
        <v>0</v>
      </c>
      <c r="F960" s="762">
        <f>'TAMHSC FGD'!$F$95</f>
        <v>0</v>
      </c>
      <c r="G960" s="762">
        <f>'TAMHSC FGD'!$G$95</f>
        <v>0</v>
      </c>
      <c r="H960" s="762">
        <f>'TAMHSC FGD'!$H$95</f>
        <v>0</v>
      </c>
      <c r="I960" s="762">
        <f>'TAMHSC FGD'!$I$95</f>
        <v>0</v>
      </c>
      <c r="J960" s="762">
        <f>'TAMHSC FGD'!$J$95</f>
        <v>0</v>
      </c>
      <c r="K960" s="762">
        <f>'TAMHSC FGD'!$K$95</f>
        <v>0</v>
      </c>
      <c r="L960" s="762">
        <f>'TAMHSC FGD'!$L$95</f>
        <v>0</v>
      </c>
      <c r="M960" s="723">
        <f>'TAMHSC FGD'!$M$95</f>
        <v>0</v>
      </c>
    </row>
    <row r="961" spans="2:13" hidden="1" outlineLevel="1">
      <c r="B961" s="823" t="str">
        <f>'THC FGD'!$B$2</f>
        <v>The University of Texas Health Science Center at Tyler</v>
      </c>
      <c r="C961" s="320"/>
      <c r="D961" s="762">
        <f>'THC FGD'!$D$95</f>
        <v>0</v>
      </c>
      <c r="E961" s="762">
        <f>'THC FGD'!$E$95</f>
        <v>0</v>
      </c>
      <c r="F961" s="762">
        <f>'THC FGD'!$F$95</f>
        <v>0</v>
      </c>
      <c r="G961" s="762">
        <f>'THC FGD'!$G$95</f>
        <v>0</v>
      </c>
      <c r="H961" s="762">
        <f>'THC FGD'!$H$95</f>
        <v>0</v>
      </c>
      <c r="I961" s="762">
        <f>'THC FGD'!$I$95</f>
        <v>0</v>
      </c>
      <c r="J961" s="762">
        <f>'THC FGD'!$J$95</f>
        <v>0</v>
      </c>
      <c r="K961" s="762">
        <f>'THC FGD'!$K$95</f>
        <v>0</v>
      </c>
      <c r="L961" s="762">
        <f>'THC FGD'!$L$95</f>
        <v>0</v>
      </c>
      <c r="M961" s="723">
        <f>'THC FGD'!$M$95</f>
        <v>0</v>
      </c>
    </row>
    <row r="962" spans="2:13" hidden="1" outlineLevel="1">
      <c r="B962" s="823" t="str">
        <f>'TTUHSC FGD'!$B$2</f>
        <v>Texas Tech University Health Sciences Center</v>
      </c>
      <c r="C962" s="320"/>
      <c r="D962" s="762">
        <f>'TTUHSC FGD'!$D$95</f>
        <v>0</v>
      </c>
      <c r="E962" s="762">
        <f>'TTUHSC FGD'!$E$95</f>
        <v>0</v>
      </c>
      <c r="F962" s="762">
        <f>'TTUHSC FGD'!$F$95</f>
        <v>0</v>
      </c>
      <c r="G962" s="762">
        <f>'TTUHSC FGD'!$G$95</f>
        <v>0</v>
      </c>
      <c r="H962" s="762">
        <f>'TTUHSC FGD'!$H$95</f>
        <v>0</v>
      </c>
      <c r="I962" s="762">
        <f>'TTUHSC FGD'!$I$95</f>
        <v>0</v>
      </c>
      <c r="J962" s="762">
        <f>'TTUHSC FGD'!$J$95</f>
        <v>0</v>
      </c>
      <c r="K962" s="762">
        <f>'TTUHSC FGD'!$K$95</f>
        <v>0</v>
      </c>
      <c r="L962" s="762">
        <f>'TTUHSC FGD'!$L$95</f>
        <v>0</v>
      </c>
      <c r="M962" s="723">
        <f>'TTUHSC FGD'!$M$95</f>
        <v>0</v>
      </c>
    </row>
    <row r="963" spans="2:13" hidden="1" outlineLevel="1">
      <c r="B963" s="823" t="str">
        <f>'TTUHSCEP FGD'!$B$2</f>
        <v>Texas Tech University Health Sciences Center at El Paso</v>
      </c>
      <c r="C963" s="320"/>
      <c r="D963" s="762">
        <f>'TTUHSCEP FGD'!$D$95</f>
        <v>0</v>
      </c>
      <c r="E963" s="762">
        <f>'TTUHSCEP FGD'!$E$95</f>
        <v>0</v>
      </c>
      <c r="F963" s="762">
        <f>'TTUHSCEP FGD'!$F$95</f>
        <v>0</v>
      </c>
      <c r="G963" s="762">
        <f>'TTUHSCEP FGD'!$G$95</f>
        <v>0</v>
      </c>
      <c r="H963" s="762">
        <f>'TTUHSCEP FGD'!$H$95</f>
        <v>0</v>
      </c>
      <c r="I963" s="762">
        <f>'TTUHSCEP FGD'!$I$95</f>
        <v>0</v>
      </c>
      <c r="J963" s="762">
        <f>'TTUHSCEP FGD'!$J$95</f>
        <v>0</v>
      </c>
      <c r="K963" s="762">
        <f>'TTUHSCEP FGD'!$K$95</f>
        <v>0</v>
      </c>
      <c r="L963" s="762">
        <f>'TTUHSCEP FGD'!$L$95</f>
        <v>0</v>
      </c>
      <c r="M963" s="723">
        <f>'TTUHSCEP FGD'!$M$95</f>
        <v>0</v>
      </c>
    </row>
    <row r="964" spans="2:13" hidden="1" outlineLevel="1">
      <c r="B964" s="823" t="str">
        <f>'UHM FGD'!$B$2</f>
        <v>University of Houston Medical School (M)</v>
      </c>
      <c r="C964" s="320"/>
      <c r="D964" s="762">
        <f>'UHM FGD'!$D$95</f>
        <v>0</v>
      </c>
      <c r="E964" s="762">
        <f>'UHM FGD'!$E$95</f>
        <v>0</v>
      </c>
      <c r="F964" s="762">
        <f>'UHM FGD'!$F$95</f>
        <v>0</v>
      </c>
      <c r="G964" s="762">
        <f>'UHM FGD'!$G$95</f>
        <v>0</v>
      </c>
      <c r="H964" s="762">
        <f>'UHM FGD'!$H$95</f>
        <v>0</v>
      </c>
      <c r="I964" s="762">
        <f>'UHM FGD'!$I$95</f>
        <v>0</v>
      </c>
      <c r="J964" s="762">
        <f>'UHM FGD'!$J$95</f>
        <v>0</v>
      </c>
      <c r="K964" s="762">
        <f>'UHM FGD'!$K$95</f>
        <v>0</v>
      </c>
      <c r="L964" s="762">
        <f>'UHM FGD'!$L$95</f>
        <v>0</v>
      </c>
      <c r="M964" s="723">
        <f>'UHM FGD'!$M$95</f>
        <v>0</v>
      </c>
    </row>
    <row r="965" spans="2:13" hidden="1" outlineLevel="1">
      <c r="B965" s="823" t="str">
        <f>'UNTHSC1 FGD'!$B$2</f>
        <v>University of North Texas Health Science Center at Fort Worth (Public Medical)</v>
      </c>
      <c r="C965" s="320"/>
      <c r="D965" s="762">
        <f>'UNTHSC1 FGD'!$D$95</f>
        <v>0</v>
      </c>
      <c r="E965" s="762">
        <f>'UNTHSC1 FGD'!$E$95</f>
        <v>0</v>
      </c>
      <c r="F965" s="762">
        <f>'UNTHSC1 FGD'!$F$95</f>
        <v>0</v>
      </c>
      <c r="G965" s="762">
        <f>'UNTHSC1 FGD'!$G$95</f>
        <v>0</v>
      </c>
      <c r="H965" s="762">
        <f>'UNTHSC1 FGD'!$H$95</f>
        <v>0</v>
      </c>
      <c r="I965" s="762">
        <f>'UNTHSC1 FGD'!$I$95</f>
        <v>0</v>
      </c>
      <c r="J965" s="762">
        <f>'UNTHSC1 FGD'!$J$95</f>
        <v>0</v>
      </c>
      <c r="K965" s="762">
        <f>'UNTHSC1 FGD'!$K$95</f>
        <v>0</v>
      </c>
      <c r="L965" s="762">
        <f>'UNTHSC1 FGD'!$L$95</f>
        <v>0</v>
      </c>
      <c r="M965" s="723">
        <f>'UNTHSC1 FGD'!$M$95</f>
        <v>0</v>
      </c>
    </row>
    <row r="966" spans="2:13" collapsed="1">
      <c r="B966" s="320" t="s">
        <v>484</v>
      </c>
      <c r="C966" s="320"/>
      <c r="D966" s="762">
        <f t="shared" ref="D966:M966" si="66">SUM(D953:D965)</f>
        <v>0</v>
      </c>
      <c r="E966" s="762">
        <f t="shared" si="66"/>
        <v>0</v>
      </c>
      <c r="F966" s="762">
        <f t="shared" si="66"/>
        <v>0</v>
      </c>
      <c r="G966" s="762">
        <f t="shared" si="66"/>
        <v>0</v>
      </c>
      <c r="H966" s="762">
        <f t="shared" si="66"/>
        <v>0</v>
      </c>
      <c r="I966" s="762">
        <f t="shared" si="66"/>
        <v>0</v>
      </c>
      <c r="J966" s="762">
        <f t="shared" si="66"/>
        <v>0</v>
      </c>
      <c r="K966" s="762">
        <f t="shared" si="66"/>
        <v>0</v>
      </c>
      <c r="L966" s="762">
        <f t="shared" si="66"/>
        <v>0</v>
      </c>
      <c r="M966" s="723">
        <f t="shared" si="66"/>
        <v>0</v>
      </c>
    </row>
    <row r="967" spans="2:13" hidden="1" outlineLevel="1">
      <c r="B967" s="823" t="str">
        <f>'AUSM FGD'!$B$2</f>
        <v>The University of Texas at Austin Medical School (M)</v>
      </c>
      <c r="C967" s="320"/>
      <c r="D967" s="762">
        <f>'AUSM FGD'!$D$96</f>
        <v>0</v>
      </c>
      <c r="E967" s="762">
        <f>'AUSM FGD'!$E$96</f>
        <v>0</v>
      </c>
      <c r="F967" s="762">
        <f>'AUSM FGD'!$F$96</f>
        <v>0</v>
      </c>
      <c r="G967" s="762">
        <f>'AUSM FGD'!$G$96</f>
        <v>0</v>
      </c>
      <c r="H967" s="762">
        <f>'AUSM FGD'!$H$96</f>
        <v>0</v>
      </c>
      <c r="I967" s="762">
        <f>'AUSM FGD'!$I$96</f>
        <v>0</v>
      </c>
      <c r="J967" s="762">
        <f>'AUSM FGD'!$J$96</f>
        <v>0</v>
      </c>
      <c r="K967" s="762">
        <f>'AUSM FGD'!$K$96</f>
        <v>0</v>
      </c>
      <c r="L967" s="762">
        <f>'AUSM FGD'!$L$96</f>
        <v>45714</v>
      </c>
      <c r="M967" s="723">
        <f>'AUSM FGD'!$M$96</f>
        <v>45714</v>
      </c>
    </row>
    <row r="968" spans="2:13" hidden="1" outlineLevel="1">
      <c r="B968" s="823" t="str">
        <f>'HSH FGD'!$B$2</f>
        <v>The University of Texas Health Science Center at Houston</v>
      </c>
      <c r="C968" s="320"/>
      <c r="D968" s="762">
        <f>'HSH FGD'!$D$96</f>
        <v>0</v>
      </c>
      <c r="E968" s="762">
        <f>'HSH FGD'!$E$96</f>
        <v>0</v>
      </c>
      <c r="F968" s="762">
        <f>'HSH FGD'!$F$96</f>
        <v>0</v>
      </c>
      <c r="G968" s="762">
        <f>'HSH FGD'!$G$96</f>
        <v>0</v>
      </c>
      <c r="H968" s="762">
        <f>'HSH FGD'!$H$96</f>
        <v>0</v>
      </c>
      <c r="I968" s="762">
        <f>'HSH FGD'!$I$96</f>
        <v>0</v>
      </c>
      <c r="J968" s="762">
        <f>'HSH FGD'!$J$96</f>
        <v>0</v>
      </c>
      <c r="K968" s="762">
        <f>'HSH FGD'!$K$96</f>
        <v>0</v>
      </c>
      <c r="L968" s="762">
        <f>'HSH FGD'!$L$96</f>
        <v>0</v>
      </c>
      <c r="M968" s="723">
        <f>'HSH FGD'!$M$96</f>
        <v>0</v>
      </c>
    </row>
    <row r="969" spans="2:13" hidden="1" outlineLevel="1">
      <c r="B969" s="823" t="str">
        <f>'HSSA FGD'!$B$2</f>
        <v>The University of Texas Health Science Center at San Antonio</v>
      </c>
      <c r="C969" s="320"/>
      <c r="D969" s="762">
        <f>'HSSA FGD'!$D$96</f>
        <v>0</v>
      </c>
      <c r="E969" s="762">
        <f>'HSSA FGD'!$E$96</f>
        <v>0</v>
      </c>
      <c r="F969" s="762">
        <f>'HSSA FGD'!$F$96</f>
        <v>0</v>
      </c>
      <c r="G969" s="762">
        <f>'HSSA FGD'!$G$96</f>
        <v>0</v>
      </c>
      <c r="H969" s="762">
        <f>'HSSA FGD'!$H$96</f>
        <v>0</v>
      </c>
      <c r="I969" s="762">
        <f>'HSSA FGD'!$I$96</f>
        <v>0</v>
      </c>
      <c r="J969" s="762">
        <f>'HSSA FGD'!$J$96</f>
        <v>0</v>
      </c>
      <c r="K969" s="762">
        <f>'HSSA FGD'!$K$96</f>
        <v>0</v>
      </c>
      <c r="L969" s="762">
        <f>'HSSA FGD'!$L$96</f>
        <v>0</v>
      </c>
      <c r="M969" s="723">
        <f>'HSSA FGD'!$M$96</f>
        <v>0</v>
      </c>
    </row>
    <row r="970" spans="2:13" hidden="1" outlineLevel="1">
      <c r="B970" s="823" t="str">
        <f>'MBG FGD'!$B$2</f>
        <v>The University of Texas Medical Branch at Galveston</v>
      </c>
      <c r="C970" s="320"/>
      <c r="D970" s="762">
        <f>'MBG FGD'!$D$96</f>
        <v>0</v>
      </c>
      <c r="E970" s="762">
        <f>'MBG FGD'!$E$96</f>
        <v>0</v>
      </c>
      <c r="F970" s="762">
        <f>'MBG FGD'!$F$96</f>
        <v>0</v>
      </c>
      <c r="G970" s="762">
        <f>'MBG FGD'!$G$96</f>
        <v>0</v>
      </c>
      <c r="H970" s="762">
        <f>'MBG FGD'!$H$96</f>
        <v>0</v>
      </c>
      <c r="I970" s="762">
        <f>'MBG FGD'!$I$96</f>
        <v>0</v>
      </c>
      <c r="J970" s="762">
        <f>'MBG FGD'!$J$96</f>
        <v>0</v>
      </c>
      <c r="K970" s="762">
        <f>'MBG FGD'!$K$96</f>
        <v>0</v>
      </c>
      <c r="L970" s="762">
        <f>'MBG FGD'!$L$96</f>
        <v>0</v>
      </c>
      <c r="M970" s="723">
        <f>'MBG FGD'!$M$96</f>
        <v>0</v>
      </c>
    </row>
    <row r="971" spans="2:13" hidden="1" outlineLevel="1">
      <c r="B971" s="823" t="str">
        <f>'MDA FGD'!$B$2</f>
        <v>The University of Texas M.D. Anderson Cancer Center</v>
      </c>
      <c r="C971" s="320"/>
      <c r="D971" s="762">
        <f>'MDA FGD'!$D$96</f>
        <v>0</v>
      </c>
      <c r="E971" s="762">
        <f>'MDA FGD'!$E$96</f>
        <v>0</v>
      </c>
      <c r="F971" s="762">
        <f>'MDA FGD'!$F$96</f>
        <v>0</v>
      </c>
      <c r="G971" s="762">
        <f>'MDA FGD'!$G$96</f>
        <v>0</v>
      </c>
      <c r="H971" s="762">
        <f>'MDA FGD'!$H$96</f>
        <v>0</v>
      </c>
      <c r="I971" s="762">
        <f>'MDA FGD'!$I$96</f>
        <v>0</v>
      </c>
      <c r="J971" s="762">
        <f>'MDA FGD'!$J$96</f>
        <v>0</v>
      </c>
      <c r="K971" s="762">
        <f>'MDA FGD'!$K$96</f>
        <v>0</v>
      </c>
      <c r="L971" s="762">
        <f>'MDA FGD'!$L$96</f>
        <v>38738</v>
      </c>
      <c r="M971" s="723">
        <f>'MDA FGD'!$M$96</f>
        <v>38738</v>
      </c>
    </row>
    <row r="972" spans="2:13" hidden="1" outlineLevel="1">
      <c r="B972" s="823" t="str">
        <f>'RGVM FGD'!$B$2</f>
        <v>The University of Texas Rio Grande Valley Medical School (M)</v>
      </c>
      <c r="C972" s="320"/>
      <c r="D972" s="762">
        <f>'RGVM FGD'!$D$96</f>
        <v>0</v>
      </c>
      <c r="E972" s="762">
        <f>'RGVM FGD'!$E$96</f>
        <v>0</v>
      </c>
      <c r="F972" s="762">
        <f>'RGVM FGD'!$F$96</f>
        <v>0</v>
      </c>
      <c r="G972" s="762">
        <f>'RGVM FGD'!$G$96</f>
        <v>0</v>
      </c>
      <c r="H972" s="762">
        <f>'RGVM FGD'!$H$96</f>
        <v>0</v>
      </c>
      <c r="I972" s="762">
        <f>'RGVM FGD'!$I$96</f>
        <v>0</v>
      </c>
      <c r="J972" s="762">
        <f>'RGVM FGD'!$J$96</f>
        <v>1000000</v>
      </c>
      <c r="K972" s="762">
        <f>'RGVM FGD'!$K$96</f>
        <v>0</v>
      </c>
      <c r="L972" s="762">
        <f>'RGVM FGD'!$L$96</f>
        <v>0</v>
      </c>
      <c r="M972" s="723">
        <f>'RGVM FGD'!$M$96</f>
        <v>1000000</v>
      </c>
    </row>
    <row r="973" spans="2:13" hidden="1" outlineLevel="1">
      <c r="B973" s="823" t="str">
        <f>'SWM FGD'!$B$2</f>
        <v>The University of Texas Southwestern Medical Center</v>
      </c>
      <c r="C973" s="320"/>
      <c r="D973" s="762">
        <f>'SWM FGD'!$D$96</f>
        <v>0</v>
      </c>
      <c r="E973" s="762">
        <f>'SWM FGD'!$E$96</f>
        <v>0</v>
      </c>
      <c r="F973" s="762">
        <f>'SWM FGD'!$F$96</f>
        <v>0</v>
      </c>
      <c r="G973" s="762">
        <f>'SWM FGD'!$G$96</f>
        <v>0</v>
      </c>
      <c r="H973" s="762">
        <f>'SWM FGD'!$H$96</f>
        <v>0</v>
      </c>
      <c r="I973" s="762">
        <f>'SWM FGD'!$I$96</f>
        <v>0</v>
      </c>
      <c r="J973" s="762">
        <f>'SWM FGD'!$J$96</f>
        <v>0</v>
      </c>
      <c r="K973" s="762">
        <f>'SWM FGD'!$K$96</f>
        <v>0</v>
      </c>
      <c r="L973" s="762">
        <f>'SWM FGD'!$L$96</f>
        <v>319729</v>
      </c>
      <c r="M973" s="723">
        <f>'SWM FGD'!$M$96</f>
        <v>319729</v>
      </c>
    </row>
    <row r="974" spans="2:13" hidden="1" outlineLevel="1">
      <c r="B974" s="823" t="str">
        <f>'TAMHSC FGD'!$B$2</f>
        <v>Texas A&amp;M University System Health Science Center</v>
      </c>
      <c r="C974" s="320"/>
      <c r="D974" s="762">
        <f>'TAMHSC FGD'!$D$96</f>
        <v>0</v>
      </c>
      <c r="E974" s="762">
        <f>'TAMHSC FGD'!$E$96</f>
        <v>0</v>
      </c>
      <c r="F974" s="762">
        <f>'TAMHSC FGD'!$F$96</f>
        <v>0</v>
      </c>
      <c r="G974" s="762">
        <f>'TAMHSC FGD'!$G$96</f>
        <v>0</v>
      </c>
      <c r="H974" s="762">
        <f>'TAMHSC FGD'!$H$96</f>
        <v>0</v>
      </c>
      <c r="I974" s="762">
        <f>'TAMHSC FGD'!$I$96</f>
        <v>0</v>
      </c>
      <c r="J974" s="762">
        <f>'TAMHSC FGD'!$J$96</f>
        <v>0</v>
      </c>
      <c r="K974" s="762">
        <f>'TAMHSC FGD'!$K$96</f>
        <v>0</v>
      </c>
      <c r="L974" s="762">
        <f>'TAMHSC FGD'!$L$96</f>
        <v>0</v>
      </c>
      <c r="M974" s="723">
        <f>'TAMHSC FGD'!$M$96</f>
        <v>0</v>
      </c>
    </row>
    <row r="975" spans="2:13" hidden="1" outlineLevel="1">
      <c r="B975" s="823" t="str">
        <f>'THC FGD'!$B$2</f>
        <v>The University of Texas Health Science Center at Tyler</v>
      </c>
      <c r="C975" s="320"/>
      <c r="D975" s="762">
        <f>'THC FGD'!$D$96</f>
        <v>0</v>
      </c>
      <c r="E975" s="762">
        <f>'THC FGD'!$E$96</f>
        <v>0</v>
      </c>
      <c r="F975" s="762">
        <f>'THC FGD'!$F$96</f>
        <v>0</v>
      </c>
      <c r="G975" s="762">
        <f>'THC FGD'!$G$96</f>
        <v>0</v>
      </c>
      <c r="H975" s="762">
        <f>'THC FGD'!$H$96</f>
        <v>0</v>
      </c>
      <c r="I975" s="762">
        <f>'THC FGD'!$I$96</f>
        <v>0</v>
      </c>
      <c r="J975" s="762">
        <f>'THC FGD'!$J$96</f>
        <v>0</v>
      </c>
      <c r="K975" s="762">
        <f>'THC FGD'!$K$96</f>
        <v>0</v>
      </c>
      <c r="L975" s="762">
        <f>'THC FGD'!$L$96</f>
        <v>0</v>
      </c>
      <c r="M975" s="723">
        <f>'THC FGD'!$M$96</f>
        <v>0</v>
      </c>
    </row>
    <row r="976" spans="2:13" hidden="1" outlineLevel="1">
      <c r="B976" s="823" t="str">
        <f>'TTUHSC FGD'!$B$2</f>
        <v>Texas Tech University Health Sciences Center</v>
      </c>
      <c r="C976" s="320"/>
      <c r="D976" s="762">
        <f>'TTUHSC FGD'!$D$96</f>
        <v>0</v>
      </c>
      <c r="E976" s="762">
        <f>'TTUHSC FGD'!$E$96</f>
        <v>0</v>
      </c>
      <c r="F976" s="762">
        <f>'TTUHSC FGD'!$F$96</f>
        <v>0</v>
      </c>
      <c r="G976" s="762">
        <f>'TTUHSC FGD'!$G$96</f>
        <v>0</v>
      </c>
      <c r="H976" s="762">
        <f>'TTUHSC FGD'!$H$96</f>
        <v>0</v>
      </c>
      <c r="I976" s="762">
        <f>'TTUHSC FGD'!$I$96</f>
        <v>0</v>
      </c>
      <c r="J976" s="762">
        <f>'TTUHSC FGD'!$J$96</f>
        <v>0</v>
      </c>
      <c r="K976" s="762">
        <f>'TTUHSC FGD'!$K$96</f>
        <v>0</v>
      </c>
      <c r="L976" s="762">
        <f>'TTUHSC FGD'!$L$96</f>
        <v>3868047</v>
      </c>
      <c r="M976" s="723">
        <f>'TTUHSC FGD'!$M$96</f>
        <v>3868047</v>
      </c>
    </row>
    <row r="977" spans="2:13" hidden="1" outlineLevel="1">
      <c r="B977" s="823" t="str">
        <f>'TTUHSCEP FGD'!$B$2</f>
        <v>Texas Tech University Health Sciences Center at El Paso</v>
      </c>
      <c r="C977" s="320"/>
      <c r="D977" s="762">
        <f>'TTUHSCEP FGD'!$D$96</f>
        <v>0</v>
      </c>
      <c r="E977" s="762">
        <f>'TTUHSCEP FGD'!$E$96</f>
        <v>0</v>
      </c>
      <c r="F977" s="762">
        <f>'TTUHSCEP FGD'!$F$96</f>
        <v>0</v>
      </c>
      <c r="G977" s="762">
        <f>'TTUHSCEP FGD'!$G$96</f>
        <v>0</v>
      </c>
      <c r="H977" s="762">
        <f>'TTUHSCEP FGD'!$H$96</f>
        <v>0</v>
      </c>
      <c r="I977" s="762">
        <f>'TTUHSCEP FGD'!$I$96</f>
        <v>0</v>
      </c>
      <c r="J977" s="762">
        <f>'TTUHSCEP FGD'!$J$96</f>
        <v>0</v>
      </c>
      <c r="K977" s="762">
        <f>'TTUHSCEP FGD'!$K$96</f>
        <v>0</v>
      </c>
      <c r="L977" s="762">
        <f>'TTUHSCEP FGD'!$L$96</f>
        <v>56541</v>
      </c>
      <c r="M977" s="723">
        <f>'TTUHSCEP FGD'!$M$96</f>
        <v>56541</v>
      </c>
    </row>
    <row r="978" spans="2:13" hidden="1" outlineLevel="1">
      <c r="B978" s="823" t="str">
        <f>'UHM FGD'!$B$2</f>
        <v>University of Houston Medical School (M)</v>
      </c>
      <c r="C978" s="320"/>
      <c r="D978" s="762">
        <f>'UHM FGD'!$D$96</f>
        <v>0</v>
      </c>
      <c r="E978" s="762">
        <f>'UHM FGD'!$E$96</f>
        <v>0</v>
      </c>
      <c r="F978" s="762">
        <f>'UHM FGD'!$F$96</f>
        <v>0</v>
      </c>
      <c r="G978" s="762">
        <f>'UHM FGD'!$G$96</f>
        <v>0</v>
      </c>
      <c r="H978" s="762">
        <f>'UHM FGD'!$H$96</f>
        <v>0</v>
      </c>
      <c r="I978" s="762">
        <f>'UHM FGD'!$I$96</f>
        <v>0</v>
      </c>
      <c r="J978" s="762">
        <f>'UHM FGD'!$J$96</f>
        <v>0</v>
      </c>
      <c r="K978" s="762">
        <f>'UHM FGD'!$K$96</f>
        <v>0</v>
      </c>
      <c r="L978" s="762">
        <f>'UHM FGD'!$L$96</f>
        <v>0</v>
      </c>
      <c r="M978" s="723">
        <f>'UHM FGD'!$M$96</f>
        <v>0</v>
      </c>
    </row>
    <row r="979" spans="2:13" hidden="1" outlineLevel="1">
      <c r="B979" s="823" t="str">
        <f>'UNTHSC1 FGD'!$B$2</f>
        <v>University of North Texas Health Science Center at Fort Worth (Public Medical)</v>
      </c>
      <c r="C979" s="320"/>
      <c r="D979" s="762">
        <f>'UNTHSC1 FGD'!$D$96</f>
        <v>0</v>
      </c>
      <c r="E979" s="762">
        <f>'UNTHSC1 FGD'!$E$96</f>
        <v>0</v>
      </c>
      <c r="F979" s="762">
        <f>'UNTHSC1 FGD'!$F$96</f>
        <v>0</v>
      </c>
      <c r="G979" s="762">
        <f>'UNTHSC1 FGD'!$G$96</f>
        <v>0</v>
      </c>
      <c r="H979" s="762">
        <f>'UNTHSC1 FGD'!$H$96</f>
        <v>0</v>
      </c>
      <c r="I979" s="762">
        <f>'UNTHSC1 FGD'!$I$96</f>
        <v>0</v>
      </c>
      <c r="J979" s="762">
        <f>'UNTHSC1 FGD'!$J$96</f>
        <v>0</v>
      </c>
      <c r="K979" s="762">
        <f>'UNTHSC1 FGD'!$K$96</f>
        <v>0</v>
      </c>
      <c r="L979" s="762">
        <f>'UNTHSC1 FGD'!$L$96</f>
        <v>0</v>
      </c>
      <c r="M979" s="723">
        <f>'UNTHSC1 FGD'!$M$96</f>
        <v>0</v>
      </c>
    </row>
    <row r="980" spans="2:13" collapsed="1">
      <c r="B980" s="320" t="s">
        <v>485</v>
      </c>
      <c r="C980" s="320"/>
      <c r="D980" s="762">
        <f t="shared" ref="D980:M980" si="67">SUM(D967:D979)</f>
        <v>0</v>
      </c>
      <c r="E980" s="762">
        <f t="shared" si="67"/>
        <v>0</v>
      </c>
      <c r="F980" s="762">
        <f t="shared" si="67"/>
        <v>0</v>
      </c>
      <c r="G980" s="762">
        <f t="shared" si="67"/>
        <v>0</v>
      </c>
      <c r="H980" s="762">
        <f t="shared" si="67"/>
        <v>0</v>
      </c>
      <c r="I980" s="762">
        <f t="shared" si="67"/>
        <v>0</v>
      </c>
      <c r="J980" s="762">
        <f t="shared" si="67"/>
        <v>1000000</v>
      </c>
      <c r="K980" s="762">
        <f t="shared" si="67"/>
        <v>0</v>
      </c>
      <c r="L980" s="762">
        <f t="shared" si="67"/>
        <v>4328769</v>
      </c>
      <c r="M980" s="723">
        <f t="shared" si="67"/>
        <v>5328769</v>
      </c>
    </row>
    <row r="981" spans="2:13" hidden="1" outlineLevel="1">
      <c r="B981" s="823" t="str">
        <f>'AUSM FGD'!$B$2</f>
        <v>The University of Texas at Austin Medical School (M)</v>
      </c>
      <c r="C981" s="320"/>
      <c r="D981" s="762">
        <f>'AUSM FGD'!$D$97</f>
        <v>0</v>
      </c>
      <c r="E981" s="762">
        <f>'AUSM FGD'!$E$97</f>
        <v>0</v>
      </c>
      <c r="F981" s="762">
        <f>'AUSM FGD'!$F$97</f>
        <v>0</v>
      </c>
      <c r="G981" s="762">
        <f>'AUSM FGD'!$G$97</f>
        <v>0</v>
      </c>
      <c r="H981" s="762">
        <f>'AUSM FGD'!$H$97</f>
        <v>0</v>
      </c>
      <c r="I981" s="762">
        <f>'AUSM FGD'!$I$97</f>
        <v>0</v>
      </c>
      <c r="J981" s="762">
        <f>'AUSM FGD'!$J$97</f>
        <v>0</v>
      </c>
      <c r="K981" s="762">
        <f>'AUSM FGD'!$K$97</f>
        <v>0</v>
      </c>
      <c r="L981" s="762">
        <f>'AUSM FGD'!$L$97</f>
        <v>4303336</v>
      </c>
      <c r="M981" s="723">
        <f>'AUSM FGD'!$M$97</f>
        <v>4303336</v>
      </c>
    </row>
    <row r="982" spans="2:13" hidden="1" outlineLevel="1">
      <c r="B982" s="823" t="str">
        <f>'HSH FGD'!$B$2</f>
        <v>The University of Texas Health Science Center at Houston</v>
      </c>
      <c r="C982" s="320"/>
      <c r="D982" s="762">
        <f>'HSH FGD'!$D$97</f>
        <v>0</v>
      </c>
      <c r="E982" s="762">
        <f>'HSH FGD'!$E$97</f>
        <v>0</v>
      </c>
      <c r="F982" s="762">
        <f>'HSH FGD'!$F$97</f>
        <v>0</v>
      </c>
      <c r="G982" s="762">
        <f>'HSH FGD'!$G$97</f>
        <v>0</v>
      </c>
      <c r="H982" s="762">
        <f>'HSH FGD'!$H$97</f>
        <v>0</v>
      </c>
      <c r="I982" s="762">
        <f>'HSH FGD'!$I$97</f>
        <v>0</v>
      </c>
      <c r="J982" s="762">
        <f>'HSH FGD'!$J$97</f>
        <v>0</v>
      </c>
      <c r="K982" s="762">
        <f>'HSH FGD'!$K$97</f>
        <v>0</v>
      </c>
      <c r="L982" s="762">
        <f>'HSH FGD'!$L$97</f>
        <v>52394492</v>
      </c>
      <c r="M982" s="723">
        <f>'HSH FGD'!$M$97</f>
        <v>52394492</v>
      </c>
    </row>
    <row r="983" spans="2:13" hidden="1" outlineLevel="1">
      <c r="B983" s="823" t="str">
        <f>'HSSA FGD'!$B$2</f>
        <v>The University of Texas Health Science Center at San Antonio</v>
      </c>
      <c r="C983" s="320"/>
      <c r="D983" s="762">
        <f>'HSSA FGD'!$D$97</f>
        <v>0</v>
      </c>
      <c r="E983" s="762">
        <f>'HSSA FGD'!$E$97</f>
        <v>0</v>
      </c>
      <c r="F983" s="762">
        <f>'HSSA FGD'!$F$97</f>
        <v>0</v>
      </c>
      <c r="G983" s="762">
        <f>'HSSA FGD'!$G$97</f>
        <v>0</v>
      </c>
      <c r="H983" s="762">
        <f>'HSSA FGD'!$H$97</f>
        <v>0</v>
      </c>
      <c r="I983" s="762">
        <f>'HSSA FGD'!$I$97</f>
        <v>0</v>
      </c>
      <c r="J983" s="762">
        <f>'HSSA FGD'!$J$97</f>
        <v>0</v>
      </c>
      <c r="K983" s="762">
        <f>'HSSA FGD'!$K$97</f>
        <v>0</v>
      </c>
      <c r="L983" s="762">
        <f>'HSSA FGD'!$L$97</f>
        <v>142699367</v>
      </c>
      <c r="M983" s="723">
        <f>'HSSA FGD'!$M$97</f>
        <v>142699367</v>
      </c>
    </row>
    <row r="984" spans="2:13" hidden="1" outlineLevel="1">
      <c r="B984" s="823" t="str">
        <f>'MBG FGD'!$B$2</f>
        <v>The University of Texas Medical Branch at Galveston</v>
      </c>
      <c r="C984" s="320"/>
      <c r="D984" s="762">
        <f>'MBG FGD'!$D$97</f>
        <v>0</v>
      </c>
      <c r="E984" s="762">
        <f>'MBG FGD'!$E$97</f>
        <v>0</v>
      </c>
      <c r="F984" s="762">
        <f>'MBG FGD'!$F$97</f>
        <v>0</v>
      </c>
      <c r="G984" s="762">
        <f>'MBG FGD'!$G$97</f>
        <v>0</v>
      </c>
      <c r="H984" s="762">
        <f>'MBG FGD'!$H$97</f>
        <v>0</v>
      </c>
      <c r="I984" s="762">
        <f>'MBG FGD'!$I$97</f>
        <v>0</v>
      </c>
      <c r="J984" s="762">
        <f>'MBG FGD'!$J$97</f>
        <v>0</v>
      </c>
      <c r="K984" s="762">
        <f>'MBG FGD'!$K$97</f>
        <v>0</v>
      </c>
      <c r="L984" s="762">
        <f>'MBG FGD'!$L$97</f>
        <v>138742852</v>
      </c>
      <c r="M984" s="723">
        <f>'MBG FGD'!$M$97</f>
        <v>138742852</v>
      </c>
    </row>
    <row r="985" spans="2:13" hidden="1" outlineLevel="1">
      <c r="B985" s="823" t="str">
        <f>'MDA FGD'!$B$2</f>
        <v>The University of Texas M.D. Anderson Cancer Center</v>
      </c>
      <c r="C985" s="320"/>
      <c r="D985" s="762">
        <f>'MDA FGD'!$D$97</f>
        <v>0</v>
      </c>
      <c r="E985" s="762">
        <f>'MDA FGD'!$E$97</f>
        <v>0</v>
      </c>
      <c r="F985" s="762">
        <f>'MDA FGD'!$F$97</f>
        <v>0</v>
      </c>
      <c r="G985" s="762">
        <f>'MDA FGD'!$G$97</f>
        <v>0</v>
      </c>
      <c r="H985" s="762">
        <f>'MDA FGD'!$H$97</f>
        <v>0</v>
      </c>
      <c r="I985" s="762">
        <f>'MDA FGD'!$I$97</f>
        <v>0</v>
      </c>
      <c r="J985" s="762">
        <f>'MDA FGD'!$J$97</f>
        <v>0</v>
      </c>
      <c r="K985" s="762">
        <f>'MDA FGD'!$K$97</f>
        <v>0</v>
      </c>
      <c r="L985" s="762">
        <f>'MDA FGD'!$L$97</f>
        <v>319331235</v>
      </c>
      <c r="M985" s="723">
        <f>'MDA FGD'!$M$97</f>
        <v>319331235</v>
      </c>
    </row>
    <row r="986" spans="2:13" hidden="1" outlineLevel="1">
      <c r="B986" s="823" t="str">
        <f>'RGVM FGD'!$B$2</f>
        <v>The University of Texas Rio Grande Valley Medical School (M)</v>
      </c>
      <c r="C986" s="320"/>
      <c r="D986" s="762">
        <f>'RGVM FGD'!$D$97</f>
        <v>0</v>
      </c>
      <c r="E986" s="762">
        <f>'RGVM FGD'!$E$97</f>
        <v>0</v>
      </c>
      <c r="F986" s="762">
        <f>'RGVM FGD'!$F$97</f>
        <v>0</v>
      </c>
      <c r="G986" s="762">
        <f>'RGVM FGD'!$G$97</f>
        <v>0</v>
      </c>
      <c r="H986" s="762">
        <f>'RGVM FGD'!$H$97</f>
        <v>0</v>
      </c>
      <c r="I986" s="762">
        <f>'RGVM FGD'!$I$97</f>
        <v>0</v>
      </c>
      <c r="J986" s="762">
        <f>'RGVM FGD'!$J$97</f>
        <v>0</v>
      </c>
      <c r="K986" s="762">
        <f>'RGVM FGD'!$K$97</f>
        <v>0</v>
      </c>
      <c r="L986" s="762">
        <f>'RGVM FGD'!$L$97</f>
        <v>24497514</v>
      </c>
      <c r="M986" s="723">
        <f>'RGVM FGD'!$M$97</f>
        <v>24497514</v>
      </c>
    </row>
    <row r="987" spans="2:13" hidden="1" outlineLevel="1">
      <c r="B987" s="823" t="str">
        <f>'SWM FGD'!$B$2</f>
        <v>The University of Texas Southwestern Medical Center</v>
      </c>
      <c r="C987" s="320"/>
      <c r="D987" s="762">
        <f>'SWM FGD'!$D$97</f>
        <v>0</v>
      </c>
      <c r="E987" s="762">
        <f>'SWM FGD'!$E$97</f>
        <v>0</v>
      </c>
      <c r="F987" s="762">
        <f>'SWM FGD'!$F$97</f>
        <v>0</v>
      </c>
      <c r="G987" s="762">
        <f>'SWM FGD'!$G$97</f>
        <v>0</v>
      </c>
      <c r="H987" s="762">
        <f>'SWM FGD'!$H$97</f>
        <v>0</v>
      </c>
      <c r="I987" s="762">
        <f>'SWM FGD'!$I$97</f>
        <v>0</v>
      </c>
      <c r="J987" s="762">
        <f>'SWM FGD'!$J$97</f>
        <v>0</v>
      </c>
      <c r="K987" s="762">
        <f>'SWM FGD'!$K$97</f>
        <v>0</v>
      </c>
      <c r="L987" s="762">
        <f>'SWM FGD'!$L$97</f>
        <v>378044529</v>
      </c>
      <c r="M987" s="723">
        <f>'SWM FGD'!$M$97</f>
        <v>378044529</v>
      </c>
    </row>
    <row r="988" spans="2:13" hidden="1" outlineLevel="1">
      <c r="B988" s="823" t="str">
        <f>'TAMHSC FGD'!$B$2</f>
        <v>Texas A&amp;M University System Health Science Center</v>
      </c>
      <c r="C988" s="320"/>
      <c r="D988" s="762">
        <f>'TAMHSC FGD'!$D$97</f>
        <v>1197071</v>
      </c>
      <c r="E988" s="762">
        <f>'TAMHSC FGD'!$E$97</f>
        <v>3156889</v>
      </c>
      <c r="F988" s="762">
        <f>'TAMHSC FGD'!$F$97</f>
        <v>0</v>
      </c>
      <c r="G988" s="762">
        <f>'TAMHSC FGD'!$G$97</f>
        <v>2695116</v>
      </c>
      <c r="H988" s="762">
        <f>'TAMHSC FGD'!$H$97</f>
        <v>0</v>
      </c>
      <c r="I988" s="762">
        <f>'TAMHSC FGD'!$I$97</f>
        <v>0</v>
      </c>
      <c r="J988" s="762">
        <f>'TAMHSC FGD'!$J$97</f>
        <v>0</v>
      </c>
      <c r="K988" s="762">
        <f>'TAMHSC FGD'!$K$97</f>
        <v>0</v>
      </c>
      <c r="L988" s="762">
        <f>'TAMHSC FGD'!$L$97</f>
        <v>0</v>
      </c>
      <c r="M988" s="723">
        <f>'TAMHSC FGD'!$M$97</f>
        <v>7049076</v>
      </c>
    </row>
    <row r="989" spans="2:13" hidden="1" outlineLevel="1">
      <c r="B989" s="823" t="str">
        <f>'THC FGD'!$B$2</f>
        <v>The University of Texas Health Science Center at Tyler</v>
      </c>
      <c r="C989" s="320"/>
      <c r="D989" s="762">
        <f>'THC FGD'!$D$97</f>
        <v>0</v>
      </c>
      <c r="E989" s="762">
        <f>'THC FGD'!$E$97</f>
        <v>0</v>
      </c>
      <c r="F989" s="762">
        <f>'THC FGD'!$F$97</f>
        <v>0</v>
      </c>
      <c r="G989" s="762">
        <f>'THC FGD'!$G$97</f>
        <v>0</v>
      </c>
      <c r="H989" s="762">
        <f>'THC FGD'!$H$97</f>
        <v>0</v>
      </c>
      <c r="I989" s="762">
        <f>'THC FGD'!$I$97</f>
        <v>0</v>
      </c>
      <c r="J989" s="762">
        <f>'THC FGD'!$J$97</f>
        <v>0</v>
      </c>
      <c r="K989" s="762">
        <f>'THC FGD'!$K$97</f>
        <v>0</v>
      </c>
      <c r="L989" s="762">
        <f>'THC FGD'!$L$97</f>
        <v>17618711</v>
      </c>
      <c r="M989" s="723">
        <f>'THC FGD'!$M$97</f>
        <v>17618711</v>
      </c>
    </row>
    <row r="990" spans="2:13" hidden="1" outlineLevel="1">
      <c r="B990" s="823" t="str">
        <f>'TTUHSC FGD'!$B$2</f>
        <v>Texas Tech University Health Sciences Center</v>
      </c>
      <c r="C990" s="320"/>
      <c r="D990" s="762">
        <f>'TTUHSC FGD'!$D$97</f>
        <v>1290170</v>
      </c>
      <c r="E990" s="762">
        <f>'TTUHSC FGD'!$E$97</f>
        <v>4778825</v>
      </c>
      <c r="F990" s="762">
        <f>'TTUHSC FGD'!$F$97</f>
        <v>0</v>
      </c>
      <c r="G990" s="762">
        <f>'TTUHSC FGD'!$G$97</f>
        <v>2907444</v>
      </c>
      <c r="H990" s="762">
        <f>'TTUHSC FGD'!$H$97</f>
        <v>0</v>
      </c>
      <c r="I990" s="762">
        <f>'TTUHSC FGD'!$I$97</f>
        <v>0</v>
      </c>
      <c r="J990" s="762">
        <f>'TTUHSC FGD'!$J$97</f>
        <v>24024565</v>
      </c>
      <c r="K990" s="762">
        <f>'TTUHSC FGD'!$K$97</f>
        <v>0</v>
      </c>
      <c r="L990" s="762">
        <f>'TTUHSC FGD'!$L$97</f>
        <v>0</v>
      </c>
      <c r="M990" s="723">
        <f>'TTUHSC FGD'!$M$97</f>
        <v>33001004</v>
      </c>
    </row>
    <row r="991" spans="2:13" hidden="1" outlineLevel="1">
      <c r="B991" s="823" t="str">
        <f>'TTUHSCEP FGD'!$B$2</f>
        <v>Texas Tech University Health Sciences Center at El Paso</v>
      </c>
      <c r="C991" s="320"/>
      <c r="D991" s="762">
        <f>'TTUHSCEP FGD'!$D$97</f>
        <v>1139292</v>
      </c>
      <c r="E991" s="762">
        <f>'TTUHSCEP FGD'!$E$97</f>
        <v>5774000</v>
      </c>
      <c r="F991" s="762">
        <f>'TTUHSCEP FGD'!$F$97</f>
        <v>73198</v>
      </c>
      <c r="G991" s="762">
        <f>'TTUHSCEP FGD'!$G$97</f>
        <v>628401</v>
      </c>
      <c r="H991" s="762">
        <f>'TTUHSCEP FGD'!$H$97</f>
        <v>0</v>
      </c>
      <c r="I991" s="762">
        <f>'TTUHSCEP FGD'!$I$97</f>
        <v>0</v>
      </c>
      <c r="J991" s="762">
        <f>'TTUHSCEP FGD'!$J$97</f>
        <v>2447978</v>
      </c>
      <c r="K991" s="762">
        <f>'TTUHSCEP FGD'!$K$97</f>
        <v>0</v>
      </c>
      <c r="L991" s="762">
        <f>'TTUHSCEP FGD'!$L$97</f>
        <v>0</v>
      </c>
      <c r="M991" s="723">
        <f>'TTUHSCEP FGD'!$M$97</f>
        <v>10062869</v>
      </c>
    </row>
    <row r="992" spans="2:13" hidden="1" outlineLevel="1">
      <c r="B992" s="823" t="str">
        <f>'UHM FGD'!$B$2</f>
        <v>University of Houston Medical School (M)</v>
      </c>
      <c r="C992" s="320"/>
      <c r="D992" s="762">
        <f>'UHM FGD'!$D$97</f>
        <v>0</v>
      </c>
      <c r="E992" s="762">
        <f>'UHM FGD'!$E$97</f>
        <v>0</v>
      </c>
      <c r="F992" s="762">
        <f>'UHM FGD'!$F$97</f>
        <v>0</v>
      </c>
      <c r="G992" s="762">
        <f>'UHM FGD'!$G$97</f>
        <v>0</v>
      </c>
      <c r="H992" s="762">
        <f>'UHM FGD'!$H$97</f>
        <v>0</v>
      </c>
      <c r="I992" s="762">
        <f>'UHM FGD'!$I$97</f>
        <v>0</v>
      </c>
      <c r="J992" s="762">
        <f>'UHM FGD'!$J$97</f>
        <v>0</v>
      </c>
      <c r="K992" s="762">
        <f>'UHM FGD'!$K$97</f>
        <v>0</v>
      </c>
      <c r="L992" s="762">
        <f>'UHM FGD'!$L$97</f>
        <v>0</v>
      </c>
      <c r="M992" s="723">
        <f>'UHM FGD'!$M$97</f>
        <v>0</v>
      </c>
    </row>
    <row r="993" spans="1:15" hidden="1" outlineLevel="1">
      <c r="B993" s="823" t="str">
        <f>'UNTHSC1 FGD'!$B$2</f>
        <v>University of North Texas Health Science Center at Fort Worth (Public Medical)</v>
      </c>
      <c r="C993" s="320"/>
      <c r="D993" s="762">
        <f>'UNTHSC1 FGD'!$D$97</f>
        <v>0</v>
      </c>
      <c r="E993" s="762">
        <f>'UNTHSC1 FGD'!$E$97</f>
        <v>0</v>
      </c>
      <c r="F993" s="762">
        <f>'UNTHSC1 FGD'!$F$97</f>
        <v>0</v>
      </c>
      <c r="G993" s="762">
        <f>'UNTHSC1 FGD'!$G$97</f>
        <v>0</v>
      </c>
      <c r="H993" s="762">
        <f>'UNTHSC1 FGD'!$H$97</f>
        <v>0</v>
      </c>
      <c r="I993" s="762">
        <f>'UNTHSC1 FGD'!$I$97</f>
        <v>0</v>
      </c>
      <c r="J993" s="762">
        <f>'UNTHSC1 FGD'!$J$97</f>
        <v>0</v>
      </c>
      <c r="K993" s="762">
        <f>'UNTHSC1 FGD'!$K$97</f>
        <v>0</v>
      </c>
      <c r="L993" s="762">
        <f>'UNTHSC1 FGD'!$L$97</f>
        <v>26401624</v>
      </c>
      <c r="M993" s="723">
        <f>'UNTHSC1 FGD'!$M$97</f>
        <v>26401624</v>
      </c>
    </row>
    <row r="994" spans="1:15" collapsed="1">
      <c r="A994" s="460">
        <v>79</v>
      </c>
      <c r="B994" s="320" t="s">
        <v>486</v>
      </c>
      <c r="C994" s="320"/>
      <c r="D994" s="762">
        <f t="shared" ref="D994:M994" si="68">SUM(D981:D993)</f>
        <v>3626533</v>
      </c>
      <c r="E994" s="762">
        <f t="shared" si="68"/>
        <v>13709714</v>
      </c>
      <c r="F994" s="762">
        <f t="shared" si="68"/>
        <v>73198</v>
      </c>
      <c r="G994" s="762">
        <f t="shared" si="68"/>
        <v>6230961</v>
      </c>
      <c r="H994" s="762">
        <f t="shared" si="68"/>
        <v>0</v>
      </c>
      <c r="I994" s="762">
        <f t="shared" si="68"/>
        <v>0</v>
      </c>
      <c r="J994" s="762">
        <f t="shared" si="68"/>
        <v>26472543</v>
      </c>
      <c r="K994" s="762">
        <f t="shared" si="68"/>
        <v>0</v>
      </c>
      <c r="L994" s="762">
        <f t="shared" si="68"/>
        <v>1104033660</v>
      </c>
      <c r="M994" s="723">
        <f t="shared" si="68"/>
        <v>1154146609</v>
      </c>
    </row>
    <row r="995" spans="1:15" hidden="1" outlineLevel="1">
      <c r="B995" s="823" t="str">
        <f>'AUSM FGD'!$B$2</f>
        <v>The University of Texas at Austin Medical School (M)</v>
      </c>
      <c r="C995" s="320"/>
      <c r="D995" s="762">
        <f>'AUSM FGD'!$D$98</f>
        <v>-7338566</v>
      </c>
      <c r="E995" s="762">
        <f>'AUSM FGD'!$E$98</f>
        <v>5065605</v>
      </c>
      <c r="F995" s="762">
        <f>'AUSM FGD'!$F$98</f>
        <v>-1006729</v>
      </c>
      <c r="G995" s="762">
        <f>'AUSM FGD'!$G$98</f>
        <v>-5453054</v>
      </c>
      <c r="H995" s="762">
        <f>'AUSM FGD'!$H$98</f>
        <v>0</v>
      </c>
      <c r="I995" s="762">
        <f>'AUSM FGD'!$I$98</f>
        <v>-5368982</v>
      </c>
      <c r="J995" s="762">
        <f>'AUSM FGD'!$J$98</f>
        <v>-3249718</v>
      </c>
      <c r="K995" s="762">
        <f>'AUSM FGD'!$K$98</f>
        <v>0</v>
      </c>
      <c r="L995" s="762">
        <f>'AUSM FGD'!$L$98</f>
        <v>-21837046</v>
      </c>
      <c r="M995" s="723">
        <f>'AUSM FGD'!$M$98</f>
        <v>-39188490</v>
      </c>
    </row>
    <row r="996" spans="1:15" hidden="1" outlineLevel="1">
      <c r="B996" s="823" t="str">
        <f>'HSH FGD'!$B$2</f>
        <v>The University of Texas Health Science Center at Houston</v>
      </c>
      <c r="C996" s="320"/>
      <c r="D996" s="762">
        <f>'HSH FGD'!$D$98</f>
        <v>-8281797</v>
      </c>
      <c r="E996" s="762">
        <f>'HSH FGD'!$E$98</f>
        <v>-91864367</v>
      </c>
      <c r="F996" s="762">
        <f>'HSH FGD'!$F$98</f>
        <v>10956061</v>
      </c>
      <c r="G996" s="762">
        <f>'HSH FGD'!$G$98</f>
        <v>7814841</v>
      </c>
      <c r="H996" s="762">
        <f>'HSH FGD'!$H$98</f>
        <v>-515341</v>
      </c>
      <c r="I996" s="762">
        <f>'HSH FGD'!$I$98</f>
        <v>45759780</v>
      </c>
      <c r="J996" s="762">
        <f>'HSH FGD'!$J$98</f>
        <v>-9105236</v>
      </c>
      <c r="K996" s="762">
        <f>'HSH FGD'!$K$98</f>
        <v>0</v>
      </c>
      <c r="L996" s="762">
        <f>'HSH FGD'!$L$98</f>
        <v>-26960019</v>
      </c>
      <c r="M996" s="723">
        <f>'HSH FGD'!$M$98</f>
        <v>-72196078</v>
      </c>
    </row>
    <row r="997" spans="1:15" hidden="1" outlineLevel="1">
      <c r="B997" s="823" t="str">
        <f>'HSSA FGD'!$B$2</f>
        <v>The University of Texas Health Science Center at San Antonio</v>
      </c>
      <c r="C997" s="320"/>
      <c r="D997" s="762">
        <f>'HSSA FGD'!$D$98</f>
        <v>-7174317</v>
      </c>
      <c r="E997" s="762">
        <f>'HSSA FGD'!$E$98</f>
        <v>6147045</v>
      </c>
      <c r="F997" s="762">
        <f>'HSSA FGD'!$F$98</f>
        <v>2403677</v>
      </c>
      <c r="G997" s="762">
        <f>'HSSA FGD'!$G$98</f>
        <v>-1396963</v>
      </c>
      <c r="H997" s="762">
        <f>'HSSA FGD'!$H$98</f>
        <v>-372547</v>
      </c>
      <c r="I997" s="762">
        <f>'HSSA FGD'!$I$98</f>
        <v>-71975105</v>
      </c>
      <c r="J997" s="762">
        <f>'HSSA FGD'!$J$98</f>
        <v>-25110519</v>
      </c>
      <c r="K997" s="762">
        <f>'HSSA FGD'!$K$98</f>
        <v>0</v>
      </c>
      <c r="L997" s="762">
        <f>'HSSA FGD'!$L$98</f>
        <v>71011918</v>
      </c>
      <c r="M997" s="723">
        <f>'HSSA FGD'!$M$98</f>
        <v>-26466811</v>
      </c>
    </row>
    <row r="998" spans="1:15" hidden="1" outlineLevel="1">
      <c r="B998" s="823" t="str">
        <f>'MBG FGD'!$B$2</f>
        <v>The University of Texas Medical Branch at Galveston</v>
      </c>
      <c r="C998" s="320"/>
      <c r="D998" s="762">
        <f>'MBG FGD'!$D$98</f>
        <v>-19161892</v>
      </c>
      <c r="E998" s="762">
        <f>'MBG FGD'!$E$98</f>
        <v>-43726768</v>
      </c>
      <c r="F998" s="762">
        <f>'MBG FGD'!$F$98</f>
        <v>2944181</v>
      </c>
      <c r="G998" s="762">
        <f>'MBG FGD'!$G$98</f>
        <v>9401236</v>
      </c>
      <c r="H998" s="762">
        <f>'MBG FGD'!$H$98</f>
        <v>191513</v>
      </c>
      <c r="I998" s="762">
        <f>'MBG FGD'!$I$98</f>
        <v>-62773492</v>
      </c>
      <c r="J998" s="762">
        <f>'MBG FGD'!$J$98</f>
        <v>19044190</v>
      </c>
      <c r="K998" s="762">
        <f>'MBG FGD'!$K$98</f>
        <v>0</v>
      </c>
      <c r="L998" s="762">
        <f>'MBG FGD'!$L$98</f>
        <v>-50725145</v>
      </c>
      <c r="M998" s="723">
        <f>'MBG FGD'!$M$98</f>
        <v>-144806177</v>
      </c>
    </row>
    <row r="999" spans="1:15" hidden="1" outlineLevel="1">
      <c r="B999" s="823" t="str">
        <f>'MDA FGD'!$B$2</f>
        <v>The University of Texas M.D. Anderson Cancer Center</v>
      </c>
      <c r="C999" s="320"/>
      <c r="D999" s="762">
        <f>'MDA FGD'!$D$98</f>
        <v>-456029612</v>
      </c>
      <c r="E999" s="762">
        <f>'MDA FGD'!$E$98</f>
        <v>-2441368</v>
      </c>
      <c r="F999" s="762">
        <f>'MDA FGD'!$F$98</f>
        <v>7820182</v>
      </c>
      <c r="G999" s="762">
        <f>'MDA FGD'!$G$98</f>
        <v>-14261664</v>
      </c>
      <c r="H999" s="762">
        <f>'MDA FGD'!$H$98</f>
        <v>0</v>
      </c>
      <c r="I999" s="762">
        <f>'MDA FGD'!$I$98</f>
        <v>-165708907</v>
      </c>
      <c r="J999" s="762">
        <f>'MDA FGD'!$J$98</f>
        <v>435323661</v>
      </c>
      <c r="K999" s="762">
        <f>'MDA FGD'!$K$98</f>
        <v>0</v>
      </c>
      <c r="L999" s="762">
        <f>'MDA FGD'!$L$98</f>
        <v>-27545233</v>
      </c>
      <c r="M999" s="723">
        <f>'MDA FGD'!$M$98</f>
        <v>-222842941</v>
      </c>
    </row>
    <row r="1000" spans="1:15" hidden="1" outlineLevel="1">
      <c r="B1000" s="823" t="str">
        <f>'RGVM FGD'!$B$2</f>
        <v>The University of Texas Rio Grande Valley Medical School (M)</v>
      </c>
      <c r="C1000" s="320"/>
      <c r="D1000" s="762">
        <f>'RGVM FGD'!$D$98</f>
        <v>-1398381</v>
      </c>
      <c r="E1000" s="762">
        <f>'RGVM FGD'!$E$98</f>
        <v>8927078</v>
      </c>
      <c r="F1000" s="762">
        <f>'RGVM FGD'!$F$98</f>
        <v>156298</v>
      </c>
      <c r="G1000" s="762">
        <f>'RGVM FGD'!$G$98</f>
        <v>-1867013</v>
      </c>
      <c r="H1000" s="762">
        <f>'RGVM FGD'!$H$98</f>
        <v>0</v>
      </c>
      <c r="I1000" s="762">
        <f>'RGVM FGD'!$I$98</f>
        <v>307773</v>
      </c>
      <c r="J1000" s="762">
        <f>'RGVM FGD'!$J$98</f>
        <v>-5165921</v>
      </c>
      <c r="K1000" s="762">
        <f>'RGVM FGD'!$K$98</f>
        <v>0</v>
      </c>
      <c r="L1000" s="762">
        <f>'RGVM FGD'!$L$98</f>
        <v>14319557</v>
      </c>
      <c r="M1000" s="723">
        <f>'RGVM FGD'!$M$98</f>
        <v>15279391</v>
      </c>
    </row>
    <row r="1001" spans="1:15" hidden="1" outlineLevel="1">
      <c r="B1001" s="823" t="str">
        <f>'SWM FGD'!$B$2</f>
        <v>The University of Texas Southwestern Medical Center</v>
      </c>
      <c r="C1001" s="320"/>
      <c r="D1001" s="762">
        <f>'SWM FGD'!$D$98</f>
        <v>-496830</v>
      </c>
      <c r="E1001" s="762">
        <f>'SWM FGD'!$E$98</f>
        <v>276130257</v>
      </c>
      <c r="F1001" s="762">
        <f>'SWM FGD'!$F$98</f>
        <v>-8941471</v>
      </c>
      <c r="G1001" s="762">
        <f>'SWM FGD'!$G$98</f>
        <v>-337115567</v>
      </c>
      <c r="H1001" s="762">
        <f>'SWM FGD'!$H$98</f>
        <v>-555703</v>
      </c>
      <c r="I1001" s="762">
        <f>'SWM FGD'!$I$98</f>
        <v>-122389701</v>
      </c>
      <c r="J1001" s="762">
        <f>'SWM FGD'!$J$98</f>
        <v>14008880</v>
      </c>
      <c r="K1001" s="762">
        <f>'SWM FGD'!$K$98</f>
        <v>0</v>
      </c>
      <c r="L1001" s="762">
        <f>'SWM FGD'!$L$98</f>
        <v>146981753</v>
      </c>
      <c r="M1001" s="723">
        <f>'SWM FGD'!$M$98</f>
        <v>-32378382</v>
      </c>
    </row>
    <row r="1002" spans="1:15" hidden="1" outlineLevel="1">
      <c r="B1002" s="823" t="str">
        <f>'TAMHSC FGD'!$B$2</f>
        <v>Texas A&amp;M University System Health Science Center</v>
      </c>
      <c r="C1002" s="320"/>
      <c r="D1002" s="762">
        <f>'TAMHSC FGD'!$D$98</f>
        <v>-10117380</v>
      </c>
      <c r="E1002" s="762">
        <f>'TAMHSC FGD'!$E$98</f>
        <v>61905747</v>
      </c>
      <c r="F1002" s="762">
        <f>'TAMHSC FGD'!$F$98</f>
        <v>10682</v>
      </c>
      <c r="G1002" s="762">
        <f>'TAMHSC FGD'!$G$98</f>
        <v>4723640</v>
      </c>
      <c r="H1002" s="762">
        <f>'TAMHSC FGD'!$H$98</f>
        <v>-9650</v>
      </c>
      <c r="I1002" s="762">
        <f>'TAMHSC FGD'!$I$98</f>
        <v>-12879964</v>
      </c>
      <c r="J1002" s="762">
        <f>'TAMHSC FGD'!$J$98</f>
        <v>214414</v>
      </c>
      <c r="K1002" s="762">
        <f>'TAMHSC FGD'!$K$98</f>
        <v>0</v>
      </c>
      <c r="L1002" s="762">
        <f>'TAMHSC FGD'!$L$98</f>
        <v>-26018422</v>
      </c>
      <c r="M1002" s="723">
        <f>'TAMHSC FGD'!$M$98</f>
        <v>17829067</v>
      </c>
    </row>
    <row r="1003" spans="1:15" hidden="1" outlineLevel="1">
      <c r="B1003" s="823" t="str">
        <f>'THC FGD'!$B$2</f>
        <v>The University of Texas Health Science Center at Tyler</v>
      </c>
      <c r="C1003" s="320"/>
      <c r="D1003" s="762">
        <f>'THC FGD'!$D$98</f>
        <v>5325038</v>
      </c>
      <c r="E1003" s="762">
        <f>'THC FGD'!$E$98</f>
        <v>-4855529</v>
      </c>
      <c r="F1003" s="762">
        <f>'THC FGD'!$F$98</f>
        <v>-31123</v>
      </c>
      <c r="G1003" s="762">
        <f>'THC FGD'!$G$98</f>
        <v>7555294</v>
      </c>
      <c r="H1003" s="762">
        <f>'THC FGD'!$H$98</f>
        <v>0</v>
      </c>
      <c r="I1003" s="762">
        <f>'THC FGD'!$I$98</f>
        <v>-5607266</v>
      </c>
      <c r="J1003" s="762">
        <f>'THC FGD'!$J$98</f>
        <v>-739549</v>
      </c>
      <c r="K1003" s="762">
        <f>'THC FGD'!$K$98</f>
        <v>0</v>
      </c>
      <c r="L1003" s="762">
        <f>'THC FGD'!$L$98</f>
        <v>-89949</v>
      </c>
      <c r="M1003" s="723">
        <f>'THC FGD'!$M$98</f>
        <v>1556916</v>
      </c>
    </row>
    <row r="1004" spans="1:15" hidden="1" outlineLevel="1">
      <c r="B1004" s="823" t="str">
        <f>'TTUHSC FGD'!$B$2</f>
        <v>Texas Tech University Health Sciences Center</v>
      </c>
      <c r="C1004" s="320"/>
      <c r="D1004" s="762">
        <f>'TTUHSC FGD'!$D$98</f>
        <v>310548</v>
      </c>
      <c r="E1004" s="762">
        <f>'TTUHSC FGD'!$E$98</f>
        <v>11762649</v>
      </c>
      <c r="F1004" s="762">
        <f>'TTUHSC FGD'!$F$98</f>
        <v>-224133</v>
      </c>
      <c r="G1004" s="762">
        <f>'TTUHSC FGD'!$G$98</f>
        <v>3007530</v>
      </c>
      <c r="H1004" s="762">
        <f>'TTUHSC FGD'!$H$98</f>
        <v>-329726</v>
      </c>
      <c r="I1004" s="762">
        <f>'TTUHSC FGD'!$I$98</f>
        <v>12006907</v>
      </c>
      <c r="J1004" s="762">
        <f>'TTUHSC FGD'!$J$98</f>
        <v>25804490</v>
      </c>
      <c r="K1004" s="762">
        <f>'TTUHSC FGD'!$K$98</f>
        <v>0</v>
      </c>
      <c r="L1004" s="762">
        <f>'TTUHSC FGD'!$L$98</f>
        <v>-24705932</v>
      </c>
      <c r="M1004" s="723">
        <f>'TTUHSC FGD'!$M$98</f>
        <v>27632333</v>
      </c>
    </row>
    <row r="1005" spans="1:15" hidden="1" outlineLevel="1">
      <c r="B1005" s="823" t="str">
        <f>'TTUHSCEP FGD'!$B$2</f>
        <v>Texas Tech University Health Sciences Center at El Paso</v>
      </c>
      <c r="C1005" s="320"/>
      <c r="D1005" s="762">
        <f>'TTUHSCEP FGD'!$D$98</f>
        <v>2316555</v>
      </c>
      <c r="E1005" s="762">
        <f>'TTUHSCEP FGD'!$E$98</f>
        <v>4699090</v>
      </c>
      <c r="F1005" s="762">
        <f>'TTUHSCEP FGD'!$F$98</f>
        <v>80164</v>
      </c>
      <c r="G1005" s="762">
        <f>'TTUHSCEP FGD'!$G$98</f>
        <v>3929730</v>
      </c>
      <c r="H1005" s="762">
        <f>'TTUHSCEP FGD'!$H$98</f>
        <v>-124877</v>
      </c>
      <c r="I1005" s="762">
        <f>'TTUHSCEP FGD'!$I$98</f>
        <v>-3559060</v>
      </c>
      <c r="J1005" s="762">
        <f>'TTUHSCEP FGD'!$J$98</f>
        <v>1303668</v>
      </c>
      <c r="K1005" s="762">
        <f>'TTUHSCEP FGD'!$K$98</f>
        <v>0</v>
      </c>
      <c r="L1005" s="762">
        <f>'TTUHSCEP FGD'!$L$98</f>
        <v>-19681406</v>
      </c>
      <c r="M1005" s="723">
        <f>'TTUHSCEP FGD'!$M$98</f>
        <v>-11036136</v>
      </c>
    </row>
    <row r="1006" spans="1:15" hidden="1" outlineLevel="1">
      <c r="B1006" s="823" t="str">
        <f>'UHM FGD'!$B$2</f>
        <v>University of Houston Medical School (M)</v>
      </c>
      <c r="C1006" s="320"/>
      <c r="D1006" s="762">
        <f>'UHM FGD'!$D$98</f>
        <v>1111447</v>
      </c>
      <c r="E1006" s="762">
        <f>'UHM FGD'!$E$98</f>
        <v>-1884621</v>
      </c>
      <c r="F1006" s="762">
        <f>'UHM FGD'!$F$98</f>
        <v>50940</v>
      </c>
      <c r="G1006" s="762">
        <f>'UHM FGD'!$G$98</f>
        <v>1075373</v>
      </c>
      <c r="H1006" s="762">
        <f>'UHM FGD'!$H$98</f>
        <v>0</v>
      </c>
      <c r="I1006" s="762">
        <f>'UHM FGD'!$I$98</f>
        <v>0</v>
      </c>
      <c r="J1006" s="762">
        <f>'UHM FGD'!$J$98</f>
        <v>0</v>
      </c>
      <c r="K1006" s="762">
        <f>'UHM FGD'!$K$98</f>
        <v>0</v>
      </c>
      <c r="L1006" s="762">
        <f>'UHM FGD'!$L$98</f>
        <v>0</v>
      </c>
      <c r="M1006" s="723">
        <f>'UHM FGD'!$M$98</f>
        <v>353139</v>
      </c>
    </row>
    <row r="1007" spans="1:15" hidden="1" outlineLevel="1">
      <c r="B1007" s="823" t="str">
        <f>'UNTHSC1 FGD'!$B$2</f>
        <v>University of North Texas Health Science Center at Fort Worth (Public Medical)</v>
      </c>
      <c r="C1007" s="320"/>
      <c r="D1007" s="762">
        <f>'UNTHSC1 FGD'!$D$98</f>
        <v>-3628375</v>
      </c>
      <c r="E1007" s="762">
        <f>'UNTHSC1 FGD'!$E$98</f>
        <v>-4672462</v>
      </c>
      <c r="F1007" s="762">
        <f>'UNTHSC1 FGD'!$F$98</f>
        <v>330505</v>
      </c>
      <c r="G1007" s="762">
        <f>'UNTHSC1 FGD'!$G$98</f>
        <v>10362699</v>
      </c>
      <c r="H1007" s="762">
        <f>'UNTHSC1 FGD'!$H$98</f>
        <v>976482</v>
      </c>
      <c r="I1007" s="762">
        <f>'UNTHSC1 FGD'!$I$98</f>
        <v>-8716147</v>
      </c>
      <c r="J1007" s="762">
        <f>'UNTHSC1 FGD'!$J$98</f>
        <v>-209</v>
      </c>
      <c r="K1007" s="762">
        <f>'UNTHSC1 FGD'!$K$98</f>
        <v>-14175088</v>
      </c>
      <c r="L1007" s="762">
        <f>'UNTHSC1 FGD'!$L$98</f>
        <v>8108868</v>
      </c>
      <c r="M1007" s="723">
        <f>'UNTHSC1 FGD'!$M$98</f>
        <v>-11413727</v>
      </c>
    </row>
    <row r="1008" spans="1:15" ht="13.8" collapsed="1" thickBot="1">
      <c r="B1008" s="885" t="s">
        <v>487</v>
      </c>
      <c r="C1008" s="885"/>
      <c r="D1008" s="886">
        <f t="shared" ref="D1008:M1008" si="69">SUM(D995:D1007)</f>
        <v>-504563562</v>
      </c>
      <c r="E1008" s="886">
        <f t="shared" si="69"/>
        <v>225192356</v>
      </c>
      <c r="F1008" s="886">
        <f t="shared" si="69"/>
        <v>14549234</v>
      </c>
      <c r="G1008" s="886">
        <f t="shared" si="69"/>
        <v>-312223918</v>
      </c>
      <c r="H1008" s="886">
        <f t="shared" si="69"/>
        <v>-739849</v>
      </c>
      <c r="I1008" s="886">
        <f t="shared" si="69"/>
        <v>-400904164</v>
      </c>
      <c r="J1008" s="886">
        <f t="shared" si="69"/>
        <v>452328151</v>
      </c>
      <c r="K1008" s="886">
        <f t="shared" si="69"/>
        <v>-14175088</v>
      </c>
      <c r="L1008" s="886">
        <f t="shared" si="69"/>
        <v>42858944</v>
      </c>
      <c r="M1008" s="886">
        <f t="shared" si="69"/>
        <v>-497677896</v>
      </c>
      <c r="O1008" s="322" t="str">
        <f>IF(M1008&lt;&gt;M1143,"Error","OK")</f>
        <v>OK</v>
      </c>
    </row>
    <row r="1009" spans="1:13" ht="13.8" thickTop="1">
      <c r="A1009" s="460">
        <v>80</v>
      </c>
      <c r="D1009" s="888"/>
      <c r="E1009" s="888"/>
      <c r="F1009" s="888"/>
      <c r="G1009" s="888"/>
      <c r="H1009" s="888"/>
      <c r="I1009" s="888"/>
      <c r="J1009" s="888"/>
      <c r="K1009" s="888"/>
      <c r="L1009" s="888"/>
      <c r="M1009" s="888"/>
    </row>
    <row r="1010" spans="1:13">
      <c r="A1010" s="460">
        <v>81</v>
      </c>
      <c r="B1010" s="823" t="s">
        <v>607</v>
      </c>
      <c r="C1010" s="890"/>
      <c r="I1010" s="763"/>
    </row>
    <row r="1011" spans="1:13">
      <c r="A1011" s="460">
        <v>82</v>
      </c>
      <c r="B1011" s="890" t="s">
        <v>608</v>
      </c>
    </row>
    <row r="1012" spans="1:13">
      <c r="A1012" s="460">
        <v>83</v>
      </c>
      <c r="B1012" s="320" t="s">
        <v>609</v>
      </c>
    </row>
    <row r="1013" spans="1:13">
      <c r="A1013" s="460">
        <v>84</v>
      </c>
    </row>
    <row r="1014" spans="1:13">
      <c r="M1014" s="893"/>
    </row>
    <row r="1015" spans="1:13" hidden="1" outlineLevel="1">
      <c r="B1015" s="823" t="str">
        <f>'AUSM FGD'!$B$2</f>
        <v>The University of Texas at Austin Medical School (M)</v>
      </c>
      <c r="M1015" s="1050">
        <f>'AUSM FGD'!$M$105</f>
        <v>-39188490</v>
      </c>
    </row>
    <row r="1016" spans="1:13" hidden="1" outlineLevel="1">
      <c r="B1016" s="823" t="str">
        <f>'HSH FGD'!$B$2</f>
        <v>The University of Texas Health Science Center at Houston</v>
      </c>
      <c r="M1016" s="1050">
        <f>'HSH FGD'!$M$105</f>
        <v>-72196078</v>
      </c>
    </row>
    <row r="1017" spans="1:13" hidden="1" outlineLevel="1">
      <c r="B1017" s="823" t="str">
        <f>'HSSA FGD'!$B$2</f>
        <v>The University of Texas Health Science Center at San Antonio</v>
      </c>
      <c r="M1017" s="1050">
        <f>'HSSA FGD'!$M$105</f>
        <v>-26466811</v>
      </c>
    </row>
    <row r="1018" spans="1:13" hidden="1" outlineLevel="1">
      <c r="B1018" s="823" t="str">
        <f>'MBG FGD'!$B$2</f>
        <v>The University of Texas Medical Branch at Galveston</v>
      </c>
      <c r="M1018" s="1050">
        <f>'MBG FGD'!$M$105</f>
        <v>-144806177</v>
      </c>
    </row>
    <row r="1019" spans="1:13" hidden="1" outlineLevel="1">
      <c r="B1019" s="823" t="str">
        <f>'MDA FGD'!$B$2</f>
        <v>The University of Texas M.D. Anderson Cancer Center</v>
      </c>
      <c r="M1019" s="1050">
        <f>'MDA FGD'!$M$105</f>
        <v>-222842941</v>
      </c>
    </row>
    <row r="1020" spans="1:13" hidden="1" outlineLevel="1">
      <c r="B1020" s="823" t="str">
        <f>'RGVM FGD'!$B$2</f>
        <v>The University of Texas Rio Grande Valley Medical School (M)</v>
      </c>
      <c r="M1020" s="1050">
        <f>'RGVM FGD'!$M$105</f>
        <v>15279391</v>
      </c>
    </row>
    <row r="1021" spans="1:13" hidden="1" outlineLevel="1">
      <c r="B1021" s="823" t="str">
        <f>'SWM FGD'!$B$2</f>
        <v>The University of Texas Southwestern Medical Center</v>
      </c>
      <c r="M1021" s="1050">
        <f>'SWM FGD'!$M$105</f>
        <v>-32378382</v>
      </c>
    </row>
    <row r="1022" spans="1:13" hidden="1" outlineLevel="1">
      <c r="B1022" s="823" t="str">
        <f>'TAMHSC FGD'!$B$2</f>
        <v>Texas A&amp;M University System Health Science Center</v>
      </c>
      <c r="M1022" s="1050">
        <f>'TAMHSC FGD'!$M$105</f>
        <v>17829067</v>
      </c>
    </row>
    <row r="1023" spans="1:13" hidden="1" outlineLevel="1">
      <c r="B1023" s="823" t="str">
        <f>'THC FGD'!$B$2</f>
        <v>The University of Texas Health Science Center at Tyler</v>
      </c>
      <c r="M1023" s="1050">
        <f>'THC FGD'!$M$105</f>
        <v>1556916</v>
      </c>
    </row>
    <row r="1024" spans="1:13" hidden="1" outlineLevel="1">
      <c r="B1024" s="823" t="str">
        <f>'TTUHSC FGD'!$B$2</f>
        <v>Texas Tech University Health Sciences Center</v>
      </c>
      <c r="M1024" s="1050">
        <f>'TTUHSC FGD'!$M$105</f>
        <v>27632333</v>
      </c>
    </row>
    <row r="1025" spans="2:15" hidden="1" outlineLevel="1">
      <c r="B1025" s="823" t="str">
        <f>'TTUHSCEP FGD'!$B$2</f>
        <v>Texas Tech University Health Sciences Center at El Paso</v>
      </c>
      <c r="M1025" s="1050">
        <f>'TTUHSCEP FGD'!$M$105</f>
        <v>-11036136</v>
      </c>
    </row>
    <row r="1026" spans="2:15" hidden="1" outlineLevel="1">
      <c r="B1026" s="823" t="str">
        <f>'UHM FGD'!$B$2</f>
        <v>University of Houston Medical School (M)</v>
      </c>
      <c r="M1026" s="1050">
        <f>'UHM FGD'!$M$105</f>
        <v>353139</v>
      </c>
    </row>
    <row r="1027" spans="2:15" hidden="1" outlineLevel="1">
      <c r="B1027" s="823" t="str">
        <f>'UNTHSC1 FGD'!$B$2</f>
        <v>University of North Texas Health Science Center at Fort Worth (Public Medical)</v>
      </c>
      <c r="M1027" s="1050">
        <f>'UNTHSC1 FGD'!$M$105</f>
        <v>-11413727</v>
      </c>
    </row>
    <row r="1028" spans="2:15" ht="12.75" customHeight="1" collapsed="1">
      <c r="B1028" s="320" t="s">
        <v>610</v>
      </c>
      <c r="M1028" s="762">
        <f>SUM(M1015:M1027)</f>
        <v>-497677896</v>
      </c>
      <c r="O1028" s="322"/>
    </row>
    <row r="1029" spans="2:15" ht="12.75" hidden="1" customHeight="1" outlineLevel="1">
      <c r="B1029" s="823" t="str">
        <f>'AUSM FGD'!$B$2</f>
        <v>The University of Texas at Austin Medical School (M)</v>
      </c>
      <c r="M1029" s="1051">
        <f>'AUSM FGD'!$M$106</f>
        <v>0</v>
      </c>
    </row>
    <row r="1030" spans="2:15" ht="12.75" hidden="1" customHeight="1" outlineLevel="1">
      <c r="B1030" s="823" t="str">
        <f>'HSH FGD'!$B$2</f>
        <v>The University of Texas Health Science Center at Houston</v>
      </c>
      <c r="M1030" s="1051">
        <f>'HSH FGD'!$M$106</f>
        <v>0</v>
      </c>
    </row>
    <row r="1031" spans="2:15" ht="12.75" hidden="1" customHeight="1" outlineLevel="1">
      <c r="B1031" s="823" t="str">
        <f>'HSSA FGD'!$B$2</f>
        <v>The University of Texas Health Science Center at San Antonio</v>
      </c>
      <c r="M1031" s="1051">
        <f>'HSSA FGD'!$M$106</f>
        <v>0</v>
      </c>
    </row>
    <row r="1032" spans="2:15" ht="12.75" hidden="1" customHeight="1" outlineLevel="1">
      <c r="B1032" s="823" t="str">
        <f>'MBG FGD'!$B$2</f>
        <v>The University of Texas Medical Branch at Galveston</v>
      </c>
      <c r="M1032" s="1051">
        <f>'MBG FGD'!$M$106</f>
        <v>0</v>
      </c>
    </row>
    <row r="1033" spans="2:15" ht="12.75" hidden="1" customHeight="1" outlineLevel="1">
      <c r="B1033" s="823" t="str">
        <f>'MDA FGD'!$B$2</f>
        <v>The University of Texas M.D. Anderson Cancer Center</v>
      </c>
      <c r="M1033" s="1051">
        <f>'MDA FGD'!$M$106</f>
        <v>0</v>
      </c>
    </row>
    <row r="1034" spans="2:15" ht="12.75" hidden="1" customHeight="1" outlineLevel="1">
      <c r="B1034" s="823" t="str">
        <f>'RGVM FGD'!$B$2</f>
        <v>The University of Texas Rio Grande Valley Medical School (M)</v>
      </c>
      <c r="M1034" s="1051">
        <f>'RGVM FGD'!$M$106</f>
        <v>0</v>
      </c>
    </row>
    <row r="1035" spans="2:15" ht="12.75" hidden="1" customHeight="1" outlineLevel="1">
      <c r="B1035" s="823" t="str">
        <f>'SWM FGD'!$B$2</f>
        <v>The University of Texas Southwestern Medical Center</v>
      </c>
      <c r="M1035" s="1051">
        <f>'SWM FGD'!$M$106</f>
        <v>0</v>
      </c>
    </row>
    <row r="1036" spans="2:15" ht="12.75" hidden="1" customHeight="1" outlineLevel="1">
      <c r="B1036" s="823" t="str">
        <f>'TAMHSC FGD'!$B$2</f>
        <v>Texas A&amp;M University System Health Science Center</v>
      </c>
      <c r="M1036" s="1051">
        <f>'TAMHSC FGD'!$M$106</f>
        <v>0</v>
      </c>
    </row>
    <row r="1037" spans="2:15" ht="12.75" hidden="1" customHeight="1" outlineLevel="1">
      <c r="B1037" s="823" t="str">
        <f>'THC FGD'!$B$2</f>
        <v>The University of Texas Health Science Center at Tyler</v>
      </c>
      <c r="M1037" s="1051">
        <f>'THC FGD'!$M$106</f>
        <v>0</v>
      </c>
    </row>
    <row r="1038" spans="2:15" ht="12.75" hidden="1" customHeight="1" outlineLevel="1">
      <c r="B1038" s="823" t="str">
        <f>'TTUHSC FGD'!$B$2</f>
        <v>Texas Tech University Health Sciences Center</v>
      </c>
      <c r="M1038" s="1051">
        <f>'TTUHSC FGD'!$M$106</f>
        <v>0</v>
      </c>
    </row>
    <row r="1039" spans="2:15" ht="12.75" hidden="1" customHeight="1" outlineLevel="1">
      <c r="B1039" s="823" t="str">
        <f>'TTUHSCEP FGD'!$B$2</f>
        <v>Texas Tech University Health Sciences Center at El Paso</v>
      </c>
      <c r="M1039" s="1051">
        <f>'TTUHSCEP FGD'!$M$106</f>
        <v>0</v>
      </c>
    </row>
    <row r="1040" spans="2:15" ht="12.75" hidden="1" customHeight="1" outlineLevel="1">
      <c r="B1040" s="823" t="str">
        <f>'UHM FGD'!$B$2</f>
        <v>University of Houston Medical School (M)</v>
      </c>
      <c r="M1040" s="1051">
        <f>'UHM FGD'!$M$106</f>
        <v>0</v>
      </c>
    </row>
    <row r="1041" spans="1:14" ht="12.75" hidden="1" customHeight="1" outlineLevel="1">
      <c r="B1041" s="823" t="str">
        <f>'UNTHSC1 FGD'!$B$2</f>
        <v>University of North Texas Health Science Center at Fort Worth (Public Medical)</v>
      </c>
      <c r="M1041" s="1051">
        <f>'UNTHSC1 FGD'!$M$106</f>
        <v>0</v>
      </c>
    </row>
    <row r="1042" spans="1:14" ht="12.75" customHeight="1" collapsed="1">
      <c r="B1042" s="752" t="s">
        <v>611</v>
      </c>
      <c r="M1042" s="894">
        <f>SUM(M1029:M1041)</f>
        <v>0</v>
      </c>
    </row>
    <row r="1051" spans="1:14" s="823" customFormat="1">
      <c r="A1051" s="1052"/>
      <c r="B1051" s="727" t="s">
        <v>612</v>
      </c>
      <c r="C1051" s="727"/>
      <c r="N1051" s="1052"/>
    </row>
    <row r="1052" spans="1:14" s="823" customFormat="1">
      <c r="A1052" s="1053"/>
      <c r="B1052" s="1054"/>
      <c r="C1052" s="1054"/>
      <c r="D1052" s="1054"/>
      <c r="E1052" s="1054"/>
      <c r="F1052" s="1054"/>
      <c r="G1052" s="1054"/>
      <c r="H1052" s="1054"/>
      <c r="I1052" s="1054"/>
      <c r="J1052" s="1054"/>
      <c r="K1052" s="1054"/>
      <c r="L1052" s="1054"/>
      <c r="M1052" s="1054"/>
      <c r="N1052" s="1052"/>
    </row>
    <row r="1053" spans="1:14" s="823" customFormat="1">
      <c r="A1053" s="1053">
        <v>8</v>
      </c>
      <c r="B1053" s="727" t="s">
        <v>152</v>
      </c>
      <c r="C1053" s="727"/>
      <c r="N1053" s="1052"/>
    </row>
    <row r="1054" spans="1:14" s="823" customFormat="1">
      <c r="A1054" s="1053">
        <v>9</v>
      </c>
      <c r="B1054" s="823" t="s">
        <v>101</v>
      </c>
      <c r="D1054" s="823">
        <f>'Smmy FGD'!D23</f>
        <v>1905374287</v>
      </c>
      <c r="E1054" s="823">
        <f>'Smmy FGD'!E23</f>
        <v>0</v>
      </c>
      <c r="F1054" s="823">
        <f>'Smmy FGD'!F23</f>
        <v>0</v>
      </c>
      <c r="G1054" s="823">
        <f>'Smmy FGD'!G23</f>
        <v>13427001</v>
      </c>
      <c r="H1054" s="823">
        <f>'Smmy FGD'!H23</f>
        <v>0</v>
      </c>
      <c r="I1054" s="823">
        <f>'Smmy FGD'!I23</f>
        <v>0</v>
      </c>
      <c r="J1054" s="823">
        <f>'Smmy FGD'!J23</f>
        <v>0</v>
      </c>
      <c r="K1054" s="823">
        <f>'Smmy FGD'!K23</f>
        <v>0</v>
      </c>
      <c r="L1054" s="823">
        <f>'Smmy FGD'!L23</f>
        <v>0</v>
      </c>
      <c r="M1054" s="823">
        <f>'Smmy FGD'!M23</f>
        <v>1918801288</v>
      </c>
      <c r="N1054" s="1052"/>
    </row>
    <row r="1055" spans="1:14" s="823" customFormat="1">
      <c r="A1055" s="1053">
        <v>10</v>
      </c>
      <c r="B1055" s="823" t="s">
        <v>134</v>
      </c>
      <c r="D1055" s="849">
        <f>'Smmy FGD'!D37</f>
        <v>33159975</v>
      </c>
      <c r="E1055" s="849">
        <f>'Smmy FGD'!E37</f>
        <v>9053569</v>
      </c>
      <c r="F1055" s="849">
        <f>'Smmy FGD'!F37</f>
        <v>0</v>
      </c>
      <c r="G1055" s="849">
        <f>'Smmy FGD'!G37</f>
        <v>143812170</v>
      </c>
      <c r="H1055" s="849">
        <f>'Smmy FGD'!H37</f>
        <v>0</v>
      </c>
      <c r="I1055" s="849">
        <f>'Smmy FGD'!I37</f>
        <v>0</v>
      </c>
      <c r="J1055" s="849">
        <f>'Smmy FGD'!J37</f>
        <v>0</v>
      </c>
      <c r="K1055" s="849">
        <f>'Smmy FGD'!K37</f>
        <v>0</v>
      </c>
      <c r="L1055" s="849">
        <f>'Smmy FGD'!L37</f>
        <v>0</v>
      </c>
      <c r="M1055" s="849">
        <f>'Smmy FGD'!M37</f>
        <v>186025714</v>
      </c>
      <c r="N1055" s="1052"/>
    </row>
    <row r="1056" spans="1:14" s="823" customFormat="1">
      <c r="A1056" s="1053">
        <v>11</v>
      </c>
      <c r="B1056" s="823" t="s">
        <v>613</v>
      </c>
      <c r="D1056" s="823">
        <f>'Smmy FGD'!D51</f>
        <v>0</v>
      </c>
      <c r="E1056" s="823">
        <f>'Smmy FGD'!E51</f>
        <v>0</v>
      </c>
      <c r="F1056" s="823">
        <f>'Smmy FGD'!F51</f>
        <v>0</v>
      </c>
      <c r="G1056" s="823">
        <f>'Smmy FGD'!G51</f>
        <v>0</v>
      </c>
      <c r="H1056" s="823">
        <f>'Smmy FGD'!H51</f>
        <v>0</v>
      </c>
      <c r="I1056" s="823">
        <f>'Smmy FGD'!I51</f>
        <v>0</v>
      </c>
      <c r="J1056" s="823">
        <f>'Smmy FGD'!J51</f>
        <v>0</v>
      </c>
      <c r="K1056" s="823">
        <f>'Smmy FGD'!K51</f>
        <v>0</v>
      </c>
      <c r="L1056" s="823">
        <f>'Smmy FGD'!L51</f>
        <v>0</v>
      </c>
      <c r="M1056" s="823">
        <f>'Smmy FGD'!M51</f>
        <v>0</v>
      </c>
      <c r="N1056" s="1052"/>
    </row>
    <row r="1057" spans="1:14" s="823" customFormat="1">
      <c r="A1057" s="1053">
        <v>12</v>
      </c>
      <c r="B1057" s="823" t="s">
        <v>468</v>
      </c>
      <c r="D1057" s="823">
        <f>'Smmy FGD'!D65</f>
        <v>42335466</v>
      </c>
      <c r="E1057" s="823">
        <f>'Smmy FGD'!E65</f>
        <v>0</v>
      </c>
      <c r="F1057" s="823">
        <f>'Smmy FGD'!F65</f>
        <v>0</v>
      </c>
      <c r="G1057" s="823">
        <f>'Smmy FGD'!G65</f>
        <v>0</v>
      </c>
      <c r="H1057" s="823">
        <f>'Smmy FGD'!H65</f>
        <v>0</v>
      </c>
      <c r="I1057" s="823">
        <f>'Smmy FGD'!I65</f>
        <v>0</v>
      </c>
      <c r="J1057" s="823">
        <f>'Smmy FGD'!J65</f>
        <v>0</v>
      </c>
      <c r="K1057" s="823">
        <f>'Smmy FGD'!K65</f>
        <v>0</v>
      </c>
      <c r="L1057" s="823">
        <f>'Smmy FGD'!L65</f>
        <v>0</v>
      </c>
      <c r="M1057" s="823">
        <f>'Smmy FGD'!M65</f>
        <v>42335466</v>
      </c>
      <c r="N1057" s="1052"/>
    </row>
    <row r="1058" spans="1:14" s="823" customFormat="1">
      <c r="A1058" s="1053">
        <v>13</v>
      </c>
      <c r="B1058" s="823" t="s">
        <v>135</v>
      </c>
      <c r="D1058" s="823">
        <f>'Smmy FGD'!D79</f>
        <v>25010190</v>
      </c>
      <c r="E1058" s="823">
        <f>'Smmy FGD'!E79</f>
        <v>46943006</v>
      </c>
      <c r="F1058" s="823">
        <f>'Smmy FGD'!F79</f>
        <v>0</v>
      </c>
      <c r="G1058" s="823">
        <f>'Smmy FGD'!G79</f>
        <v>0</v>
      </c>
      <c r="H1058" s="823">
        <f>'Smmy FGD'!H79</f>
        <v>0</v>
      </c>
      <c r="I1058" s="823">
        <f>'Smmy FGD'!I79</f>
        <v>0</v>
      </c>
      <c r="J1058" s="823">
        <f>'Smmy FGD'!J79</f>
        <v>0</v>
      </c>
      <c r="K1058" s="823">
        <f>'Smmy FGD'!K79</f>
        <v>0</v>
      </c>
      <c r="L1058" s="823">
        <f>'Smmy FGD'!L79</f>
        <v>0</v>
      </c>
      <c r="M1058" s="823">
        <f>'Smmy FGD'!M79</f>
        <v>71953196</v>
      </c>
      <c r="N1058" s="1052"/>
    </row>
    <row r="1059" spans="1:14" s="823" customFormat="1">
      <c r="A1059" s="1053">
        <v>14</v>
      </c>
      <c r="B1059" s="1055" t="s">
        <v>155</v>
      </c>
      <c r="C1059" s="1055"/>
      <c r="D1059" s="1056">
        <f t="shared" ref="D1059:M1059" si="70">SUM(D1054:D1058)</f>
        <v>2005879918</v>
      </c>
      <c r="E1059" s="1056">
        <f t="shared" si="70"/>
        <v>55996575</v>
      </c>
      <c r="F1059" s="1056">
        <f t="shared" si="70"/>
        <v>0</v>
      </c>
      <c r="G1059" s="1056">
        <f t="shared" si="70"/>
        <v>157239171</v>
      </c>
      <c r="H1059" s="1056">
        <f t="shared" si="70"/>
        <v>0</v>
      </c>
      <c r="I1059" s="1056">
        <f t="shared" si="70"/>
        <v>0</v>
      </c>
      <c r="J1059" s="1056">
        <f t="shared" si="70"/>
        <v>0</v>
      </c>
      <c r="K1059" s="1056">
        <f t="shared" si="70"/>
        <v>0</v>
      </c>
      <c r="L1059" s="1056">
        <f t="shared" si="70"/>
        <v>0</v>
      </c>
      <c r="M1059" s="1056">
        <f t="shared" si="70"/>
        <v>2219115664</v>
      </c>
      <c r="N1059" s="1052"/>
    </row>
    <row r="1060" spans="1:14" s="823" customFormat="1">
      <c r="A1060" s="1053">
        <v>15</v>
      </c>
      <c r="N1060" s="1052"/>
    </row>
    <row r="1061" spans="1:14" s="823" customFormat="1">
      <c r="A1061" s="1053">
        <v>16</v>
      </c>
      <c r="B1061" s="727" t="s">
        <v>161</v>
      </c>
      <c r="C1061" s="727"/>
      <c r="N1061" s="1052"/>
    </row>
    <row r="1062" spans="1:14" s="320" customFormat="1" ht="13.5" customHeight="1">
      <c r="A1062" s="322"/>
      <c r="B1062" s="772" t="s">
        <v>228</v>
      </c>
      <c r="C1062" s="772"/>
      <c r="D1062" s="769">
        <f t="shared" ref="D1062:E1062" si="71">D1067-SUM(D1063:D1066)</f>
        <v>153907920</v>
      </c>
      <c r="E1062" s="769">
        <f t="shared" si="71"/>
        <v>197234083</v>
      </c>
      <c r="F1062" s="769">
        <f t="shared" ref="F1062:M1062" si="72">F1067-SUM(F1063:F1066)</f>
        <v>0</v>
      </c>
      <c r="G1062" s="769">
        <f t="shared" si="72"/>
        <v>0</v>
      </c>
      <c r="H1062" s="769">
        <f t="shared" si="72"/>
        <v>0</v>
      </c>
      <c r="I1062" s="769">
        <f t="shared" si="72"/>
        <v>0</v>
      </c>
      <c r="J1062" s="769">
        <f t="shared" si="72"/>
        <v>0</v>
      </c>
      <c r="K1062" s="769">
        <f t="shared" si="72"/>
        <v>0</v>
      </c>
      <c r="L1062" s="769">
        <f t="shared" si="72"/>
        <v>0</v>
      </c>
      <c r="M1062" s="769">
        <f t="shared" si="72"/>
        <v>351142003</v>
      </c>
      <c r="N1062" s="322"/>
    </row>
    <row r="1063" spans="1:14" s="320" customFormat="1" ht="12.75" customHeight="1">
      <c r="A1063" s="322"/>
      <c r="B1063" s="320" t="s">
        <v>592</v>
      </c>
      <c r="D1063" s="762">
        <f t="shared" ref="D1063:M1063" si="73">D123</f>
        <v>-25152485</v>
      </c>
      <c r="E1063" s="762">
        <f t="shared" si="73"/>
        <v>-54194</v>
      </c>
      <c r="F1063" s="762">
        <f t="shared" si="73"/>
        <v>0</v>
      </c>
      <c r="G1063" s="762">
        <f t="shared" si="73"/>
        <v>0</v>
      </c>
      <c r="H1063" s="762">
        <f t="shared" si="73"/>
        <v>0</v>
      </c>
      <c r="I1063" s="762">
        <f t="shared" si="73"/>
        <v>0</v>
      </c>
      <c r="J1063" s="762">
        <f t="shared" si="73"/>
        <v>0</v>
      </c>
      <c r="K1063" s="762">
        <f t="shared" si="73"/>
        <v>0</v>
      </c>
      <c r="L1063" s="762">
        <f t="shared" si="73"/>
        <v>0</v>
      </c>
      <c r="M1063" s="762">
        <f t="shared" si="73"/>
        <v>-25206679</v>
      </c>
      <c r="N1063" s="322"/>
    </row>
    <row r="1064" spans="1:14" s="320" customFormat="1" ht="12.75" customHeight="1">
      <c r="A1064" s="322"/>
      <c r="B1064" s="320" t="s">
        <v>593</v>
      </c>
      <c r="D1064" s="762">
        <f t="shared" ref="D1064:M1064" si="74">D137</f>
        <v>-1658001</v>
      </c>
      <c r="E1064" s="762">
        <f t="shared" si="74"/>
        <v>-546181</v>
      </c>
      <c r="F1064" s="762">
        <f t="shared" si="74"/>
        <v>0</v>
      </c>
      <c r="G1064" s="762">
        <f t="shared" si="74"/>
        <v>0</v>
      </c>
      <c r="H1064" s="762">
        <f t="shared" si="74"/>
        <v>0</v>
      </c>
      <c r="I1064" s="762">
        <f t="shared" si="74"/>
        <v>0</v>
      </c>
      <c r="J1064" s="762">
        <f t="shared" si="74"/>
        <v>0</v>
      </c>
      <c r="K1064" s="762">
        <f t="shared" si="74"/>
        <v>0</v>
      </c>
      <c r="L1064" s="762">
        <f t="shared" si="74"/>
        <v>0</v>
      </c>
      <c r="M1064" s="762">
        <f t="shared" si="74"/>
        <v>-2204182</v>
      </c>
      <c r="N1064" s="322"/>
    </row>
    <row r="1065" spans="1:14" s="320" customFormat="1">
      <c r="A1065" s="322"/>
      <c r="B1065" s="320" t="s">
        <v>594</v>
      </c>
      <c r="D1065" s="762">
        <f t="shared" ref="D1065:M1065" si="75">D151</f>
        <v>0</v>
      </c>
      <c r="E1065" s="762">
        <f t="shared" si="75"/>
        <v>0</v>
      </c>
      <c r="F1065" s="762">
        <f t="shared" si="75"/>
        <v>0</v>
      </c>
      <c r="G1065" s="762">
        <f t="shared" si="75"/>
        <v>0</v>
      </c>
      <c r="H1065" s="762">
        <f t="shared" si="75"/>
        <v>0</v>
      </c>
      <c r="I1065" s="762">
        <f t="shared" si="75"/>
        <v>0</v>
      </c>
      <c r="J1065" s="762">
        <f t="shared" si="75"/>
        <v>0</v>
      </c>
      <c r="K1065" s="762">
        <f t="shared" si="75"/>
        <v>0</v>
      </c>
      <c r="L1065" s="762">
        <f t="shared" si="75"/>
        <v>0</v>
      </c>
      <c r="M1065" s="762">
        <f t="shared" si="75"/>
        <v>0</v>
      </c>
      <c r="N1065" s="322"/>
    </row>
    <row r="1066" spans="1:14" s="320" customFormat="1">
      <c r="A1066" s="322"/>
      <c r="B1066" s="320" t="s">
        <v>595</v>
      </c>
      <c r="D1066" s="762">
        <f t="shared" ref="D1066:M1066" si="76">D165</f>
        <v>0</v>
      </c>
      <c r="E1066" s="762">
        <f t="shared" si="76"/>
        <v>0</v>
      </c>
      <c r="F1066" s="762">
        <f t="shared" si="76"/>
        <v>0</v>
      </c>
      <c r="G1066" s="762">
        <f t="shared" si="76"/>
        <v>0</v>
      </c>
      <c r="H1066" s="762">
        <f t="shared" si="76"/>
        <v>0</v>
      </c>
      <c r="I1066" s="762">
        <f t="shared" si="76"/>
        <v>0</v>
      </c>
      <c r="J1066" s="762">
        <f t="shared" si="76"/>
        <v>0</v>
      </c>
      <c r="K1066" s="762">
        <f t="shared" si="76"/>
        <v>0</v>
      </c>
      <c r="L1066" s="762">
        <f t="shared" si="76"/>
        <v>0</v>
      </c>
      <c r="M1066" s="762">
        <f t="shared" si="76"/>
        <v>0</v>
      </c>
      <c r="N1066" s="322"/>
    </row>
    <row r="1067" spans="1:14" s="320" customFormat="1" ht="12.75" customHeight="1">
      <c r="A1067" s="322"/>
      <c r="B1067" s="772" t="s">
        <v>233</v>
      </c>
      <c r="C1067" s="784"/>
      <c r="D1067" s="785">
        <f t="shared" ref="D1067:M1067" si="77">D179</f>
        <v>127097434</v>
      </c>
      <c r="E1067" s="785">
        <f t="shared" si="77"/>
        <v>196633708</v>
      </c>
      <c r="F1067" s="785">
        <f t="shared" si="77"/>
        <v>0</v>
      </c>
      <c r="G1067" s="785">
        <f t="shared" si="77"/>
        <v>0</v>
      </c>
      <c r="H1067" s="785">
        <f t="shared" si="77"/>
        <v>0</v>
      </c>
      <c r="I1067" s="785">
        <f t="shared" si="77"/>
        <v>0</v>
      </c>
      <c r="J1067" s="785">
        <f t="shared" si="77"/>
        <v>0</v>
      </c>
      <c r="K1067" s="785">
        <f t="shared" si="77"/>
        <v>0</v>
      </c>
      <c r="L1067" s="785">
        <f t="shared" si="77"/>
        <v>0</v>
      </c>
      <c r="M1067" s="785">
        <f t="shared" si="77"/>
        <v>323731142</v>
      </c>
      <c r="N1067" s="322"/>
    </row>
    <row r="1068" spans="1:14" s="320" customFormat="1" ht="12.75" customHeight="1">
      <c r="A1068" s="322"/>
      <c r="B1068" s="320" t="s">
        <v>596</v>
      </c>
      <c r="C1068" s="751"/>
      <c r="D1068" s="762">
        <f t="shared" ref="D1068:M1068" si="78">D193</f>
        <v>0</v>
      </c>
      <c r="E1068" s="762">
        <f t="shared" si="78"/>
        <v>0</v>
      </c>
      <c r="F1068" s="762">
        <f t="shared" si="78"/>
        <v>0</v>
      </c>
      <c r="G1068" s="762">
        <f t="shared" si="78"/>
        <v>0</v>
      </c>
      <c r="H1068" s="762">
        <f t="shared" si="78"/>
        <v>0</v>
      </c>
      <c r="I1068" s="762">
        <f t="shared" si="78"/>
        <v>0</v>
      </c>
      <c r="J1068" s="762">
        <f t="shared" si="78"/>
        <v>0</v>
      </c>
      <c r="K1068" s="762">
        <f t="shared" si="78"/>
        <v>0</v>
      </c>
      <c r="L1068" s="762">
        <f t="shared" si="78"/>
        <v>0</v>
      </c>
      <c r="M1068" s="762">
        <f t="shared" si="78"/>
        <v>0</v>
      </c>
      <c r="N1068" s="322"/>
    </row>
    <row r="1069" spans="1:14" s="320" customFormat="1" ht="12.75" customHeight="1">
      <c r="A1069" s="322"/>
      <c r="B1069" s="320" t="s">
        <v>597</v>
      </c>
      <c r="C1069" s="751"/>
      <c r="D1069" s="762">
        <f t="shared" ref="D1069:M1069" si="79">D207</f>
        <v>0</v>
      </c>
      <c r="E1069" s="762">
        <f t="shared" si="79"/>
        <v>0</v>
      </c>
      <c r="F1069" s="762">
        <f t="shared" si="79"/>
        <v>0</v>
      </c>
      <c r="G1069" s="762">
        <f t="shared" si="79"/>
        <v>0</v>
      </c>
      <c r="H1069" s="762">
        <f t="shared" si="79"/>
        <v>0</v>
      </c>
      <c r="I1069" s="762">
        <f t="shared" si="79"/>
        <v>0</v>
      </c>
      <c r="J1069" s="762">
        <f t="shared" si="79"/>
        <v>0</v>
      </c>
      <c r="K1069" s="762">
        <f t="shared" si="79"/>
        <v>0</v>
      </c>
      <c r="L1069" s="762">
        <f t="shared" si="79"/>
        <v>0</v>
      </c>
      <c r="M1069" s="762">
        <f t="shared" si="79"/>
        <v>0</v>
      </c>
      <c r="N1069" s="322"/>
    </row>
    <row r="1070" spans="1:14" s="320" customFormat="1" ht="12.75" customHeight="1">
      <c r="A1070" s="322"/>
      <c r="B1070" s="320" t="s">
        <v>598</v>
      </c>
      <c r="C1070" s="751"/>
      <c r="D1070" s="762">
        <f t="shared" ref="D1070:M1070" si="80">D221</f>
        <v>-3104242</v>
      </c>
      <c r="E1070" s="762">
        <f t="shared" si="80"/>
        <v>-3185617</v>
      </c>
      <c r="F1070" s="762">
        <f t="shared" si="80"/>
        <v>0</v>
      </c>
      <c r="G1070" s="762">
        <f t="shared" si="80"/>
        <v>0</v>
      </c>
      <c r="H1070" s="762">
        <f t="shared" si="80"/>
        <v>0</v>
      </c>
      <c r="I1070" s="762">
        <f t="shared" si="80"/>
        <v>0</v>
      </c>
      <c r="J1070" s="762">
        <f t="shared" si="80"/>
        <v>0</v>
      </c>
      <c r="K1070" s="762">
        <f t="shared" si="80"/>
        <v>0</v>
      </c>
      <c r="L1070" s="762">
        <f t="shared" si="80"/>
        <v>0</v>
      </c>
      <c r="M1070" s="762">
        <f t="shared" si="80"/>
        <v>-6289859</v>
      </c>
      <c r="N1070" s="322"/>
    </row>
    <row r="1071" spans="1:14" s="320" customFormat="1">
      <c r="A1071" s="322"/>
      <c r="B1071" s="320" t="s">
        <v>599</v>
      </c>
      <c r="C1071" s="751"/>
      <c r="D1071" s="762">
        <f t="shared" ref="D1071:M1071" si="81">D235</f>
        <v>0</v>
      </c>
      <c r="E1071" s="762">
        <f t="shared" si="81"/>
        <v>-1507</v>
      </c>
      <c r="F1071" s="762">
        <f t="shared" si="81"/>
        <v>0</v>
      </c>
      <c r="G1071" s="762">
        <f t="shared" si="81"/>
        <v>0</v>
      </c>
      <c r="H1071" s="762">
        <f t="shared" si="81"/>
        <v>0</v>
      </c>
      <c r="I1071" s="762">
        <f t="shared" si="81"/>
        <v>0</v>
      </c>
      <c r="J1071" s="762">
        <f t="shared" si="81"/>
        <v>0</v>
      </c>
      <c r="K1071" s="762">
        <f t="shared" si="81"/>
        <v>0</v>
      </c>
      <c r="L1071" s="762">
        <f t="shared" si="81"/>
        <v>0</v>
      </c>
      <c r="M1071" s="762">
        <f t="shared" si="81"/>
        <v>-1507</v>
      </c>
      <c r="N1071" s="322"/>
    </row>
    <row r="1072" spans="1:14" s="320" customFormat="1">
      <c r="A1072" s="322"/>
      <c r="B1072" s="320" t="s">
        <v>614</v>
      </c>
      <c r="C1072" s="751"/>
      <c r="D1072" s="762">
        <f t="shared" ref="D1072:M1072" si="82">D249</f>
        <v>-9240542</v>
      </c>
      <c r="E1072" s="762">
        <f t="shared" si="82"/>
        <v>-12972503</v>
      </c>
      <c r="F1072" s="762">
        <f t="shared" si="82"/>
        <v>0</v>
      </c>
      <c r="G1072" s="762">
        <f t="shared" si="82"/>
        <v>0</v>
      </c>
      <c r="H1072" s="762">
        <f t="shared" si="82"/>
        <v>0</v>
      </c>
      <c r="I1072" s="762">
        <f t="shared" si="82"/>
        <v>0</v>
      </c>
      <c r="J1072" s="762">
        <f t="shared" si="82"/>
        <v>0</v>
      </c>
      <c r="K1072" s="762">
        <f t="shared" si="82"/>
        <v>0</v>
      </c>
      <c r="L1072" s="762">
        <f t="shared" si="82"/>
        <v>0</v>
      </c>
      <c r="M1072" s="762">
        <f t="shared" si="82"/>
        <v>-22213045</v>
      </c>
      <c r="N1072" s="322"/>
    </row>
    <row r="1073" spans="1:14" s="320" customFormat="1" ht="12" customHeight="1">
      <c r="A1073" s="322"/>
      <c r="B1073" s="795" t="s">
        <v>165</v>
      </c>
      <c r="C1073" s="784"/>
      <c r="D1073" s="769">
        <f t="shared" ref="D1073" si="83">SUM(D1067:D1072)</f>
        <v>114752650</v>
      </c>
      <c r="E1073" s="769">
        <f t="shared" ref="E1073:M1073" si="84">SUM(E1067:E1072)</f>
        <v>180474081</v>
      </c>
      <c r="F1073" s="769">
        <f t="shared" si="84"/>
        <v>0</v>
      </c>
      <c r="G1073" s="769">
        <f t="shared" si="84"/>
        <v>0</v>
      </c>
      <c r="H1073" s="769">
        <f t="shared" si="84"/>
        <v>0</v>
      </c>
      <c r="I1073" s="769">
        <f t="shared" si="84"/>
        <v>0</v>
      </c>
      <c r="J1073" s="769">
        <f t="shared" si="84"/>
        <v>0</v>
      </c>
      <c r="K1073" s="769">
        <f t="shared" si="84"/>
        <v>0</v>
      </c>
      <c r="L1073" s="769">
        <f t="shared" si="84"/>
        <v>0</v>
      </c>
      <c r="M1073" s="769">
        <f t="shared" si="84"/>
        <v>295226731</v>
      </c>
      <c r="N1073" s="322"/>
    </row>
    <row r="1074" spans="1:14" s="320" customFormat="1" ht="16.5" customHeight="1">
      <c r="A1074" s="322"/>
      <c r="C1074" s="751"/>
      <c r="D1074" s="751"/>
      <c r="E1074" s="751"/>
      <c r="F1074" s="751"/>
      <c r="G1074" s="751"/>
      <c r="H1074" s="751"/>
      <c r="I1074" s="751"/>
      <c r="J1074" s="751"/>
      <c r="K1074" s="751"/>
      <c r="L1074" s="751"/>
      <c r="M1074" s="650"/>
      <c r="N1074" s="322"/>
    </row>
    <row r="1075" spans="1:14" s="320" customFormat="1" ht="12.75" customHeight="1">
      <c r="A1075" s="322"/>
      <c r="B1075" s="772" t="s">
        <v>238</v>
      </c>
      <c r="C1075" s="772"/>
      <c r="D1075" s="769">
        <f t="shared" ref="D1075:L1075" si="85">D1080-SUM(D1076:D1079)</f>
        <v>3790247</v>
      </c>
      <c r="E1075" s="769">
        <f t="shared" si="85"/>
        <v>91012094</v>
      </c>
      <c r="F1075" s="769">
        <f t="shared" si="85"/>
        <v>10142090</v>
      </c>
      <c r="G1075" s="769">
        <f t="shared" si="85"/>
        <v>0</v>
      </c>
      <c r="H1075" s="769">
        <f t="shared" si="85"/>
        <v>0</v>
      </c>
      <c r="I1075" s="769">
        <f t="shared" si="85"/>
        <v>0</v>
      </c>
      <c r="J1075" s="769">
        <f t="shared" si="85"/>
        <v>0</v>
      </c>
      <c r="K1075" s="769">
        <f t="shared" si="85"/>
        <v>0</v>
      </c>
      <c r="L1075" s="769">
        <f t="shared" si="85"/>
        <v>0</v>
      </c>
      <c r="M1075" s="769">
        <f t="shared" ref="M1075:M1086" si="86">D1075+E1075+F1075+G1075+H1075+I1075+J1075+K1075+L1075</f>
        <v>104944431</v>
      </c>
      <c r="N1075" s="322"/>
    </row>
    <row r="1076" spans="1:14" s="320" customFormat="1" ht="12.75" customHeight="1">
      <c r="A1076" s="322"/>
      <c r="B1076" s="320" t="s">
        <v>592</v>
      </c>
      <c r="D1076" s="762">
        <f t="shared" ref="D1076:M1076" si="87">D292</f>
        <v>0</v>
      </c>
      <c r="E1076" s="762">
        <f t="shared" si="87"/>
        <v>0</v>
      </c>
      <c r="F1076" s="762">
        <f t="shared" si="87"/>
        <v>0</v>
      </c>
      <c r="G1076" s="762">
        <f t="shared" si="87"/>
        <v>0</v>
      </c>
      <c r="H1076" s="762">
        <f t="shared" si="87"/>
        <v>0</v>
      </c>
      <c r="I1076" s="762">
        <f t="shared" si="87"/>
        <v>0</v>
      </c>
      <c r="J1076" s="762">
        <f t="shared" si="87"/>
        <v>0</v>
      </c>
      <c r="K1076" s="762">
        <f t="shared" si="87"/>
        <v>0</v>
      </c>
      <c r="L1076" s="762">
        <f t="shared" si="87"/>
        <v>0</v>
      </c>
      <c r="M1076" s="762">
        <f t="shared" si="87"/>
        <v>0</v>
      </c>
      <c r="N1076" s="322"/>
    </row>
    <row r="1077" spans="1:14" s="320" customFormat="1">
      <c r="A1077" s="322"/>
      <c r="B1077" s="320" t="s">
        <v>593</v>
      </c>
      <c r="D1077" s="762">
        <f t="shared" ref="D1077:M1077" si="88">D306</f>
        <v>0</v>
      </c>
      <c r="E1077" s="762">
        <f t="shared" si="88"/>
        <v>0</v>
      </c>
      <c r="F1077" s="762">
        <f t="shared" si="88"/>
        <v>0</v>
      </c>
      <c r="G1077" s="762">
        <f t="shared" si="88"/>
        <v>0</v>
      </c>
      <c r="H1077" s="762">
        <f t="shared" si="88"/>
        <v>0</v>
      </c>
      <c r="I1077" s="762">
        <f t="shared" si="88"/>
        <v>0</v>
      </c>
      <c r="J1077" s="762">
        <f t="shared" si="88"/>
        <v>0</v>
      </c>
      <c r="K1077" s="762">
        <f t="shared" si="88"/>
        <v>0</v>
      </c>
      <c r="L1077" s="762">
        <f t="shared" si="88"/>
        <v>0</v>
      </c>
      <c r="M1077" s="762">
        <f t="shared" si="88"/>
        <v>0</v>
      </c>
      <c r="N1077" s="322"/>
    </row>
    <row r="1078" spans="1:14" s="320" customFormat="1">
      <c r="A1078" s="322"/>
      <c r="B1078" s="320" t="s">
        <v>594</v>
      </c>
      <c r="D1078" s="762">
        <f t="shared" ref="D1078:M1078" si="89">D320</f>
        <v>0</v>
      </c>
      <c r="E1078" s="762">
        <f t="shared" si="89"/>
        <v>0</v>
      </c>
      <c r="F1078" s="762">
        <f t="shared" si="89"/>
        <v>0</v>
      </c>
      <c r="G1078" s="762">
        <f t="shared" si="89"/>
        <v>0</v>
      </c>
      <c r="H1078" s="762">
        <f t="shared" si="89"/>
        <v>0</v>
      </c>
      <c r="I1078" s="762">
        <f t="shared" si="89"/>
        <v>0</v>
      </c>
      <c r="J1078" s="762">
        <f t="shared" si="89"/>
        <v>0</v>
      </c>
      <c r="K1078" s="762">
        <f t="shared" si="89"/>
        <v>0</v>
      </c>
      <c r="L1078" s="762">
        <f t="shared" si="89"/>
        <v>0</v>
      </c>
      <c r="M1078" s="762">
        <f t="shared" si="89"/>
        <v>0</v>
      </c>
      <c r="N1078" s="322"/>
    </row>
    <row r="1079" spans="1:14" s="320" customFormat="1">
      <c r="A1079" s="322"/>
      <c r="B1079" s="320" t="s">
        <v>595</v>
      </c>
      <c r="D1079" s="762">
        <f t="shared" ref="D1079:M1079" si="90">D334</f>
        <v>0</v>
      </c>
      <c r="E1079" s="762">
        <f t="shared" si="90"/>
        <v>0</v>
      </c>
      <c r="F1079" s="762">
        <f t="shared" si="90"/>
        <v>0</v>
      </c>
      <c r="G1079" s="762">
        <f t="shared" si="90"/>
        <v>0</v>
      </c>
      <c r="H1079" s="762">
        <f t="shared" si="90"/>
        <v>0</v>
      </c>
      <c r="I1079" s="762">
        <f t="shared" si="90"/>
        <v>0</v>
      </c>
      <c r="J1079" s="762">
        <f t="shared" si="90"/>
        <v>0</v>
      </c>
      <c r="K1079" s="762">
        <f t="shared" si="90"/>
        <v>0</v>
      </c>
      <c r="L1079" s="762">
        <f t="shared" si="90"/>
        <v>0</v>
      </c>
      <c r="M1079" s="762">
        <f t="shared" si="90"/>
        <v>0</v>
      </c>
      <c r="N1079" s="322"/>
    </row>
    <row r="1080" spans="1:14" s="320" customFormat="1">
      <c r="A1080" s="322"/>
      <c r="B1080" s="772" t="s">
        <v>239</v>
      </c>
      <c r="C1080" s="784"/>
      <c r="D1080" s="785">
        <f t="shared" ref="D1080:M1080" si="91">D348</f>
        <v>3790247</v>
      </c>
      <c r="E1080" s="785">
        <f t="shared" si="91"/>
        <v>91012094</v>
      </c>
      <c r="F1080" s="785">
        <f t="shared" si="91"/>
        <v>10142090</v>
      </c>
      <c r="G1080" s="785">
        <f t="shared" si="91"/>
        <v>0</v>
      </c>
      <c r="H1080" s="785">
        <f t="shared" si="91"/>
        <v>0</v>
      </c>
      <c r="I1080" s="785">
        <f t="shared" si="91"/>
        <v>0</v>
      </c>
      <c r="J1080" s="785">
        <f t="shared" si="91"/>
        <v>0</v>
      </c>
      <c r="K1080" s="785">
        <f t="shared" si="91"/>
        <v>0</v>
      </c>
      <c r="L1080" s="785">
        <f t="shared" si="91"/>
        <v>0</v>
      </c>
      <c r="M1080" s="785">
        <f t="shared" si="91"/>
        <v>104944431</v>
      </c>
      <c r="N1080" s="322"/>
    </row>
    <row r="1081" spans="1:14" s="320" customFormat="1">
      <c r="A1081" s="322"/>
      <c r="B1081" s="320" t="s">
        <v>596</v>
      </c>
      <c r="C1081" s="751"/>
      <c r="D1081" s="762">
        <f t="shared" ref="D1081:M1081" si="92">D362</f>
        <v>0</v>
      </c>
      <c r="E1081" s="762">
        <f t="shared" si="92"/>
        <v>0</v>
      </c>
      <c r="F1081" s="762">
        <f t="shared" si="92"/>
        <v>0</v>
      </c>
      <c r="G1081" s="762">
        <f t="shared" si="92"/>
        <v>0</v>
      </c>
      <c r="H1081" s="762">
        <f t="shared" si="92"/>
        <v>0</v>
      </c>
      <c r="I1081" s="762">
        <f t="shared" si="92"/>
        <v>0</v>
      </c>
      <c r="J1081" s="762">
        <f t="shared" si="92"/>
        <v>0</v>
      </c>
      <c r="K1081" s="762">
        <f t="shared" si="92"/>
        <v>0</v>
      </c>
      <c r="L1081" s="762">
        <f t="shared" si="92"/>
        <v>0</v>
      </c>
      <c r="M1081" s="762">
        <f t="shared" si="92"/>
        <v>0</v>
      </c>
      <c r="N1081" s="322"/>
    </row>
    <row r="1082" spans="1:14" s="320" customFormat="1">
      <c r="A1082" s="322"/>
      <c r="B1082" s="320" t="s">
        <v>597</v>
      </c>
      <c r="C1082" s="751"/>
      <c r="D1082" s="762">
        <f t="shared" ref="D1082:M1082" si="93">D376</f>
        <v>0</v>
      </c>
      <c r="E1082" s="762">
        <f t="shared" si="93"/>
        <v>0</v>
      </c>
      <c r="F1082" s="762">
        <f t="shared" si="93"/>
        <v>0</v>
      </c>
      <c r="G1082" s="762">
        <f t="shared" si="93"/>
        <v>0</v>
      </c>
      <c r="H1082" s="762">
        <f t="shared" si="93"/>
        <v>0</v>
      </c>
      <c r="I1082" s="762">
        <f t="shared" si="93"/>
        <v>0</v>
      </c>
      <c r="J1082" s="762">
        <f t="shared" si="93"/>
        <v>0</v>
      </c>
      <c r="K1082" s="762">
        <f t="shared" si="93"/>
        <v>0</v>
      </c>
      <c r="L1082" s="762">
        <f t="shared" si="93"/>
        <v>0</v>
      </c>
      <c r="M1082" s="762">
        <f t="shared" si="93"/>
        <v>0</v>
      </c>
      <c r="N1082" s="322"/>
    </row>
    <row r="1083" spans="1:14" s="320" customFormat="1">
      <c r="A1083" s="322"/>
      <c r="B1083" s="320" t="s">
        <v>598</v>
      </c>
      <c r="C1083" s="751"/>
      <c r="D1083" s="762">
        <f t="shared" ref="D1083:M1083" si="94">D390</f>
        <v>-160518</v>
      </c>
      <c r="E1083" s="762">
        <f t="shared" si="94"/>
        <v>-2757666</v>
      </c>
      <c r="F1083" s="762">
        <f t="shared" si="94"/>
        <v>-90875</v>
      </c>
      <c r="G1083" s="762">
        <f t="shared" si="94"/>
        <v>0</v>
      </c>
      <c r="H1083" s="762">
        <f t="shared" si="94"/>
        <v>0</v>
      </c>
      <c r="I1083" s="762">
        <f t="shared" si="94"/>
        <v>0</v>
      </c>
      <c r="J1083" s="762">
        <f t="shared" si="94"/>
        <v>0</v>
      </c>
      <c r="K1083" s="762">
        <f t="shared" si="94"/>
        <v>0</v>
      </c>
      <c r="L1083" s="762">
        <f t="shared" si="94"/>
        <v>0</v>
      </c>
      <c r="M1083" s="762">
        <f t="shared" si="94"/>
        <v>-3009059</v>
      </c>
      <c r="N1083" s="322"/>
    </row>
    <row r="1084" spans="1:14" s="320" customFormat="1">
      <c r="A1084" s="322"/>
      <c r="B1084" s="320" t="s">
        <v>599</v>
      </c>
      <c r="C1084" s="751"/>
      <c r="D1084" s="762">
        <f t="shared" ref="D1084:M1084" si="95">D404</f>
        <v>0</v>
      </c>
      <c r="E1084" s="762">
        <f t="shared" si="95"/>
        <v>-838</v>
      </c>
      <c r="F1084" s="762">
        <f t="shared" si="95"/>
        <v>0</v>
      </c>
      <c r="G1084" s="762">
        <f t="shared" si="95"/>
        <v>0</v>
      </c>
      <c r="H1084" s="762">
        <f t="shared" si="95"/>
        <v>0</v>
      </c>
      <c r="I1084" s="762">
        <f t="shared" si="95"/>
        <v>0</v>
      </c>
      <c r="J1084" s="762">
        <f t="shared" si="95"/>
        <v>0</v>
      </c>
      <c r="K1084" s="762">
        <f t="shared" si="95"/>
        <v>0</v>
      </c>
      <c r="L1084" s="762">
        <f t="shared" si="95"/>
        <v>0</v>
      </c>
      <c r="M1084" s="762">
        <f t="shared" si="95"/>
        <v>-838</v>
      </c>
      <c r="N1084" s="322"/>
    </row>
    <row r="1085" spans="1:14" s="320" customFormat="1">
      <c r="A1085" s="322"/>
      <c r="B1085" s="320" t="s">
        <v>614</v>
      </c>
      <c r="C1085" s="751"/>
      <c r="D1085" s="762">
        <f t="shared" ref="D1085:M1085" si="96">D418</f>
        <v>-541372</v>
      </c>
      <c r="E1085" s="762">
        <f t="shared" si="96"/>
        <v>-3735448</v>
      </c>
      <c r="F1085" s="762">
        <f t="shared" si="96"/>
        <v>-782492</v>
      </c>
      <c r="G1085" s="762">
        <f t="shared" si="96"/>
        <v>0</v>
      </c>
      <c r="H1085" s="762">
        <f t="shared" si="96"/>
        <v>0</v>
      </c>
      <c r="I1085" s="762">
        <f t="shared" si="96"/>
        <v>0</v>
      </c>
      <c r="J1085" s="762">
        <f t="shared" si="96"/>
        <v>0</v>
      </c>
      <c r="K1085" s="762">
        <f t="shared" si="96"/>
        <v>0</v>
      </c>
      <c r="L1085" s="762">
        <f t="shared" si="96"/>
        <v>0</v>
      </c>
      <c r="M1085" s="762">
        <f t="shared" si="96"/>
        <v>-5059312</v>
      </c>
      <c r="N1085" s="322"/>
    </row>
    <row r="1086" spans="1:14" s="320" customFormat="1">
      <c r="A1086" s="322"/>
      <c r="B1086" s="795" t="s">
        <v>166</v>
      </c>
      <c r="C1086" s="784"/>
      <c r="D1086" s="769">
        <f t="shared" ref="D1086:L1086" si="97">SUM(D1080:D1085)</f>
        <v>3088357</v>
      </c>
      <c r="E1086" s="769">
        <f t="shared" si="97"/>
        <v>84518142</v>
      </c>
      <c r="F1086" s="769">
        <f t="shared" si="97"/>
        <v>9268723</v>
      </c>
      <c r="G1086" s="769">
        <f t="shared" si="97"/>
        <v>0</v>
      </c>
      <c r="H1086" s="769">
        <f t="shared" si="97"/>
        <v>0</v>
      </c>
      <c r="I1086" s="769">
        <f t="shared" si="97"/>
        <v>0</v>
      </c>
      <c r="J1086" s="769">
        <f t="shared" si="97"/>
        <v>0</v>
      </c>
      <c r="K1086" s="769">
        <f t="shared" si="97"/>
        <v>0</v>
      </c>
      <c r="L1086" s="769">
        <f t="shared" si="97"/>
        <v>0</v>
      </c>
      <c r="M1086" s="769">
        <f t="shared" si="86"/>
        <v>96875222</v>
      </c>
      <c r="N1086" s="322"/>
    </row>
    <row r="1087" spans="1:14" s="823" customFormat="1">
      <c r="A1087" s="1053">
        <v>28</v>
      </c>
      <c r="D1087" s="849"/>
      <c r="E1087" s="849"/>
      <c r="F1087" s="849"/>
      <c r="G1087" s="849"/>
      <c r="H1087" s="849"/>
      <c r="I1087" s="849"/>
      <c r="J1087" s="849"/>
      <c r="K1087" s="849"/>
      <c r="L1087" s="849"/>
      <c r="M1087" s="849"/>
      <c r="N1087" s="1052"/>
    </row>
    <row r="1088" spans="1:14" s="320" customFormat="1" ht="13.5" customHeight="1">
      <c r="A1088" s="322"/>
      <c r="B1088" s="795" t="s">
        <v>242</v>
      </c>
      <c r="C1088" s="784"/>
      <c r="D1088" s="769">
        <f t="shared" ref="D1088:L1088" si="98">D1086+D1073</f>
        <v>117841007</v>
      </c>
      <c r="E1088" s="769">
        <f t="shared" si="98"/>
        <v>264992223</v>
      </c>
      <c r="F1088" s="769">
        <f t="shared" si="98"/>
        <v>9268723</v>
      </c>
      <c r="G1088" s="769">
        <f t="shared" si="98"/>
        <v>0</v>
      </c>
      <c r="H1088" s="769">
        <f t="shared" si="98"/>
        <v>0</v>
      </c>
      <c r="I1088" s="769">
        <f t="shared" si="98"/>
        <v>0</v>
      </c>
      <c r="J1088" s="769">
        <f t="shared" si="98"/>
        <v>0</v>
      </c>
      <c r="K1088" s="769">
        <f t="shared" si="98"/>
        <v>0</v>
      </c>
      <c r="L1088" s="769">
        <f t="shared" si="98"/>
        <v>0</v>
      </c>
      <c r="M1088" s="769">
        <f>D1088+E1088+F1088+G1088+H1088+I1088+J1088+K1088+L1088</f>
        <v>392101953</v>
      </c>
      <c r="N1088" s="322"/>
    </row>
    <row r="1089" spans="1:21">
      <c r="A1089" s="460">
        <v>28</v>
      </c>
      <c r="D1089" s="723"/>
      <c r="E1089" s="723"/>
      <c r="F1089" s="723"/>
      <c r="G1089" s="723"/>
      <c r="H1089" s="723"/>
      <c r="I1089" s="723"/>
      <c r="J1089" s="723"/>
      <c r="K1089" s="723"/>
      <c r="L1089" s="723"/>
      <c r="M1089" s="723"/>
      <c r="N1089" s="322"/>
      <c r="P1089" s="320"/>
      <c r="Q1089" s="320"/>
    </row>
    <row r="1090" spans="1:21" s="823" customFormat="1">
      <c r="A1090" s="1053">
        <v>29</v>
      </c>
      <c r="B1090" s="727" t="s">
        <v>162</v>
      </c>
      <c r="C1090" s="727"/>
      <c r="D1090" s="849"/>
      <c r="E1090" s="849"/>
      <c r="F1090" s="849"/>
      <c r="G1090" s="849"/>
      <c r="H1090" s="849"/>
      <c r="I1090" s="849"/>
      <c r="J1090" s="849"/>
      <c r="K1090" s="849"/>
      <c r="L1090" s="849"/>
      <c r="M1090" s="849"/>
      <c r="N1090" s="1052"/>
    </row>
    <row r="1091" spans="1:21" s="823" customFormat="1">
      <c r="A1091" s="1053">
        <v>30</v>
      </c>
      <c r="B1091" s="1055" t="s">
        <v>168</v>
      </c>
      <c r="C1091" s="1055"/>
      <c r="D1091" s="1056">
        <f t="shared" ref="D1091:M1091" si="99">D463</f>
        <v>959351</v>
      </c>
      <c r="E1091" s="1056">
        <f t="shared" si="99"/>
        <v>419323919</v>
      </c>
      <c r="F1091" s="1056">
        <f t="shared" si="99"/>
        <v>0</v>
      </c>
      <c r="G1091" s="1056">
        <f t="shared" si="99"/>
        <v>1059886530</v>
      </c>
      <c r="H1091" s="1056">
        <f t="shared" si="99"/>
        <v>0</v>
      </c>
      <c r="I1091" s="1056">
        <f t="shared" si="99"/>
        <v>0</v>
      </c>
      <c r="J1091" s="1056">
        <f t="shared" si="99"/>
        <v>7816762</v>
      </c>
      <c r="K1091" s="1056">
        <f t="shared" si="99"/>
        <v>0</v>
      </c>
      <c r="L1091" s="1056">
        <f t="shared" si="99"/>
        <v>0</v>
      </c>
      <c r="M1091" s="1056">
        <f t="shared" si="99"/>
        <v>1487986562</v>
      </c>
      <c r="N1091" s="1052"/>
    </row>
    <row r="1092" spans="1:21" s="823" customFormat="1">
      <c r="A1092" s="1053">
        <v>31</v>
      </c>
      <c r="N1092" s="1052"/>
    </row>
    <row r="1093" spans="1:21">
      <c r="A1093" s="460">
        <v>32</v>
      </c>
      <c r="B1093" s="771" t="s">
        <v>163</v>
      </c>
      <c r="C1093" s="771"/>
      <c r="D1093" s="723"/>
      <c r="E1093" s="723"/>
      <c r="F1093" s="723"/>
      <c r="G1093" s="723"/>
      <c r="H1093" s="723"/>
      <c r="I1093" s="723"/>
      <c r="J1093" s="723"/>
      <c r="K1093" s="723"/>
      <c r="L1093" s="723"/>
      <c r="M1093" s="723"/>
      <c r="N1093" s="460"/>
      <c r="U1093" s="763"/>
    </row>
    <row r="1094" spans="1:21">
      <c r="A1094" s="460">
        <v>33</v>
      </c>
      <c r="B1094" s="768" t="s">
        <v>200</v>
      </c>
      <c r="C1094" s="768"/>
      <c r="D1094" s="1056">
        <f t="shared" ref="D1094:M1094" si="100">D479</f>
        <v>0</v>
      </c>
      <c r="E1094" s="1056">
        <f t="shared" si="100"/>
        <v>2554398086</v>
      </c>
      <c r="F1094" s="1056">
        <f t="shared" si="100"/>
        <v>0</v>
      </c>
      <c r="G1094" s="1056">
        <f t="shared" si="100"/>
        <v>119656862</v>
      </c>
      <c r="H1094" s="1056">
        <f t="shared" si="100"/>
        <v>0</v>
      </c>
      <c r="I1094" s="1056">
        <f t="shared" si="100"/>
        <v>0</v>
      </c>
      <c r="J1094" s="1056">
        <f t="shared" si="100"/>
        <v>0</v>
      </c>
      <c r="K1094" s="1056">
        <f t="shared" si="100"/>
        <v>0</v>
      </c>
      <c r="L1094" s="1056">
        <f t="shared" si="100"/>
        <v>0</v>
      </c>
      <c r="M1094" s="1056">
        <f t="shared" si="100"/>
        <v>2674054948</v>
      </c>
      <c r="N1094" s="460"/>
      <c r="P1094" s="763"/>
      <c r="U1094" s="763"/>
    </row>
    <row r="1095" spans="1:21">
      <c r="A1095" s="460">
        <v>34</v>
      </c>
      <c r="D1095" s="849"/>
      <c r="E1095" s="849"/>
      <c r="F1095" s="849"/>
      <c r="G1095" s="849"/>
      <c r="H1095" s="849"/>
      <c r="I1095" s="849"/>
      <c r="J1095" s="849"/>
      <c r="K1095" s="849"/>
      <c r="L1095" s="849"/>
      <c r="M1095" s="849"/>
      <c r="N1095" s="460"/>
      <c r="P1095" s="763"/>
      <c r="U1095" s="763"/>
    </row>
    <row r="1096" spans="1:21">
      <c r="A1096" s="460">
        <v>35</v>
      </c>
      <c r="B1096" s="771" t="s">
        <v>164</v>
      </c>
      <c r="C1096" s="771"/>
      <c r="D1096" s="849"/>
      <c r="E1096" s="849"/>
      <c r="F1096" s="849"/>
      <c r="G1096" s="849"/>
      <c r="H1096" s="849"/>
      <c r="I1096" s="849"/>
      <c r="J1096" s="849"/>
      <c r="K1096" s="849"/>
      <c r="L1096" s="849"/>
      <c r="M1096" s="849"/>
      <c r="N1096" s="460"/>
      <c r="P1096" s="763"/>
      <c r="U1096" s="763"/>
    </row>
    <row r="1097" spans="1:21">
      <c r="A1097" s="460">
        <v>36</v>
      </c>
      <c r="B1097" s="768" t="s">
        <v>200</v>
      </c>
      <c r="C1097" s="768"/>
      <c r="D1097" s="1056">
        <f t="shared" ref="D1097:M1097" si="101">D495</f>
        <v>5830277601</v>
      </c>
      <c r="E1097" s="1056">
        <f t="shared" si="101"/>
        <v>2906841423</v>
      </c>
      <c r="F1097" s="1056">
        <f t="shared" si="101"/>
        <v>0</v>
      </c>
      <c r="G1097" s="1056">
        <f t="shared" si="101"/>
        <v>0</v>
      </c>
      <c r="H1097" s="1056">
        <f t="shared" si="101"/>
        <v>0</v>
      </c>
      <c r="I1097" s="1056">
        <f t="shared" si="101"/>
        <v>0</v>
      </c>
      <c r="J1097" s="1056">
        <f t="shared" si="101"/>
        <v>0</v>
      </c>
      <c r="K1097" s="1056">
        <f t="shared" si="101"/>
        <v>0</v>
      </c>
      <c r="L1097" s="1056">
        <f t="shared" si="101"/>
        <v>0</v>
      </c>
      <c r="M1097" s="1056">
        <f t="shared" si="101"/>
        <v>8737119024</v>
      </c>
      <c r="N1097" s="460"/>
      <c r="P1097" s="763"/>
      <c r="U1097" s="763"/>
    </row>
    <row r="1098" spans="1:21">
      <c r="A1098" s="460">
        <v>37</v>
      </c>
      <c r="D1098" s="723"/>
      <c r="E1098" s="723"/>
      <c r="F1098" s="723"/>
      <c r="G1098" s="723"/>
      <c r="H1098" s="723"/>
      <c r="I1098" s="723"/>
      <c r="J1098" s="723"/>
      <c r="K1098" s="723"/>
      <c r="L1098" s="723"/>
      <c r="M1098" s="723"/>
      <c r="N1098" s="460"/>
      <c r="P1098" s="763"/>
      <c r="U1098" s="763"/>
    </row>
    <row r="1099" spans="1:21" s="823" customFormat="1">
      <c r="A1099" s="1053">
        <v>32</v>
      </c>
      <c r="B1099" s="727" t="s">
        <v>171</v>
      </c>
      <c r="C1099" s="727"/>
      <c r="N1099" s="1052"/>
    </row>
    <row r="1100" spans="1:21" s="823" customFormat="1">
      <c r="A1100" s="1053">
        <v>33</v>
      </c>
      <c r="B1100" s="823" t="s">
        <v>172</v>
      </c>
      <c r="D1100" s="849">
        <f>D511</f>
        <v>218024660</v>
      </c>
      <c r="E1100" s="849">
        <f t="shared" ref="E1100:M1100" si="102">E511</f>
        <v>507113075</v>
      </c>
      <c r="F1100" s="849">
        <f t="shared" si="102"/>
        <v>3459775</v>
      </c>
      <c r="G1100" s="849">
        <f t="shared" si="102"/>
        <v>250398889</v>
      </c>
      <c r="H1100" s="849">
        <f t="shared" si="102"/>
        <v>258028</v>
      </c>
      <c r="I1100" s="849">
        <f t="shared" si="102"/>
        <v>-1196123</v>
      </c>
      <c r="J1100" s="849">
        <f t="shared" si="102"/>
        <v>1981472</v>
      </c>
      <c r="K1100" s="849">
        <f t="shared" si="102"/>
        <v>0</v>
      </c>
      <c r="L1100" s="849">
        <f t="shared" si="102"/>
        <v>0</v>
      </c>
      <c r="M1100" s="849">
        <f t="shared" si="102"/>
        <v>980039776</v>
      </c>
      <c r="N1100" s="1052"/>
    </row>
    <row r="1101" spans="1:21" s="823" customFormat="1">
      <c r="A1101" s="1053">
        <v>34</v>
      </c>
      <c r="B1101" s="823" t="s">
        <v>173</v>
      </c>
      <c r="D1101" s="849">
        <f>D525</f>
        <v>15000</v>
      </c>
      <c r="E1101" s="849">
        <f t="shared" ref="E1101:M1101" si="103">E525</f>
        <v>1139518428</v>
      </c>
      <c r="F1101" s="849">
        <f t="shared" si="103"/>
        <v>0</v>
      </c>
      <c r="G1101" s="849">
        <f t="shared" si="103"/>
        <v>99688172</v>
      </c>
      <c r="H1101" s="849">
        <f t="shared" si="103"/>
        <v>0</v>
      </c>
      <c r="I1101" s="849">
        <f t="shared" si="103"/>
        <v>0</v>
      </c>
      <c r="J1101" s="849">
        <f t="shared" si="103"/>
        <v>0</v>
      </c>
      <c r="K1101" s="849">
        <f t="shared" si="103"/>
        <v>0</v>
      </c>
      <c r="L1101" s="849">
        <f t="shared" si="103"/>
        <v>0</v>
      </c>
      <c r="M1101" s="849">
        <f t="shared" si="103"/>
        <v>1239221600</v>
      </c>
      <c r="N1101" s="1052"/>
    </row>
    <row r="1102" spans="1:21" s="823" customFormat="1">
      <c r="A1102" s="1053">
        <v>35</v>
      </c>
      <c r="B1102" s="823" t="s">
        <v>174</v>
      </c>
      <c r="D1102" s="849">
        <f>D539</f>
        <v>2305218</v>
      </c>
      <c r="E1102" s="849">
        <f t="shared" ref="E1102:M1102" si="104">E539</f>
        <v>709452084</v>
      </c>
      <c r="F1102" s="849">
        <f t="shared" si="104"/>
        <v>367510</v>
      </c>
      <c r="G1102" s="849">
        <f t="shared" si="104"/>
        <v>791858766</v>
      </c>
      <c r="H1102" s="849">
        <f t="shared" si="104"/>
        <v>0</v>
      </c>
      <c r="I1102" s="849">
        <f t="shared" si="104"/>
        <v>0</v>
      </c>
      <c r="J1102" s="849">
        <f t="shared" si="104"/>
        <v>58177491</v>
      </c>
      <c r="K1102" s="849">
        <f t="shared" si="104"/>
        <v>0</v>
      </c>
      <c r="L1102" s="849">
        <f t="shared" si="104"/>
        <v>0</v>
      </c>
      <c r="M1102" s="849">
        <f t="shared" si="104"/>
        <v>1562161069</v>
      </c>
      <c r="N1102" s="1052"/>
    </row>
    <row r="1103" spans="1:21" s="823" customFormat="1">
      <c r="A1103" s="1053">
        <v>36</v>
      </c>
      <c r="B1103" s="823" t="s">
        <v>175</v>
      </c>
      <c r="D1103" s="849">
        <f>D553</f>
        <v>23058665</v>
      </c>
      <c r="E1103" s="849">
        <f t="shared" ref="E1103:M1103" si="105">E553</f>
        <v>156652274</v>
      </c>
      <c r="F1103" s="849">
        <f t="shared" si="105"/>
        <v>0</v>
      </c>
      <c r="G1103" s="849">
        <f t="shared" si="105"/>
        <v>63760576</v>
      </c>
      <c r="H1103" s="849">
        <f t="shared" si="105"/>
        <v>322</v>
      </c>
      <c r="I1103" s="849">
        <f t="shared" si="105"/>
        <v>0</v>
      </c>
      <c r="J1103" s="849">
        <f t="shared" si="105"/>
        <v>0</v>
      </c>
      <c r="K1103" s="849">
        <f t="shared" si="105"/>
        <v>0</v>
      </c>
      <c r="L1103" s="849">
        <f t="shared" si="105"/>
        <v>0</v>
      </c>
      <c r="M1103" s="849">
        <f t="shared" si="105"/>
        <v>243471837</v>
      </c>
      <c r="N1103" s="1052"/>
    </row>
    <row r="1104" spans="1:21" s="823" customFormat="1">
      <c r="A1104" s="1053">
        <v>37</v>
      </c>
      <c r="B1104" s="823" t="s">
        <v>176</v>
      </c>
      <c r="D1104" s="849">
        <f>D567</f>
        <v>0</v>
      </c>
      <c r="E1104" s="849">
        <f t="shared" ref="E1104:M1104" si="106">E567</f>
        <v>0</v>
      </c>
      <c r="F1104" s="849">
        <f t="shared" si="106"/>
        <v>109585127</v>
      </c>
      <c r="G1104" s="849">
        <f t="shared" si="106"/>
        <v>0</v>
      </c>
      <c r="H1104" s="849">
        <f t="shared" si="106"/>
        <v>0</v>
      </c>
      <c r="I1104" s="849">
        <f t="shared" si="106"/>
        <v>0</v>
      </c>
      <c r="J1104" s="849">
        <f t="shared" si="106"/>
        <v>0</v>
      </c>
      <c r="K1104" s="849">
        <f t="shared" si="106"/>
        <v>0</v>
      </c>
      <c r="L1104" s="849">
        <f t="shared" si="106"/>
        <v>0</v>
      </c>
      <c r="M1104" s="849">
        <f t="shared" si="106"/>
        <v>109585127</v>
      </c>
      <c r="N1104" s="1052"/>
    </row>
    <row r="1105" spans="1:14" s="823" customFormat="1">
      <c r="A1105" s="1053">
        <v>38</v>
      </c>
      <c r="B1105" s="823" t="s">
        <v>177</v>
      </c>
      <c r="D1105" s="849">
        <f>D581</f>
        <v>101447285</v>
      </c>
      <c r="E1105" s="849">
        <f t="shared" ref="E1105:M1105" si="107">E581</f>
        <v>711450806</v>
      </c>
      <c r="F1105" s="849">
        <f t="shared" si="107"/>
        <v>23908</v>
      </c>
      <c r="G1105" s="849">
        <f t="shared" si="107"/>
        <v>8094688</v>
      </c>
      <c r="H1105" s="849">
        <f t="shared" si="107"/>
        <v>146079</v>
      </c>
      <c r="I1105" s="849">
        <f t="shared" si="107"/>
        <v>0</v>
      </c>
      <c r="J1105" s="849">
        <f t="shared" si="107"/>
        <v>2535291</v>
      </c>
      <c r="K1105" s="849">
        <f t="shared" si="107"/>
        <v>0</v>
      </c>
      <c r="L1105" s="849">
        <f t="shared" si="107"/>
        <v>-12022193</v>
      </c>
      <c r="M1105" s="849">
        <f t="shared" si="107"/>
        <v>811675864</v>
      </c>
      <c r="N1105" s="1052"/>
    </row>
    <row r="1106" spans="1:14" s="823" customFormat="1">
      <c r="A1106" s="1053">
        <v>39</v>
      </c>
      <c r="B1106" s="1055" t="s">
        <v>155</v>
      </c>
      <c r="C1106" s="1055"/>
      <c r="D1106" s="1056">
        <f t="shared" ref="D1106:M1106" si="108">SUM(D1100:D1105)</f>
        <v>344850828</v>
      </c>
      <c r="E1106" s="1056">
        <f t="shared" si="108"/>
        <v>3224186667</v>
      </c>
      <c r="F1106" s="1056">
        <f t="shared" si="108"/>
        <v>113436320</v>
      </c>
      <c r="G1106" s="1056">
        <f t="shared" si="108"/>
        <v>1213801091</v>
      </c>
      <c r="H1106" s="1056">
        <f t="shared" si="108"/>
        <v>404429</v>
      </c>
      <c r="I1106" s="1056">
        <f t="shared" si="108"/>
        <v>-1196123</v>
      </c>
      <c r="J1106" s="1056">
        <f t="shared" si="108"/>
        <v>62694254</v>
      </c>
      <c r="K1106" s="1056">
        <f t="shared" si="108"/>
        <v>0</v>
      </c>
      <c r="L1106" s="1056">
        <f t="shared" si="108"/>
        <v>-12022193</v>
      </c>
      <c r="M1106" s="1056">
        <f t="shared" si="108"/>
        <v>4946155273</v>
      </c>
      <c r="N1106" s="1052"/>
    </row>
    <row r="1107" spans="1:14" s="823" customFormat="1">
      <c r="A1107" s="1053">
        <v>40</v>
      </c>
      <c r="B1107" s="858" t="s">
        <v>201</v>
      </c>
      <c r="C1107" s="858"/>
      <c r="D1107" s="769">
        <f>D1059+D1088+D1091+D1094+D1097+D1106</f>
        <v>8299808705</v>
      </c>
      <c r="E1107" s="769">
        <f t="shared" ref="E1107:M1107" si="109">E1059+E1088+E1091+E1094+E1097+E1106</f>
        <v>9425738893</v>
      </c>
      <c r="F1107" s="769">
        <f t="shared" si="109"/>
        <v>122705043</v>
      </c>
      <c r="G1107" s="769">
        <f t="shared" si="109"/>
        <v>2550583654</v>
      </c>
      <c r="H1107" s="769">
        <f t="shared" si="109"/>
        <v>404429</v>
      </c>
      <c r="I1107" s="769">
        <f t="shared" si="109"/>
        <v>-1196123</v>
      </c>
      <c r="J1107" s="769">
        <f t="shared" si="109"/>
        <v>70511016</v>
      </c>
      <c r="K1107" s="769">
        <f t="shared" si="109"/>
        <v>0</v>
      </c>
      <c r="L1107" s="769">
        <f t="shared" si="109"/>
        <v>-12022193</v>
      </c>
      <c r="M1107" s="769">
        <f t="shared" si="109"/>
        <v>20456533424</v>
      </c>
      <c r="N1107" s="1052"/>
    </row>
    <row r="1108" spans="1:14" s="823" customFormat="1">
      <c r="A1108" s="1053">
        <v>41</v>
      </c>
      <c r="D1108" s="849"/>
      <c r="E1108" s="849"/>
      <c r="F1108" s="849"/>
      <c r="G1108" s="849"/>
      <c r="H1108" s="849"/>
      <c r="I1108" s="849"/>
      <c r="J1108" s="849"/>
      <c r="K1108" s="849"/>
      <c r="L1108" s="849"/>
      <c r="M1108" s="849"/>
      <c r="N1108" s="1052"/>
    </row>
    <row r="1109" spans="1:14" s="823" customFormat="1">
      <c r="A1109" s="1053">
        <v>42</v>
      </c>
      <c r="B1109" s="1057" t="s">
        <v>178</v>
      </c>
      <c r="C1109" s="1057"/>
      <c r="D1109" s="1058"/>
      <c r="E1109" s="1058"/>
      <c r="F1109" s="1058"/>
      <c r="G1109" s="1058"/>
      <c r="H1109" s="1058"/>
      <c r="I1109" s="1058"/>
      <c r="J1109" s="1058"/>
      <c r="K1109" s="1058"/>
      <c r="L1109" s="1058"/>
      <c r="M1109" s="1058"/>
      <c r="N1109" s="1052"/>
    </row>
    <row r="1110" spans="1:14" s="823" customFormat="1">
      <c r="A1110" s="1053">
        <v>43</v>
      </c>
      <c r="B1110" s="823" t="s">
        <v>92</v>
      </c>
      <c r="D1110" s="849">
        <f>D624</f>
        <v>778565431</v>
      </c>
      <c r="E1110" s="849">
        <f t="shared" ref="E1110:M1110" si="110">E624</f>
        <v>2915407543</v>
      </c>
      <c r="F1110" s="849">
        <f t="shared" si="110"/>
        <v>0</v>
      </c>
      <c r="G1110" s="849">
        <f t="shared" si="110"/>
        <v>146865205</v>
      </c>
      <c r="H1110" s="849">
        <f t="shared" si="110"/>
        <v>0</v>
      </c>
      <c r="I1110" s="849">
        <f t="shared" si="110"/>
        <v>0</v>
      </c>
      <c r="J1110" s="849">
        <f t="shared" si="110"/>
        <v>0</v>
      </c>
      <c r="K1110" s="849">
        <f t="shared" si="110"/>
        <v>0</v>
      </c>
      <c r="L1110" s="849">
        <f t="shared" si="110"/>
        <v>0</v>
      </c>
      <c r="M1110" s="849">
        <f t="shared" si="110"/>
        <v>3840838179</v>
      </c>
      <c r="N1110" s="1052"/>
    </row>
    <row r="1111" spans="1:14" s="823" customFormat="1">
      <c r="A1111" s="1053">
        <v>44</v>
      </c>
      <c r="B1111" s="823" t="s">
        <v>179</v>
      </c>
      <c r="D1111" s="849">
        <f>D638</f>
        <v>410263600</v>
      </c>
      <c r="E1111" s="849">
        <f t="shared" ref="E1111:M1111" si="111">E638</f>
        <v>307741232</v>
      </c>
      <c r="F1111" s="849">
        <f t="shared" si="111"/>
        <v>0</v>
      </c>
      <c r="G1111" s="849">
        <f t="shared" si="111"/>
        <v>1534145350</v>
      </c>
      <c r="H1111" s="849">
        <f t="shared" si="111"/>
        <v>0</v>
      </c>
      <c r="I1111" s="849">
        <f t="shared" si="111"/>
        <v>0</v>
      </c>
      <c r="J1111" s="849">
        <f t="shared" si="111"/>
        <v>42508</v>
      </c>
      <c r="K1111" s="849">
        <f t="shared" si="111"/>
        <v>0</v>
      </c>
      <c r="L1111" s="849">
        <f t="shared" si="111"/>
        <v>0</v>
      </c>
      <c r="M1111" s="849">
        <f t="shared" si="111"/>
        <v>2252192690</v>
      </c>
      <c r="N1111" s="1052"/>
    </row>
    <row r="1112" spans="1:14" s="823" customFormat="1">
      <c r="A1112" s="1053">
        <v>45</v>
      </c>
      <c r="B1112" s="823" t="s">
        <v>180</v>
      </c>
      <c r="D1112" s="849">
        <f>D652</f>
        <v>58734382</v>
      </c>
      <c r="E1112" s="849">
        <f t="shared" ref="E1112:M1112" si="112">E652</f>
        <v>76643017</v>
      </c>
      <c r="F1112" s="849">
        <f t="shared" si="112"/>
        <v>0</v>
      </c>
      <c r="G1112" s="849">
        <f t="shared" si="112"/>
        <v>326951361</v>
      </c>
      <c r="H1112" s="849">
        <f t="shared" si="112"/>
        <v>0</v>
      </c>
      <c r="I1112" s="849">
        <f t="shared" si="112"/>
        <v>0</v>
      </c>
      <c r="J1112" s="849">
        <f t="shared" si="112"/>
        <v>0</v>
      </c>
      <c r="K1112" s="849">
        <f t="shared" si="112"/>
        <v>0</v>
      </c>
      <c r="L1112" s="849">
        <f t="shared" si="112"/>
        <v>0</v>
      </c>
      <c r="M1112" s="849">
        <f t="shared" si="112"/>
        <v>462328760</v>
      </c>
      <c r="N1112" s="1052"/>
    </row>
    <row r="1113" spans="1:14" s="823" customFormat="1">
      <c r="A1113" s="1053"/>
      <c r="B1113" s="823" t="s">
        <v>164</v>
      </c>
      <c r="D1113" s="849">
        <f>D666</f>
        <v>4228037344</v>
      </c>
      <c r="E1113" s="849">
        <f t="shared" ref="E1113:M1113" si="113">E666</f>
        <v>4290125574</v>
      </c>
      <c r="F1113" s="849">
        <f t="shared" si="113"/>
        <v>0</v>
      </c>
      <c r="G1113" s="849">
        <f t="shared" si="113"/>
        <v>126268252</v>
      </c>
      <c r="H1113" s="849">
        <f t="shared" si="113"/>
        <v>0</v>
      </c>
      <c r="I1113" s="849">
        <f t="shared" si="113"/>
        <v>0</v>
      </c>
      <c r="J1113" s="849">
        <f t="shared" si="113"/>
        <v>0</v>
      </c>
      <c r="K1113" s="849">
        <f t="shared" si="113"/>
        <v>0</v>
      </c>
      <c r="L1113" s="849">
        <f t="shared" si="113"/>
        <v>0</v>
      </c>
      <c r="M1113" s="849">
        <f t="shared" si="113"/>
        <v>8644431170</v>
      </c>
      <c r="N1113" s="1052"/>
    </row>
    <row r="1114" spans="1:14" s="823" customFormat="1">
      <c r="A1114" s="1053">
        <v>46</v>
      </c>
      <c r="B1114" s="823" t="s">
        <v>181</v>
      </c>
      <c r="D1114" s="849">
        <f>D680</f>
        <v>481842080</v>
      </c>
      <c r="E1114" s="849">
        <f t="shared" ref="E1114:M1114" si="114">E680</f>
        <v>266661124</v>
      </c>
      <c r="F1114" s="849">
        <f t="shared" si="114"/>
        <v>0</v>
      </c>
      <c r="G1114" s="849">
        <f t="shared" si="114"/>
        <v>25060765</v>
      </c>
      <c r="H1114" s="849">
        <f t="shared" si="114"/>
        <v>0</v>
      </c>
      <c r="I1114" s="849">
        <f t="shared" si="114"/>
        <v>0</v>
      </c>
      <c r="J1114" s="849">
        <f t="shared" si="114"/>
        <v>7699</v>
      </c>
      <c r="K1114" s="849">
        <f t="shared" si="114"/>
        <v>0</v>
      </c>
      <c r="L1114" s="849">
        <f t="shared" si="114"/>
        <v>0</v>
      </c>
      <c r="M1114" s="849">
        <f t="shared" si="114"/>
        <v>773571668</v>
      </c>
      <c r="N1114" s="1052"/>
    </row>
    <row r="1115" spans="1:14" s="823" customFormat="1">
      <c r="A1115" s="1053">
        <v>47</v>
      </c>
      <c r="B1115" s="823" t="s">
        <v>182</v>
      </c>
      <c r="D1115" s="849">
        <f>D694</f>
        <v>24177920</v>
      </c>
      <c r="E1115" s="849">
        <f t="shared" ref="E1115:M1115" si="115">E694</f>
        <v>44686969</v>
      </c>
      <c r="F1115" s="849">
        <f t="shared" si="115"/>
        <v>0</v>
      </c>
      <c r="G1115" s="849">
        <f t="shared" si="115"/>
        <v>6154116</v>
      </c>
      <c r="H1115" s="849">
        <f t="shared" si="115"/>
        <v>794053</v>
      </c>
      <c r="I1115" s="849">
        <f t="shared" si="115"/>
        <v>0</v>
      </c>
      <c r="J1115" s="849">
        <f t="shared" si="115"/>
        <v>0</v>
      </c>
      <c r="K1115" s="849">
        <f t="shared" si="115"/>
        <v>0</v>
      </c>
      <c r="L1115" s="849">
        <f t="shared" si="115"/>
        <v>0</v>
      </c>
      <c r="M1115" s="849">
        <f t="shared" si="115"/>
        <v>75813058</v>
      </c>
      <c r="N1115" s="1052"/>
    </row>
    <row r="1116" spans="1:14" s="823" customFormat="1">
      <c r="A1116" s="1053">
        <v>48</v>
      </c>
      <c r="B1116" s="823" t="s">
        <v>183</v>
      </c>
      <c r="D1116" s="849">
        <f>D708</f>
        <v>453956669</v>
      </c>
      <c r="E1116" s="849">
        <f t="shared" ref="E1116:M1116" si="116">E708</f>
        <v>174372743</v>
      </c>
      <c r="F1116" s="849">
        <f t="shared" si="116"/>
        <v>0</v>
      </c>
      <c r="G1116" s="849">
        <f t="shared" si="116"/>
        <v>47596931</v>
      </c>
      <c r="H1116" s="849">
        <f t="shared" si="116"/>
        <v>0</v>
      </c>
      <c r="I1116" s="849">
        <f t="shared" si="116"/>
        <v>107653</v>
      </c>
      <c r="J1116" s="849">
        <f t="shared" si="116"/>
        <v>209</v>
      </c>
      <c r="K1116" s="849">
        <f t="shared" si="116"/>
        <v>0</v>
      </c>
      <c r="L1116" s="849">
        <f t="shared" si="116"/>
        <v>0</v>
      </c>
      <c r="M1116" s="849">
        <f t="shared" si="116"/>
        <v>676034205</v>
      </c>
      <c r="N1116" s="1052"/>
    </row>
    <row r="1117" spans="1:14" s="823" customFormat="1">
      <c r="A1117" s="1053">
        <v>49</v>
      </c>
      <c r="B1117" s="823" t="s">
        <v>184</v>
      </c>
      <c r="D1117" s="849">
        <f>D722</f>
        <v>397071992</v>
      </c>
      <c r="E1117" s="849">
        <f t="shared" ref="E1117:M1117" si="117">E722</f>
        <v>118160694</v>
      </c>
      <c r="F1117" s="849">
        <f t="shared" si="117"/>
        <v>0</v>
      </c>
      <c r="G1117" s="849">
        <f t="shared" si="117"/>
        <v>7633515</v>
      </c>
      <c r="H1117" s="849">
        <f t="shared" si="117"/>
        <v>0</v>
      </c>
      <c r="I1117" s="849">
        <f t="shared" si="117"/>
        <v>0</v>
      </c>
      <c r="J1117" s="849">
        <f t="shared" si="117"/>
        <v>84202326</v>
      </c>
      <c r="K1117" s="849">
        <f t="shared" si="117"/>
        <v>0</v>
      </c>
      <c r="L1117" s="849">
        <f t="shared" si="117"/>
        <v>118660</v>
      </c>
      <c r="M1117" s="849">
        <f t="shared" si="117"/>
        <v>607187187</v>
      </c>
      <c r="N1117" s="1052"/>
    </row>
    <row r="1118" spans="1:14" s="823" customFormat="1">
      <c r="A1118" s="1053">
        <v>50</v>
      </c>
      <c r="B1118" s="823" t="s">
        <v>185</v>
      </c>
      <c r="D1118" s="849">
        <f>D736</f>
        <v>3100847</v>
      </c>
      <c r="E1118" s="849">
        <f t="shared" ref="E1118:M1118" si="118">E736</f>
        <v>16022499</v>
      </c>
      <c r="F1118" s="849">
        <f t="shared" si="118"/>
        <v>0</v>
      </c>
      <c r="G1118" s="849">
        <f t="shared" si="118"/>
        <v>43224123</v>
      </c>
      <c r="H1118" s="849">
        <f t="shared" si="118"/>
        <v>264600</v>
      </c>
      <c r="I1118" s="849">
        <f t="shared" si="118"/>
        <v>0</v>
      </c>
      <c r="J1118" s="849">
        <f t="shared" si="118"/>
        <v>0</v>
      </c>
      <c r="K1118" s="849">
        <f t="shared" si="118"/>
        <v>0</v>
      </c>
      <c r="L1118" s="849">
        <f t="shared" si="118"/>
        <v>0</v>
      </c>
      <c r="M1118" s="849">
        <f t="shared" si="118"/>
        <v>62612069</v>
      </c>
      <c r="N1118" s="1052"/>
    </row>
    <row r="1119" spans="1:14" s="823" customFormat="1">
      <c r="A1119" s="1053">
        <v>51</v>
      </c>
      <c r="B1119" s="823" t="s">
        <v>186</v>
      </c>
      <c r="D1119" s="849">
        <f>D750</f>
        <v>0</v>
      </c>
      <c r="E1119" s="849">
        <f t="shared" ref="E1119:M1119" si="119">E750</f>
        <v>888218</v>
      </c>
      <c r="F1119" s="849">
        <f t="shared" si="119"/>
        <v>93062985</v>
      </c>
      <c r="G1119" s="849">
        <f t="shared" si="119"/>
        <v>143513</v>
      </c>
      <c r="H1119" s="849">
        <f t="shared" si="119"/>
        <v>0</v>
      </c>
      <c r="I1119" s="849">
        <f t="shared" si="119"/>
        <v>0</v>
      </c>
      <c r="J1119" s="849">
        <f t="shared" si="119"/>
        <v>0</v>
      </c>
      <c r="K1119" s="849">
        <f t="shared" si="119"/>
        <v>0</v>
      </c>
      <c r="L1119" s="849">
        <f t="shared" si="119"/>
        <v>0</v>
      </c>
      <c r="M1119" s="849">
        <f t="shared" si="119"/>
        <v>94094716</v>
      </c>
      <c r="N1119" s="1052"/>
    </row>
    <row r="1120" spans="1:14" s="823" customFormat="1">
      <c r="A1120" s="1053">
        <v>52</v>
      </c>
      <c r="B1120" s="846" t="s">
        <v>602</v>
      </c>
      <c r="C1120" s="846"/>
      <c r="D1120" s="849">
        <f>D764</f>
        <v>84644563</v>
      </c>
      <c r="E1120" s="849">
        <f t="shared" ref="E1120:M1120" si="120">E764</f>
        <v>53008780</v>
      </c>
      <c r="F1120" s="849">
        <f t="shared" si="120"/>
        <v>996491</v>
      </c>
      <c r="G1120" s="849">
        <f t="shared" si="120"/>
        <v>48308948</v>
      </c>
      <c r="H1120" s="849">
        <f t="shared" si="120"/>
        <v>0</v>
      </c>
      <c r="I1120" s="849">
        <f t="shared" si="120"/>
        <v>0</v>
      </c>
      <c r="J1120" s="849">
        <f t="shared" si="120"/>
        <v>0</v>
      </c>
      <c r="K1120" s="849">
        <f t="shared" si="120"/>
        <v>0</v>
      </c>
      <c r="L1120" s="849">
        <f t="shared" si="120"/>
        <v>0</v>
      </c>
      <c r="M1120" s="849">
        <f t="shared" si="120"/>
        <v>186958782</v>
      </c>
      <c r="N1120" s="1052"/>
    </row>
    <row r="1121" spans="1:14" s="823" customFormat="1">
      <c r="A1121" s="1053">
        <v>53</v>
      </c>
      <c r="B1121" s="1059" t="s">
        <v>603</v>
      </c>
      <c r="D1121" s="849">
        <f>D778</f>
        <v>3282715</v>
      </c>
      <c r="E1121" s="849">
        <f t="shared" ref="E1121:M1121" si="121">E778</f>
        <v>18877478</v>
      </c>
      <c r="F1121" s="849">
        <f t="shared" si="121"/>
        <v>380233</v>
      </c>
      <c r="G1121" s="849">
        <f t="shared" si="121"/>
        <v>701877</v>
      </c>
      <c r="H1121" s="849">
        <f t="shared" si="121"/>
        <v>338240</v>
      </c>
      <c r="I1121" s="849">
        <f t="shared" si="121"/>
        <v>0</v>
      </c>
      <c r="J1121" s="849">
        <f t="shared" si="121"/>
        <v>0</v>
      </c>
      <c r="K1121" s="849">
        <f t="shared" si="121"/>
        <v>0</v>
      </c>
      <c r="L1121" s="849">
        <f t="shared" si="121"/>
        <v>3181087</v>
      </c>
      <c r="M1121" s="849">
        <f t="shared" si="121"/>
        <v>26761630</v>
      </c>
      <c r="N1121" s="1052"/>
    </row>
    <row r="1122" spans="1:14" s="823" customFormat="1">
      <c r="A1122" s="1053">
        <v>54</v>
      </c>
      <c r="B1122" s="858" t="s">
        <v>189</v>
      </c>
      <c r="C1122" s="858"/>
      <c r="D1122" s="1056">
        <f t="shared" ref="D1122:M1122" si="122">SUM(D1110:D1121)</f>
        <v>6923677543</v>
      </c>
      <c r="E1122" s="1056">
        <f t="shared" si="122"/>
        <v>8282595871</v>
      </c>
      <c r="F1122" s="1056">
        <f t="shared" si="122"/>
        <v>94439709</v>
      </c>
      <c r="G1122" s="1056">
        <f t="shared" si="122"/>
        <v>2313053956</v>
      </c>
      <c r="H1122" s="1056">
        <f t="shared" si="122"/>
        <v>1396893</v>
      </c>
      <c r="I1122" s="1056">
        <f t="shared" si="122"/>
        <v>107653</v>
      </c>
      <c r="J1122" s="1056">
        <f t="shared" si="122"/>
        <v>84252742</v>
      </c>
      <c r="K1122" s="1056">
        <f t="shared" si="122"/>
        <v>0</v>
      </c>
      <c r="L1122" s="1056">
        <f t="shared" si="122"/>
        <v>3299747</v>
      </c>
      <c r="M1122" s="1056">
        <f t="shared" si="122"/>
        <v>17702824114</v>
      </c>
      <c r="N1122" s="1052"/>
    </row>
    <row r="1123" spans="1:14" s="823" customFormat="1">
      <c r="A1123" s="1053">
        <v>55</v>
      </c>
      <c r="D1123" s="849"/>
      <c r="E1123" s="849"/>
      <c r="F1123" s="849"/>
      <c r="G1123" s="849"/>
      <c r="H1123" s="849"/>
      <c r="I1123" s="849"/>
      <c r="J1123" s="849"/>
      <c r="K1123" s="849"/>
      <c r="L1123" s="849"/>
      <c r="M1123" s="849"/>
      <c r="N1123" s="1052"/>
    </row>
    <row r="1124" spans="1:14" s="823" customFormat="1">
      <c r="A1124" s="1053">
        <v>56</v>
      </c>
      <c r="B1124" s="727" t="s">
        <v>473</v>
      </c>
      <c r="C1124" s="727"/>
      <c r="N1124" s="1052"/>
    </row>
    <row r="1125" spans="1:14" s="823" customFormat="1">
      <c r="A1125" s="1053">
        <v>57</v>
      </c>
      <c r="B1125" s="823" t="s">
        <v>604</v>
      </c>
      <c r="D1125" s="849">
        <f>D808</f>
        <v>0</v>
      </c>
      <c r="E1125" s="849">
        <f t="shared" ref="E1125:M1125" si="123">E808</f>
        <v>0</v>
      </c>
      <c r="F1125" s="849">
        <f t="shared" si="123"/>
        <v>0</v>
      </c>
      <c r="G1125" s="849">
        <f t="shared" si="123"/>
        <v>0</v>
      </c>
      <c r="H1125" s="849">
        <f t="shared" si="123"/>
        <v>0</v>
      </c>
      <c r="I1125" s="849">
        <f t="shared" si="123"/>
        <v>0</v>
      </c>
      <c r="J1125" s="849">
        <f t="shared" si="123"/>
        <v>-952635882</v>
      </c>
      <c r="K1125" s="849">
        <f t="shared" si="123"/>
        <v>0</v>
      </c>
      <c r="L1125" s="849">
        <f t="shared" si="123"/>
        <v>-14506248</v>
      </c>
      <c r="M1125" s="849">
        <f t="shared" si="123"/>
        <v>-967142130</v>
      </c>
      <c r="N1125" s="1052"/>
    </row>
    <row r="1126" spans="1:14" s="823" customFormat="1">
      <c r="A1126" s="1053">
        <v>58</v>
      </c>
      <c r="B1126" s="823" t="s">
        <v>615</v>
      </c>
      <c r="D1126" s="849">
        <f>D822</f>
        <v>-776516398</v>
      </c>
      <c r="E1126" s="849">
        <f t="shared" ref="E1126:M1126" si="124">E822</f>
        <v>-61745404</v>
      </c>
      <c r="F1126" s="849">
        <f t="shared" si="124"/>
        <v>18054438</v>
      </c>
      <c r="G1126" s="849">
        <f t="shared" si="124"/>
        <v>-456507156</v>
      </c>
      <c r="H1126" s="849">
        <f t="shared" si="124"/>
        <v>482195</v>
      </c>
      <c r="I1126" s="849">
        <f t="shared" si="124"/>
        <v>195846480</v>
      </c>
      <c r="J1126" s="849">
        <f t="shared" si="124"/>
        <v>1039031660</v>
      </c>
      <c r="K1126" s="849">
        <f t="shared" si="124"/>
        <v>-14175088</v>
      </c>
      <c r="L1126" s="849">
        <f t="shared" si="124"/>
        <v>104893983</v>
      </c>
      <c r="M1126" s="849">
        <f t="shared" si="124"/>
        <v>49364710</v>
      </c>
      <c r="N1126" s="1052"/>
    </row>
    <row r="1127" spans="1:14" s="823" customFormat="1">
      <c r="A1127" s="1053">
        <v>59</v>
      </c>
      <c r="B1127" s="823" t="s">
        <v>616</v>
      </c>
      <c r="D1127" s="849">
        <f>D836</f>
        <v>0</v>
      </c>
      <c r="E1127" s="849">
        <f t="shared" ref="E1127:M1127" si="125">E836</f>
        <v>0</v>
      </c>
      <c r="F1127" s="849">
        <f t="shared" si="125"/>
        <v>0</v>
      </c>
      <c r="G1127" s="849">
        <f t="shared" si="125"/>
        <v>0</v>
      </c>
      <c r="H1127" s="849">
        <f t="shared" si="125"/>
        <v>0</v>
      </c>
      <c r="I1127" s="849">
        <f t="shared" si="125"/>
        <v>0</v>
      </c>
      <c r="J1127" s="849">
        <f t="shared" si="125"/>
        <v>363328843</v>
      </c>
      <c r="K1127" s="849">
        <f t="shared" si="125"/>
        <v>0</v>
      </c>
      <c r="L1127" s="849">
        <f t="shared" si="125"/>
        <v>0</v>
      </c>
      <c r="M1127" s="849">
        <f t="shared" si="125"/>
        <v>363328843</v>
      </c>
      <c r="N1127" s="1052"/>
    </row>
    <row r="1128" spans="1:14" s="823" customFormat="1">
      <c r="A1128" s="1053">
        <v>60</v>
      </c>
      <c r="B1128" s="823" t="s">
        <v>477</v>
      </c>
      <c r="D1128" s="849">
        <f>D850</f>
        <v>-327692861</v>
      </c>
      <c r="E1128" s="849">
        <f t="shared" ref="E1128:M1128" si="126">E850</f>
        <v>-147332846</v>
      </c>
      <c r="F1128" s="849">
        <f t="shared" si="126"/>
        <v>-28755238</v>
      </c>
      <c r="G1128" s="849">
        <f t="shared" si="126"/>
        <v>0</v>
      </c>
      <c r="H1128" s="849">
        <f t="shared" si="126"/>
        <v>0</v>
      </c>
      <c r="I1128" s="849">
        <f t="shared" si="126"/>
        <v>0</v>
      </c>
      <c r="J1128" s="849">
        <f t="shared" si="126"/>
        <v>-11127287</v>
      </c>
      <c r="K1128" s="849">
        <f t="shared" si="126"/>
        <v>0</v>
      </c>
      <c r="L1128" s="849">
        <f t="shared" si="126"/>
        <v>-866</v>
      </c>
      <c r="M1128" s="849">
        <f t="shared" si="126"/>
        <v>-514909098</v>
      </c>
      <c r="N1128" s="1052"/>
    </row>
    <row r="1129" spans="1:14" s="823" customFormat="1">
      <c r="A1129" s="1053">
        <v>61</v>
      </c>
      <c r="B1129" s="858" t="s">
        <v>155</v>
      </c>
      <c r="C1129" s="858"/>
      <c r="D1129" s="1056">
        <f>SUM(D1125:D1128)</f>
        <v>-1104209259</v>
      </c>
      <c r="E1129" s="1056">
        <f t="shared" ref="E1129:M1129" si="127">SUM(E1125:E1128)</f>
        <v>-209078250</v>
      </c>
      <c r="F1129" s="1056">
        <f t="shared" si="127"/>
        <v>-10700800</v>
      </c>
      <c r="G1129" s="1056">
        <f t="shared" si="127"/>
        <v>-456507156</v>
      </c>
      <c r="H1129" s="1056">
        <f t="shared" si="127"/>
        <v>482195</v>
      </c>
      <c r="I1129" s="1056">
        <f t="shared" si="127"/>
        <v>195846480</v>
      </c>
      <c r="J1129" s="1056">
        <f t="shared" si="127"/>
        <v>438597334</v>
      </c>
      <c r="K1129" s="1056">
        <f t="shared" si="127"/>
        <v>-14175088</v>
      </c>
      <c r="L1129" s="1056">
        <f t="shared" si="127"/>
        <v>90386869</v>
      </c>
      <c r="M1129" s="1056">
        <f t="shared" si="127"/>
        <v>-1069357675</v>
      </c>
      <c r="N1129" s="1052"/>
    </row>
    <row r="1130" spans="1:14" s="823" customFormat="1">
      <c r="A1130" s="1053">
        <v>62</v>
      </c>
      <c r="D1130" s="849"/>
      <c r="E1130" s="849"/>
      <c r="F1130" s="849"/>
      <c r="G1130" s="849"/>
      <c r="H1130" s="849"/>
      <c r="I1130" s="849"/>
      <c r="J1130" s="849"/>
      <c r="K1130" s="849"/>
      <c r="L1130" s="849"/>
      <c r="M1130" s="849"/>
      <c r="N1130" s="1052"/>
    </row>
    <row r="1131" spans="1:14" s="823" customFormat="1">
      <c r="A1131" s="1053">
        <v>63</v>
      </c>
      <c r="B1131" s="727" t="s">
        <v>478</v>
      </c>
      <c r="C1131" s="727"/>
      <c r="D1131" s="849"/>
      <c r="E1131" s="849"/>
      <c r="F1131" s="849"/>
      <c r="G1131" s="849"/>
      <c r="H1131" s="849"/>
      <c r="I1131" s="849"/>
      <c r="J1131" s="849"/>
      <c r="K1131" s="849"/>
      <c r="L1131" s="849"/>
      <c r="M1131" s="849"/>
      <c r="N1131" s="1052"/>
    </row>
    <row r="1132" spans="1:14" s="823" customFormat="1">
      <c r="A1132" s="1053">
        <v>64</v>
      </c>
      <c r="B1132" s="823" t="s">
        <v>479</v>
      </c>
      <c r="D1132" s="849">
        <f>D880</f>
        <v>-779744869</v>
      </c>
      <c r="E1132" s="849">
        <f t="shared" ref="E1132:M1132" si="128">E880</f>
        <v>-722582130</v>
      </c>
      <c r="F1132" s="849">
        <f t="shared" si="128"/>
        <v>-3088498</v>
      </c>
      <c r="G1132" s="849">
        <f t="shared" si="128"/>
        <v>-102897585</v>
      </c>
      <c r="H1132" s="849">
        <f t="shared" si="128"/>
        <v>-229580</v>
      </c>
      <c r="I1132" s="849">
        <f t="shared" si="128"/>
        <v>-739721524</v>
      </c>
      <c r="J1132" s="849">
        <f t="shared" si="128"/>
        <v>0</v>
      </c>
      <c r="K1132" s="849">
        <f t="shared" si="128"/>
        <v>0</v>
      </c>
      <c r="L1132" s="849">
        <f t="shared" si="128"/>
        <v>0</v>
      </c>
      <c r="M1132" s="849">
        <f t="shared" si="128"/>
        <v>-2348264186</v>
      </c>
      <c r="N1132" s="1052"/>
    </row>
    <row r="1133" spans="1:14" s="823" customFormat="1">
      <c r="A1133" s="1053">
        <v>65</v>
      </c>
      <c r="B1133" s="823" t="s">
        <v>480</v>
      </c>
      <c r="D1133" s="849">
        <f>D894</f>
        <v>0</v>
      </c>
      <c r="E1133" s="849">
        <f t="shared" ref="E1133:M1133" si="129">E894</f>
        <v>0</v>
      </c>
      <c r="F1133" s="849">
        <f t="shared" si="129"/>
        <v>0</v>
      </c>
      <c r="G1133" s="849">
        <f t="shared" si="129"/>
        <v>3420164</v>
      </c>
      <c r="H1133" s="849">
        <f t="shared" si="129"/>
        <v>0</v>
      </c>
      <c r="I1133" s="849">
        <f t="shared" si="129"/>
        <v>144274656</v>
      </c>
      <c r="J1133" s="849">
        <f t="shared" si="129"/>
        <v>0</v>
      </c>
      <c r="K1133" s="849">
        <f t="shared" si="129"/>
        <v>0</v>
      </c>
      <c r="L1133" s="849">
        <f t="shared" si="129"/>
        <v>0</v>
      </c>
      <c r="M1133" s="849">
        <f t="shared" si="129"/>
        <v>147694820</v>
      </c>
      <c r="N1133" s="1052"/>
    </row>
    <row r="1134" spans="1:14" s="823" customFormat="1">
      <c r="A1134" s="1053">
        <v>66</v>
      </c>
      <c r="B1134" s="858" t="s">
        <v>155</v>
      </c>
      <c r="C1134" s="858"/>
      <c r="D1134" s="1056">
        <f>SUM(D1132:D1133)</f>
        <v>-779744869</v>
      </c>
      <c r="E1134" s="1056">
        <f t="shared" ref="E1134:M1134" si="130">SUM(E1132:E1133)</f>
        <v>-722582130</v>
      </c>
      <c r="F1134" s="1056">
        <f t="shared" si="130"/>
        <v>-3088498</v>
      </c>
      <c r="G1134" s="1056">
        <f t="shared" si="130"/>
        <v>-99477421</v>
      </c>
      <c r="H1134" s="1056">
        <f t="shared" si="130"/>
        <v>-229580</v>
      </c>
      <c r="I1134" s="1056">
        <f t="shared" si="130"/>
        <v>-595446868</v>
      </c>
      <c r="J1134" s="1056">
        <f t="shared" si="130"/>
        <v>0</v>
      </c>
      <c r="K1134" s="1056">
        <f t="shared" si="130"/>
        <v>0</v>
      </c>
      <c r="L1134" s="1056">
        <f t="shared" si="130"/>
        <v>0</v>
      </c>
      <c r="M1134" s="1056">
        <f t="shared" si="130"/>
        <v>-2200569366</v>
      </c>
      <c r="N1134" s="1052"/>
    </row>
    <row r="1135" spans="1:14" s="823" customFormat="1">
      <c r="A1135" s="1053">
        <v>67</v>
      </c>
      <c r="D1135" s="849"/>
      <c r="E1135" s="849"/>
      <c r="F1135" s="849"/>
      <c r="G1135" s="849"/>
      <c r="H1135" s="849"/>
      <c r="I1135" s="849"/>
      <c r="J1135" s="849"/>
      <c r="K1135" s="849"/>
      <c r="L1135" s="849"/>
      <c r="M1135" s="849"/>
      <c r="N1135" s="1052"/>
    </row>
    <row r="1136" spans="1:14" s="823" customFormat="1">
      <c r="A1136" s="1053">
        <v>68</v>
      </c>
      <c r="B1136" s="858" t="s">
        <v>617</v>
      </c>
      <c r="C1136" s="858"/>
      <c r="D1136" s="1056">
        <f>D1107-D1122+D1129+D1134</f>
        <v>-507822966</v>
      </c>
      <c r="E1136" s="1056">
        <f t="shared" ref="E1136:M1136" si="131">E1107-E1122+E1129+E1134</f>
        <v>211482642</v>
      </c>
      <c r="F1136" s="1056">
        <f t="shared" si="131"/>
        <v>14476036</v>
      </c>
      <c r="G1136" s="1056">
        <f t="shared" si="131"/>
        <v>-318454879</v>
      </c>
      <c r="H1136" s="1056">
        <f t="shared" si="131"/>
        <v>-739849</v>
      </c>
      <c r="I1136" s="1056">
        <f t="shared" si="131"/>
        <v>-400904164</v>
      </c>
      <c r="J1136" s="1056">
        <f t="shared" si="131"/>
        <v>424855608</v>
      </c>
      <c r="K1136" s="1056">
        <f t="shared" si="131"/>
        <v>-14175088</v>
      </c>
      <c r="L1136" s="1056">
        <f t="shared" si="131"/>
        <v>75064929</v>
      </c>
      <c r="M1136" s="1056">
        <f t="shared" si="131"/>
        <v>-516217731</v>
      </c>
      <c r="N1136" s="1052"/>
    </row>
    <row r="1137" spans="1:14" s="823" customFormat="1">
      <c r="A1137" s="1053">
        <v>69</v>
      </c>
      <c r="B1137" s="727"/>
      <c r="C1137" s="727"/>
      <c r="D1137" s="849"/>
      <c r="E1137" s="849"/>
      <c r="F1137" s="849"/>
      <c r="G1137" s="849"/>
      <c r="H1137" s="849"/>
      <c r="I1137" s="849"/>
      <c r="J1137" s="849"/>
      <c r="K1137" s="849"/>
      <c r="L1137" s="849"/>
      <c r="M1137" s="849"/>
      <c r="N1137" s="1052"/>
    </row>
    <row r="1138" spans="1:14" s="823" customFormat="1">
      <c r="A1138" s="1053">
        <v>72</v>
      </c>
      <c r="B1138" s="823" t="s">
        <v>482</v>
      </c>
      <c r="D1138" s="849">
        <f>D938</f>
        <v>-367129</v>
      </c>
      <c r="E1138" s="849">
        <f t="shared" ref="E1138:M1138" si="132">E938</f>
        <v>0</v>
      </c>
      <c r="F1138" s="849">
        <f t="shared" si="132"/>
        <v>0</v>
      </c>
      <c r="G1138" s="849">
        <f t="shared" si="132"/>
        <v>0</v>
      </c>
      <c r="H1138" s="849">
        <f t="shared" si="132"/>
        <v>0</v>
      </c>
      <c r="I1138" s="849">
        <f t="shared" si="132"/>
        <v>0</v>
      </c>
      <c r="J1138" s="849">
        <f t="shared" si="132"/>
        <v>0</v>
      </c>
      <c r="K1138" s="849">
        <f t="shared" si="132"/>
        <v>0</v>
      </c>
      <c r="L1138" s="849">
        <f t="shared" si="132"/>
        <v>-1158081654</v>
      </c>
      <c r="M1138" s="849">
        <f t="shared" si="132"/>
        <v>-1158448783</v>
      </c>
      <c r="N1138" s="1052"/>
    </row>
    <row r="1139" spans="1:14" s="823" customFormat="1">
      <c r="A1139" s="1053"/>
      <c r="B1139" s="823" t="s">
        <v>618</v>
      </c>
      <c r="D1139" s="849">
        <f>D952</f>
        <v>0</v>
      </c>
      <c r="E1139" s="849">
        <f t="shared" ref="E1139:M1139" si="133">E952</f>
        <v>0</v>
      </c>
      <c r="F1139" s="849">
        <f t="shared" si="133"/>
        <v>0</v>
      </c>
      <c r="G1139" s="849">
        <f t="shared" si="133"/>
        <v>0</v>
      </c>
      <c r="H1139" s="849">
        <f t="shared" si="133"/>
        <v>0</v>
      </c>
      <c r="I1139" s="849">
        <f t="shared" si="133"/>
        <v>0</v>
      </c>
      <c r="J1139" s="849">
        <f t="shared" si="133"/>
        <v>0</v>
      </c>
      <c r="K1139" s="849">
        <f t="shared" si="133"/>
        <v>0</v>
      </c>
      <c r="L1139" s="849">
        <f t="shared" si="133"/>
        <v>17513240</v>
      </c>
      <c r="M1139" s="849">
        <f t="shared" si="133"/>
        <v>17513240</v>
      </c>
      <c r="N1139" s="1052"/>
    </row>
    <row r="1140" spans="1:14" s="823" customFormat="1">
      <c r="A1140" s="1053"/>
      <c r="B1140" s="823" t="s">
        <v>484</v>
      </c>
      <c r="D1140" s="849">
        <f>D966</f>
        <v>0</v>
      </c>
      <c r="E1140" s="849">
        <f t="shared" ref="E1140:M1140" si="134">E966</f>
        <v>0</v>
      </c>
      <c r="F1140" s="849">
        <f t="shared" si="134"/>
        <v>0</v>
      </c>
      <c r="G1140" s="849">
        <f t="shared" si="134"/>
        <v>0</v>
      </c>
      <c r="H1140" s="849">
        <f t="shared" si="134"/>
        <v>0</v>
      </c>
      <c r="I1140" s="849">
        <f t="shared" si="134"/>
        <v>0</v>
      </c>
      <c r="J1140" s="849">
        <f t="shared" si="134"/>
        <v>0</v>
      </c>
      <c r="K1140" s="849">
        <f t="shared" si="134"/>
        <v>0</v>
      </c>
      <c r="L1140" s="849">
        <f t="shared" si="134"/>
        <v>0</v>
      </c>
      <c r="M1140" s="849">
        <f t="shared" si="134"/>
        <v>0</v>
      </c>
      <c r="N1140" s="1052"/>
    </row>
    <row r="1141" spans="1:14" s="823" customFormat="1">
      <c r="A1141" s="1053"/>
      <c r="B1141" s="823" t="s">
        <v>485</v>
      </c>
      <c r="D1141" s="849">
        <f>D980</f>
        <v>0</v>
      </c>
      <c r="E1141" s="849">
        <f t="shared" ref="E1141:M1141" si="135">E980</f>
        <v>0</v>
      </c>
      <c r="F1141" s="849">
        <f t="shared" si="135"/>
        <v>0</v>
      </c>
      <c r="G1141" s="849">
        <f t="shared" si="135"/>
        <v>0</v>
      </c>
      <c r="H1141" s="849">
        <f t="shared" si="135"/>
        <v>0</v>
      </c>
      <c r="I1141" s="849">
        <f t="shared" si="135"/>
        <v>0</v>
      </c>
      <c r="J1141" s="849">
        <f t="shared" si="135"/>
        <v>1000000</v>
      </c>
      <c r="K1141" s="849">
        <f t="shared" si="135"/>
        <v>0</v>
      </c>
      <c r="L1141" s="849">
        <f t="shared" si="135"/>
        <v>4328769</v>
      </c>
      <c r="M1141" s="849">
        <f t="shared" si="135"/>
        <v>5328769</v>
      </c>
      <c r="N1141" s="1052"/>
    </row>
    <row r="1142" spans="1:14" s="823" customFormat="1">
      <c r="A1142" s="1053">
        <v>73</v>
      </c>
      <c r="B1142" s="823" t="s">
        <v>486</v>
      </c>
      <c r="D1142" s="849">
        <f>D994</f>
        <v>3626533</v>
      </c>
      <c r="E1142" s="849">
        <f t="shared" ref="E1142:M1142" si="136">E994</f>
        <v>13709714</v>
      </c>
      <c r="F1142" s="849">
        <f t="shared" si="136"/>
        <v>73198</v>
      </c>
      <c r="G1142" s="849">
        <f t="shared" si="136"/>
        <v>6230961</v>
      </c>
      <c r="H1142" s="849">
        <f t="shared" si="136"/>
        <v>0</v>
      </c>
      <c r="I1142" s="849">
        <f t="shared" si="136"/>
        <v>0</v>
      </c>
      <c r="J1142" s="849">
        <f t="shared" si="136"/>
        <v>26472543</v>
      </c>
      <c r="K1142" s="849">
        <f t="shared" si="136"/>
        <v>0</v>
      </c>
      <c r="L1142" s="849">
        <f t="shared" si="136"/>
        <v>1104033660</v>
      </c>
      <c r="M1142" s="849">
        <f t="shared" si="136"/>
        <v>1154146609</v>
      </c>
      <c r="N1142" s="1052"/>
    </row>
    <row r="1143" spans="1:14" s="823" customFormat="1" ht="13.8" thickBot="1">
      <c r="A1143" s="1053">
        <v>74</v>
      </c>
      <c r="B1143" s="1060" t="s">
        <v>487</v>
      </c>
      <c r="C1143" s="1060"/>
      <c r="D1143" s="1061">
        <f t="shared" ref="D1143" si="137">SUM(D1136:D1142)</f>
        <v>-504563562</v>
      </c>
      <c r="E1143" s="1061">
        <f t="shared" ref="E1143:M1143" si="138">SUM(E1136:E1142)</f>
        <v>225192356</v>
      </c>
      <c r="F1143" s="1061">
        <f t="shared" si="138"/>
        <v>14549234</v>
      </c>
      <c r="G1143" s="1061">
        <f t="shared" si="138"/>
        <v>-312223918</v>
      </c>
      <c r="H1143" s="1061">
        <f t="shared" si="138"/>
        <v>-739849</v>
      </c>
      <c r="I1143" s="1061">
        <f t="shared" si="138"/>
        <v>-400904164</v>
      </c>
      <c r="J1143" s="1061">
        <f t="shared" si="138"/>
        <v>452328151</v>
      </c>
      <c r="K1143" s="1061">
        <f t="shared" si="138"/>
        <v>-14175088</v>
      </c>
      <c r="L1143" s="1061">
        <f t="shared" si="138"/>
        <v>42858944</v>
      </c>
      <c r="M1143" s="1061">
        <f t="shared" si="138"/>
        <v>-497677896</v>
      </c>
      <c r="N1143" s="1052"/>
    </row>
    <row r="1144" spans="1:14" s="823" customFormat="1" ht="13.8" thickTop="1">
      <c r="A1144" s="1053"/>
      <c r="D1144" s="849"/>
      <c r="E1144" s="849"/>
      <c r="F1144" s="849"/>
      <c r="G1144" s="849"/>
      <c r="H1144" s="849"/>
      <c r="I1144" s="849"/>
      <c r="J1144" s="849"/>
      <c r="K1144" s="849"/>
      <c r="L1144" s="849"/>
      <c r="M1144" s="849"/>
      <c r="N1144" s="1052"/>
    </row>
    <row r="1145" spans="1:14" s="823" customFormat="1">
      <c r="A1145" s="1053"/>
      <c r="D1145" s="849"/>
      <c r="E1145" s="849"/>
      <c r="F1145" s="849"/>
      <c r="G1145" s="849"/>
      <c r="H1145" s="849"/>
      <c r="I1145" s="849"/>
      <c r="J1145" s="849"/>
      <c r="K1145" s="849"/>
      <c r="L1145" s="849"/>
      <c r="M1145" s="849"/>
      <c r="N1145" s="1052"/>
    </row>
  </sheetData>
  <dataConsolidate link="1">
    <dataRefs count="12">
      <dataRef ref="D10:M106" sheet="AUSM FGD"/>
      <dataRef ref="D10:M106" sheet="HSH FGD"/>
      <dataRef ref="D10:M106" sheet="HSSA FGD"/>
      <dataRef ref="D10:M106" sheet="MBG FGD"/>
      <dataRef ref="D10:M106" sheet="MDA FGD"/>
      <dataRef ref="D10:M106" sheet="RGVM FGD"/>
      <dataRef ref="D10:M106" sheet="SWM FGD"/>
      <dataRef ref="D10:M106" sheet="TAMHSC FGD"/>
      <dataRef ref="D10:M106" sheet="THC FGD"/>
      <dataRef ref="D10:M106" sheet="TTUHSC FGD"/>
      <dataRef ref="D10:M106" sheet="TTUHSCEP FGD"/>
      <dataRef ref="D10:M106" sheet="UNTHSC1 FGD"/>
    </dataRefs>
  </dataConsolidate>
  <mergeCells count="5">
    <mergeCell ref="G610:K610"/>
    <mergeCell ref="B2:G2"/>
    <mergeCell ref="B3:F3"/>
    <mergeCell ref="B4:F4"/>
    <mergeCell ref="B6:M6"/>
  </mergeCells>
  <conditionalFormatting sqref="M1051">
    <cfRule type="cellIs" dxfId="389" priority="1" operator="notEqual">
      <formula>0</formula>
    </cfRule>
  </conditionalFormatting>
  <hyperlinks>
    <hyperlink ref="N2" location="Index!A1" display="Return to Index" xr:uid="{00000000-0004-0000-1400-000000000000}"/>
  </hyperlinks>
  <printOptions horizontalCentered="1"/>
  <pageMargins left="0.25" right="0.25" top="0.25" bottom="0.2" header="0.5" footer="0.2"/>
  <pageSetup scale="10" pageOrder="overThenDown"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D9"/>
  <sheetViews>
    <sheetView showGridLines="0" zoomScale="90" zoomScaleNormal="90" workbookViewId="0">
      <selection activeCell="B4" sqref="A1:XFD1048576"/>
    </sheetView>
  </sheetViews>
  <sheetFormatPr defaultColWidth="9.109375" defaultRowHeight="13.2"/>
  <cols>
    <col min="1" max="1" width="7" style="277" customWidth="1"/>
    <col min="2" max="2" width="93" style="277" customWidth="1"/>
    <col min="3" max="9" width="9.109375" style="277"/>
    <col min="10" max="10" width="12" style="277" customWidth="1"/>
    <col min="11" max="16384" width="9.109375" style="277"/>
  </cols>
  <sheetData>
    <row r="1" spans="2:4" ht="13.8" thickBot="1">
      <c r="B1" s="742" t="str">
        <f>'Smmy Chts'!$A$1</f>
        <v>Summary of All Health-Related Institutions</v>
      </c>
      <c r="D1" s="545" t="s">
        <v>51</v>
      </c>
    </row>
    <row r="2" spans="2:4">
      <c r="B2" s="742" t="str">
        <f>'Smmy Chts'!$A$2</f>
        <v>For the Year Ended August 31, 2022</v>
      </c>
    </row>
    <row r="3" spans="2:4">
      <c r="B3" s="742" t="str">
        <f>'Smmy Chts'!A3</f>
        <v>Source: FY 2022 Annual Financial Report</v>
      </c>
    </row>
    <row r="5" spans="2:4" s="320" customFormat="1">
      <c r="B5" s="743" t="s">
        <v>619</v>
      </c>
    </row>
    <row r="6" spans="2:4" s="320" customFormat="1">
      <c r="B6" s="744"/>
    </row>
    <row r="7" spans="2:4" s="320" customFormat="1" ht="226.5" customHeight="1">
      <c r="B7" s="745" t="s">
        <v>620</v>
      </c>
      <c r="C7" s="746"/>
    </row>
    <row r="8" spans="2:4" s="320" customFormat="1" ht="263.25" customHeight="1">
      <c r="B8" s="745" t="s">
        <v>621</v>
      </c>
    </row>
    <row r="9" spans="2:4" ht="69.75" customHeight="1">
      <c r="B9" s="1047" t="s">
        <v>1714</v>
      </c>
    </row>
  </sheetData>
  <hyperlinks>
    <hyperlink ref="D1" location="Index!A1" display="Return to Index" xr:uid="{00000000-0004-0000-1500-000000000000}"/>
  </hyperlinks>
  <pageMargins left="0.25" right="0.25" top="0.5" bottom="0.25"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tabColor indexed="47"/>
    <pageSetUpPr fitToPage="1"/>
  </sheetPr>
  <dimension ref="A1:E153"/>
  <sheetViews>
    <sheetView showGridLines="0" zoomScale="65" zoomScaleNormal="65" workbookViewId="0">
      <selection activeCell="B4" sqref="A1:XFD1048576"/>
    </sheetView>
  </sheetViews>
  <sheetFormatPr defaultRowHeight="13.5" customHeight="1"/>
  <cols>
    <col min="1" max="1" width="158.33203125" style="320" customWidth="1"/>
    <col min="2" max="2" width="8.88671875" style="320"/>
    <col min="3" max="3" width="55" style="320" customWidth="1"/>
    <col min="4" max="4" width="23.44140625" style="320" customWidth="1"/>
    <col min="5" max="5" width="9.109375" style="277"/>
    <col min="6" max="16384" width="8.88671875" style="320"/>
  </cols>
  <sheetData>
    <row r="1" spans="1:5" ht="27.75" customHeight="1" thickBot="1">
      <c r="A1" s="1030" t="s">
        <v>206</v>
      </c>
      <c r="C1" s="545" t="s">
        <v>51</v>
      </c>
    </row>
    <row r="2" spans="1:5" ht="27.75" customHeight="1">
      <c r="A2" s="1031" t="str">
        <f>'Smmy Chts'!$A$2</f>
        <v>For the Year Ended August 31, 2022</v>
      </c>
    </row>
    <row r="3" spans="1:5" ht="27" customHeight="1">
      <c r="A3" s="1031" t="str">
        <f>'Smmy Chts'!$A$3</f>
        <v>Source: FY 2022 Annual Financial Report</v>
      </c>
      <c r="C3" s="1032" t="s">
        <v>493</v>
      </c>
    </row>
    <row r="4" spans="1:5" ht="12.9" customHeight="1">
      <c r="C4" s="1032" t="s">
        <v>494</v>
      </c>
    </row>
    <row r="5" spans="1:5" ht="12.9" customHeight="1">
      <c r="C5" s="991" t="s">
        <v>495</v>
      </c>
    </row>
    <row r="6" spans="1:5" ht="12.9" customHeight="1"/>
    <row r="7" spans="1:5" ht="12.9" customHeight="1"/>
    <row r="8" spans="1:5" ht="12.9" customHeight="1"/>
    <row r="9" spans="1:5" ht="12.9" customHeight="1">
      <c r="C9" s="1173" t="s">
        <v>496</v>
      </c>
      <c r="D9" s="1173"/>
    </row>
    <row r="10" spans="1:5" ht="12.9" customHeight="1">
      <c r="C10" s="1032"/>
      <c r="D10" s="1033"/>
    </row>
    <row r="11" spans="1:5" ht="12.9" customHeight="1">
      <c r="C11" s="1034" t="str">
        <f>'SWM Sum'!A9</f>
        <v>State of Texas</v>
      </c>
      <c r="D11" s="1035">
        <f>'SWM Sum'!B15</f>
        <v>260323607</v>
      </c>
      <c r="E11" s="995">
        <f>ROUND(D11/$D$17,3)</f>
        <v>5.5E-2</v>
      </c>
    </row>
    <row r="12" spans="1:5" ht="12.9" customHeight="1">
      <c r="C12" s="1034" t="str">
        <f>'SWM Sum'!A17</f>
        <v>Student &amp; Parent</v>
      </c>
      <c r="D12" s="1035">
        <f>'SWM Sum'!B20</f>
        <v>28259863</v>
      </c>
      <c r="E12" s="995">
        <f t="shared" ref="E12:E15" si="0">ROUND(D12/$D$17,3)</f>
        <v>6.0000000000000001E-3</v>
      </c>
    </row>
    <row r="13" spans="1:5" ht="12.9" customHeight="1">
      <c r="C13" s="1034" t="str">
        <f>'SWM Sum'!A22</f>
        <v>Federal Government</v>
      </c>
      <c r="D13" s="1035">
        <f>'SWM Sum'!B23</f>
        <v>322461621</v>
      </c>
      <c r="E13" s="995">
        <f t="shared" si="0"/>
        <v>6.8000000000000005E-2</v>
      </c>
    </row>
    <row r="14" spans="1:5" ht="12.9" customHeight="1">
      <c r="C14" s="1034" t="str">
        <f>'SWM Sum'!A31</f>
        <v>Institutional Resources</v>
      </c>
      <c r="D14" s="1035">
        <f>'SWM Sum'!B38</f>
        <v>1210663813</v>
      </c>
      <c r="E14" s="995">
        <f t="shared" si="0"/>
        <v>0.25600000000000001</v>
      </c>
    </row>
    <row r="15" spans="1:5" ht="12.9" customHeight="1">
      <c r="C15" s="1036" t="s">
        <v>497</v>
      </c>
      <c r="D15" s="1035">
        <f>'SWM Sum'!B29+'SWM Sum'!B26</f>
        <v>2907254951</v>
      </c>
      <c r="E15" s="995">
        <f t="shared" si="0"/>
        <v>0.61499999999999999</v>
      </c>
    </row>
    <row r="16" spans="1:5" ht="12.9" customHeight="1">
      <c r="C16" s="1032"/>
      <c r="D16" s="1033"/>
    </row>
    <row r="17" spans="3:5" ht="12.9" customHeight="1">
      <c r="C17" s="1037" t="s">
        <v>201</v>
      </c>
      <c r="D17" s="1038">
        <f>SUM(D11:D16)</f>
        <v>4728963855</v>
      </c>
      <c r="E17" s="999">
        <f>SUM(E11:E15)</f>
        <v>1</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71" t="str">
        <f>C17&amp;" "&amp;TEXT(D17,"$#,###")</f>
        <v>Total Operating Sources $4,728,963,855</v>
      </c>
    </row>
    <row r="48" spans="1:1" ht="12.9" customHeight="1">
      <c r="A48" s="1171"/>
    </row>
    <row r="49" spans="3:5" ht="12.9" customHeight="1"/>
    <row r="50" spans="3:5" ht="12.9" customHeight="1">
      <c r="C50" s="1039" t="s">
        <v>496</v>
      </c>
      <c r="D50" s="1039"/>
    </row>
    <row r="51" spans="3:5" ht="12.9" customHeight="1">
      <c r="C51" s="1032"/>
      <c r="D51" s="1033"/>
    </row>
    <row r="52" spans="3:5" ht="12.9" customHeight="1">
      <c r="C52" s="1032"/>
      <c r="D52" s="1032"/>
    </row>
    <row r="53" spans="3:5" ht="12.9" customHeight="1">
      <c r="C53" s="1034" t="s">
        <v>101</v>
      </c>
      <c r="D53" s="1035">
        <f>'SWM Sum'!B10</f>
        <v>214022335</v>
      </c>
      <c r="E53" s="995">
        <f>ROUND(D53/$D$68,3)</f>
        <v>4.4999999999999998E-2</v>
      </c>
    </row>
    <row r="54" spans="3:5" ht="12.9" customHeight="1">
      <c r="C54" s="1034" t="s">
        <v>510</v>
      </c>
      <c r="D54" s="1035">
        <f>'SWM Sum'!B11</f>
        <v>46301272</v>
      </c>
      <c r="E54" s="995">
        <f t="shared" ref="E54:E67" si="1">ROUND(D54/$D$68,3)</f>
        <v>0.01</v>
      </c>
    </row>
    <row r="55" spans="3:5" ht="12.9" customHeight="1">
      <c r="C55" s="1040"/>
      <c r="D55" s="1035"/>
      <c r="E55" s="995"/>
    </row>
    <row r="56" spans="3:5" ht="12.9" customHeight="1">
      <c r="C56" s="1040" t="str">
        <f>'SWM Sum'!A13</f>
        <v>Higher Education Fund</v>
      </c>
      <c r="D56" s="1035">
        <f>'SWM Sum'!B13</f>
        <v>0</v>
      </c>
      <c r="E56" s="995">
        <f t="shared" si="1"/>
        <v>0</v>
      </c>
    </row>
    <row r="57" spans="3:5" ht="12.9" customHeight="1">
      <c r="C57" s="1040" t="s">
        <v>511</v>
      </c>
      <c r="D57" s="1035">
        <f>'SWM Sum'!B14</f>
        <v>0</v>
      </c>
      <c r="E57" s="995">
        <f t="shared" si="1"/>
        <v>0</v>
      </c>
    </row>
    <row r="58" spans="3:5" ht="12.9" customHeight="1">
      <c r="C58" s="1034" t="s">
        <v>460</v>
      </c>
      <c r="D58" s="1035">
        <f>'SWM Sum'!B20</f>
        <v>28259863</v>
      </c>
      <c r="E58" s="995">
        <f t="shared" si="1"/>
        <v>6.0000000000000001E-3</v>
      </c>
    </row>
    <row r="59" spans="3:5" ht="12.9" customHeight="1">
      <c r="C59" s="1034" t="s">
        <v>512</v>
      </c>
      <c r="D59" s="1035">
        <f>'SWM Sum'!B23</f>
        <v>322461621</v>
      </c>
      <c r="E59" s="995">
        <f t="shared" si="1"/>
        <v>6.8000000000000005E-2</v>
      </c>
    </row>
    <row r="60" spans="3:5" ht="12.9" customHeight="1">
      <c r="C60" s="1034" t="s">
        <v>513</v>
      </c>
      <c r="D60" s="1035">
        <f>'SWM Sum'!B32</f>
        <v>264650983</v>
      </c>
      <c r="E60" s="995">
        <f t="shared" si="1"/>
        <v>5.6000000000000001E-2</v>
      </c>
    </row>
    <row r="61" spans="3:5" ht="12.9" customHeight="1">
      <c r="C61" s="993" t="s">
        <v>514</v>
      </c>
      <c r="D61" s="1035">
        <f>'SWM Sum'!B33</f>
        <v>152576008</v>
      </c>
      <c r="E61" s="995">
        <f t="shared" si="1"/>
        <v>3.2000000000000001E-2</v>
      </c>
    </row>
    <row r="62" spans="3:5" ht="12.9" customHeight="1">
      <c r="C62" s="1034" t="s">
        <v>515</v>
      </c>
      <c r="D62" s="1035">
        <f>'SWM Sum'!B34</f>
        <v>482488023</v>
      </c>
      <c r="E62" s="995">
        <f t="shared" si="1"/>
        <v>0.10199999999999999</v>
      </c>
    </row>
    <row r="63" spans="3:5" ht="12.9" customHeight="1">
      <c r="C63" s="1034" t="s">
        <v>516</v>
      </c>
      <c r="D63" s="1035">
        <f>'SWM Sum'!B35</f>
        <v>12254959</v>
      </c>
      <c r="E63" s="995">
        <f t="shared" si="1"/>
        <v>3.0000000000000001E-3</v>
      </c>
    </row>
    <row r="64" spans="3:5" ht="12.9" customHeight="1">
      <c r="C64" s="1034" t="s">
        <v>176</v>
      </c>
      <c r="D64" s="1035">
        <f>'SWM Sum'!B36</f>
        <v>27911529</v>
      </c>
      <c r="E64" s="995">
        <f t="shared" si="1"/>
        <v>6.0000000000000001E-3</v>
      </c>
    </row>
    <row r="65" spans="3:5" ht="12.9" customHeight="1">
      <c r="C65" s="1034" t="s">
        <v>517</v>
      </c>
      <c r="D65" s="1035">
        <f>'SWM Sum'!B37</f>
        <v>270782311</v>
      </c>
      <c r="E65" s="995">
        <f t="shared" si="1"/>
        <v>5.7000000000000002E-2</v>
      </c>
    </row>
    <row r="66" spans="3:5" ht="12.9" customHeight="1">
      <c r="C66" s="1034" t="s">
        <v>163</v>
      </c>
      <c r="D66" s="1035">
        <f>'SWM Sum'!B26</f>
        <v>811029427</v>
      </c>
      <c r="E66" s="995">
        <f t="shared" si="1"/>
        <v>0.17199999999999999</v>
      </c>
    </row>
    <row r="67" spans="3:5" ht="12.9" customHeight="1">
      <c r="C67" s="1036" t="s">
        <v>497</v>
      </c>
      <c r="D67" s="1035">
        <f>'SWM Sum'!B29</f>
        <v>2096225524</v>
      </c>
      <c r="E67" s="995">
        <f t="shared" si="1"/>
        <v>0.443</v>
      </c>
    </row>
    <row r="68" spans="3:5" ht="12.9" customHeight="1">
      <c r="C68" s="1037" t="s">
        <v>201</v>
      </c>
      <c r="D68" s="1038">
        <f>SUM(D53:D67)</f>
        <v>4728963855</v>
      </c>
      <c r="E68" s="999">
        <f>SUM(E53:E67)</f>
        <v>1</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41"/>
    </row>
    <row r="83" spans="1:1" ht="12.9" customHeight="1">
      <c r="A83" s="1041"/>
    </row>
    <row r="84" spans="1:1" ht="12.9" customHeight="1">
      <c r="A84" s="1041"/>
    </row>
    <row r="85" spans="1:1" ht="12.9" customHeight="1">
      <c r="A85" s="1041"/>
    </row>
    <row r="86" spans="1:1" ht="12.9" customHeight="1">
      <c r="A86" s="1041"/>
    </row>
    <row r="87" spans="1:1" ht="12.9" customHeight="1">
      <c r="A87" s="1041"/>
    </row>
    <row r="88" spans="1:1" ht="12.9" customHeight="1">
      <c r="A88" s="1041"/>
    </row>
    <row r="89" spans="1:1" ht="12.9" customHeight="1">
      <c r="A89" s="1041"/>
    </row>
    <row r="90" spans="1:1" ht="12.9" customHeight="1">
      <c r="A90" s="1041"/>
    </row>
    <row r="91" spans="1:1" ht="12.9" customHeight="1">
      <c r="A91" s="1041"/>
    </row>
    <row r="92" spans="1:1" ht="12.9" customHeight="1">
      <c r="A92" s="1171" t="str">
        <f>C68&amp;" "&amp;TEXT(D68,"$#,###")</f>
        <v>Total Operating Sources $4,728,963,855</v>
      </c>
    </row>
    <row r="93" spans="1:1" ht="12.9" customHeight="1">
      <c r="A93" s="1171"/>
    </row>
    <row r="94" spans="1:1" ht="12.9" customHeight="1">
      <c r="A94" s="1041"/>
    </row>
    <row r="95" spans="1:1" ht="12.9" customHeight="1">
      <c r="A95" s="1041"/>
    </row>
    <row r="96" spans="1:1" ht="12.9" customHeight="1">
      <c r="A96" s="1041"/>
    </row>
    <row r="97" spans="1:5" ht="12.9" customHeight="1">
      <c r="A97" s="1041"/>
    </row>
    <row r="98" spans="1:5" ht="12.9" customHeight="1">
      <c r="A98" s="1041"/>
    </row>
    <row r="99" spans="1:5" ht="12.9" customHeight="1"/>
    <row r="100" spans="1:5" ht="12.9" customHeight="1">
      <c r="C100" s="1172" t="s">
        <v>518</v>
      </c>
      <c r="D100" s="1172"/>
    </row>
    <row r="101" spans="1:5" ht="12.9" customHeight="1">
      <c r="C101" s="1172"/>
      <c r="D101" s="1172"/>
    </row>
    <row r="102" spans="1:5" ht="12.9" customHeight="1">
      <c r="C102" s="1042" t="s">
        <v>92</v>
      </c>
      <c r="D102" s="1035">
        <f>'SWM Sum'!B42</f>
        <v>1242718341</v>
      </c>
      <c r="E102" s="995">
        <f>ROUND(D102/$D$115,3)</f>
        <v>0.30199999999999999</v>
      </c>
    </row>
    <row r="103" spans="1:5" ht="12.9" customHeight="1">
      <c r="C103" s="1042" t="s">
        <v>179</v>
      </c>
      <c r="D103" s="1035">
        <f>'SWM Sum'!B43</f>
        <v>482007838</v>
      </c>
      <c r="E103" s="995">
        <f t="shared" ref="E103:E113" si="2">ROUND(D103/$D$115,3)</f>
        <v>0.11700000000000001</v>
      </c>
    </row>
    <row r="104" spans="1:5" ht="12.9" customHeight="1">
      <c r="C104" s="1042" t="s">
        <v>180</v>
      </c>
      <c r="D104" s="1035">
        <f>'SWM Sum'!B44</f>
        <v>26962684</v>
      </c>
      <c r="E104" s="995">
        <f t="shared" si="2"/>
        <v>7.0000000000000001E-3</v>
      </c>
    </row>
    <row r="105" spans="1:5" ht="12.9" customHeight="1">
      <c r="C105" s="1042" t="s">
        <v>181</v>
      </c>
      <c r="D105" s="1035">
        <f>'SWM Sum'!B46</f>
        <v>81066106</v>
      </c>
      <c r="E105" s="995">
        <f t="shared" si="2"/>
        <v>0.02</v>
      </c>
    </row>
    <row r="106" spans="1:5" ht="12.9" customHeight="1">
      <c r="C106" s="1042" t="s">
        <v>182</v>
      </c>
      <c r="D106" s="1035">
        <f>'SWM Sum'!B47</f>
        <v>2151420</v>
      </c>
      <c r="E106" s="995">
        <f t="shared" si="2"/>
        <v>1E-3</v>
      </c>
    </row>
    <row r="107" spans="1:5" ht="12.9" customHeight="1">
      <c r="C107" s="1042" t="s">
        <v>183</v>
      </c>
      <c r="D107" s="1035">
        <f>'SWM Sum'!B48</f>
        <v>99924687</v>
      </c>
      <c r="E107" s="995">
        <f t="shared" si="2"/>
        <v>2.4E-2</v>
      </c>
    </row>
    <row r="108" spans="1:5" ht="12.9" customHeight="1">
      <c r="C108" s="1042" t="s">
        <v>519</v>
      </c>
      <c r="D108" s="1035">
        <f>'SWM Sum'!B49</f>
        <v>106957127</v>
      </c>
      <c r="E108" s="995">
        <f t="shared" si="2"/>
        <v>2.5999999999999999E-2</v>
      </c>
    </row>
    <row r="109" spans="1:5" ht="12.9" customHeight="1">
      <c r="C109" s="1042" t="s">
        <v>520</v>
      </c>
      <c r="D109" s="1035">
        <f>'SWM Sum'!B50</f>
        <v>5396963</v>
      </c>
      <c r="E109" s="995">
        <f t="shared" si="2"/>
        <v>1E-3</v>
      </c>
    </row>
    <row r="110" spans="1:5" ht="12.9" customHeight="1">
      <c r="C110" s="1042" t="s">
        <v>186</v>
      </c>
      <c r="D110" s="1035">
        <f>'SWM Sum'!B51</f>
        <v>36039161</v>
      </c>
      <c r="E110" s="995">
        <f t="shared" si="2"/>
        <v>8.9999999999999993E-3</v>
      </c>
    </row>
    <row r="111" spans="1:5" ht="12.9" customHeight="1">
      <c r="C111" s="1043" t="s">
        <v>521</v>
      </c>
      <c r="D111" s="1035">
        <f>'SWM Sum'!B52</f>
        <v>4601955</v>
      </c>
      <c r="E111" s="995">
        <f t="shared" si="2"/>
        <v>1E-3</v>
      </c>
    </row>
    <row r="112" spans="1:5" ht="12.9" customHeight="1">
      <c r="C112" s="1034" t="s">
        <v>522</v>
      </c>
      <c r="D112" s="1035">
        <f>'SWM Sum'!B53</f>
        <v>12004333</v>
      </c>
      <c r="E112" s="995">
        <f t="shared" si="2"/>
        <v>3.0000000000000001E-3</v>
      </c>
    </row>
    <row r="113" spans="3:5" ht="12.9" customHeight="1">
      <c r="C113" s="1036" t="s">
        <v>523</v>
      </c>
      <c r="D113" s="1035">
        <f>'SWM Sum'!B45</f>
        <v>2011784833</v>
      </c>
      <c r="E113" s="995">
        <f t="shared" si="2"/>
        <v>0.48899999999999999</v>
      </c>
    </row>
    <row r="114" spans="3:5" ht="12.9" customHeight="1">
      <c r="C114" s="1032"/>
      <c r="D114" s="1032"/>
      <c r="E114" s="999"/>
    </row>
    <row r="115" spans="3:5" ht="12.9" customHeight="1">
      <c r="C115" s="1044" t="s">
        <v>189</v>
      </c>
      <c r="D115" s="1038">
        <f>SUM(D102:D114)</f>
        <v>4111615448</v>
      </c>
      <c r="E115" s="999">
        <f>SUM(E102:E113)</f>
        <v>1</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71" t="str">
        <f>C115&amp;" "&amp;TEXT(D115,"$#,###")</f>
        <v>Total Operating Uses $4,111,615,448</v>
      </c>
    </row>
    <row r="137" spans="1:1" ht="12.9" customHeight="1">
      <c r="A137" s="1171"/>
    </row>
    <row r="138" spans="1:1" ht="12.9" customHeight="1"/>
    <row r="139" spans="1:1" ht="12.9" customHeight="1">
      <c r="A139" s="1045" t="s">
        <v>524</v>
      </c>
    </row>
    <row r="140" spans="1:1" ht="12.9" customHeight="1">
      <c r="A140" s="104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314"/>
    </row>
    <row r="148" spans="1:1" ht="12.9" customHeight="1">
      <c r="A148" s="314"/>
    </row>
    <row r="149" spans="1:1" ht="12.9" customHeight="1">
      <c r="A149" s="314"/>
    </row>
    <row r="150" spans="1:1" ht="12.9" customHeight="1"/>
    <row r="151" spans="1:1" ht="12.9" customHeight="1"/>
    <row r="152" spans="1:1" ht="12.9" customHeight="1"/>
    <row r="153" spans="1:1" ht="12.9" customHeight="1"/>
  </sheetData>
  <customSheetViews>
    <customSheetView guid="{ECAD605C-AB83-4734-B66F-6ADEF748858F}" scale="65" showPageBreaks="1" fitToPage="1" printArea="1" showRuler="0" topLeftCell="A125">
      <selection activeCell="J162" sqref="J162"/>
      <rowBreaks count="1" manualBreakCount="1">
        <brk id="131" max="16383" man="1"/>
      </rowBreaks>
      <pageMargins left="0" right="0" top="0" bottom="0" header="0" footer="0"/>
      <printOptions horizontalCentered="1"/>
      <pageSetup scale="38" orientation="portrait" r:id="rId1"/>
      <headerFooter alignWithMargins="0">
        <oddHeader>&amp;C&amp;"Arial,Bold"&amp;28DRAFT</oddHeader>
        <oddFooter>&amp;C&amp;"Arial,Bold"&amp;28DRAFT</oddFooter>
      </headerFooter>
    </customSheetView>
    <customSheetView guid="{A81C0C90-8FC5-4D90-88FE-F0BCC0ABCCB0}" scale="65" showPageBreaks="1" fitToPage="1" showRuler="0" topLeftCell="A4">
      <selection activeCell="M21" sqref="M21"/>
      <rowBreaks count="1" manualBreakCount="1">
        <brk id="131" max="16383" man="1"/>
      </rowBreaks>
      <pageMargins left="0" right="0" top="0" bottom="0" header="0" footer="0"/>
      <printOptions horizontalCentered="1"/>
      <pageSetup scale="38" orientation="portrait" r:id="rId2"/>
      <headerFooter alignWithMargins="0">
        <oddHeader>&amp;C&amp;"Arial,Bold"&amp;28DRAFT</oddHeader>
        <oddFooter>&amp;C&amp;"Arial,Bold"&amp;28DRAFT</oddFooter>
      </headerFooter>
    </customSheetView>
    <customSheetView guid="{3C971B3B-4F1A-4A5F-87B7-49ECD435050C}" scale="65" showPageBreaks="1" fitToPage="1" showRuler="0" topLeftCell="A4">
      <selection activeCell="M21" sqref="M21"/>
      <rowBreaks count="1" manualBreakCount="1">
        <brk id="131" max="16383" man="1"/>
      </rowBreaks>
      <pageMargins left="0" right="0" top="0" bottom="0" header="0" footer="0"/>
      <printOptions horizontalCentered="1"/>
      <pageSetup scale="38" orientation="portrait" r:id="rId3"/>
      <headerFooter alignWithMargins="0">
        <oddHeader>&amp;C&amp;"Arial,Bold"&amp;28DRAFT</oddHeader>
        <oddFooter>&amp;C&amp;"Arial,Bold"&amp;28DRAFT</oddFooter>
      </headerFooter>
    </customSheetView>
    <customSheetView guid="{CD28C8E9-3CF9-4B7E-BA5C-9BCC30B9DAC7}" scale="65" fitToPage="1" showRuler="0" topLeftCell="C94">
      <selection activeCell="M103" sqref="M103"/>
      <rowBreaks count="1" manualBreakCount="1">
        <brk id="131" max="16383" man="1"/>
      </rowBreaks>
      <pageMargins left="0" right="0" top="0" bottom="0" header="0" footer="0"/>
      <printOptions horizontalCentered="1"/>
      <pageSetup scale="37" orientation="portrait" r:id="rId4"/>
      <headerFooter alignWithMargins="0">
        <oddHeader>&amp;C&amp;"Arial,Bold"&amp;28DRAFT</oddHeader>
        <oddFooter>&amp;C&amp;"Arial,Bold"&amp;28DRAFT</oddFooter>
      </headerFooter>
    </customSheetView>
  </customSheetViews>
  <mergeCells count="6">
    <mergeCell ref="A136:A137"/>
    <mergeCell ref="C100:D100"/>
    <mergeCell ref="C101:D101"/>
    <mergeCell ref="C9:D9"/>
    <mergeCell ref="A47:A48"/>
    <mergeCell ref="A92:A93"/>
  </mergeCells>
  <phoneticPr fontId="0" type="noConversion"/>
  <hyperlinks>
    <hyperlink ref="C1" location="Index!A1" display="Return to Index" xr:uid="{00000000-0004-0000-1600-000000000000}"/>
  </hyperlinks>
  <printOptions horizontalCentered="1"/>
  <pageMargins left="0.5" right="0.5" top="0.25" bottom="0.25" header="0.25" footer="0.25"/>
  <pageSetup scale="41" orientation="portrait" r:id="rId5"/>
  <headerFooter alignWithMargins="0"/>
  <drawing r:id="rId6"/>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transitionEntry="1" codeName="Sheet4">
    <tabColor indexed="13"/>
  </sheetPr>
  <dimension ref="A1:AD83"/>
  <sheetViews>
    <sheetView showGridLines="0" zoomScale="85" zoomScaleNormal="85" workbookViewId="0">
      <pane xSplit="2" ySplit="6" topLeftCell="C40"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320" customWidth="1"/>
    <col min="2" max="2" width="17.88671875" style="320" customWidth="1"/>
    <col min="3" max="3" width="14.6640625" style="320" customWidth="1"/>
    <col min="4" max="4" width="16" style="320" customWidth="1"/>
    <col min="5" max="5" width="14.6640625" style="320" customWidth="1"/>
    <col min="6" max="6" width="17" style="320" customWidth="1"/>
    <col min="7" max="7" width="18.33203125" style="320" customWidth="1"/>
    <col min="8" max="8" width="23.33203125" style="320" customWidth="1"/>
    <col min="9" max="9" width="16" style="320" customWidth="1"/>
    <col min="10" max="10" width="14.33203125" style="320" customWidth="1"/>
    <col min="11" max="11" width="15.6640625" style="320" customWidth="1"/>
    <col min="12" max="12" width="15.44140625" style="320" customWidth="1"/>
    <col min="13" max="13" width="14.44140625" style="320" customWidth="1"/>
    <col min="14" max="15" width="14.33203125" style="320" customWidth="1"/>
    <col min="16" max="16384" width="9.109375" style="320"/>
  </cols>
  <sheetData>
    <row r="1" spans="1:15" ht="16.8" thickTop="1" thickBot="1">
      <c r="A1" s="1022" t="str">
        <f>'SWM Chts'!$A$1</f>
        <v>The University of Texas Southwestern Medical Center</v>
      </c>
      <c r="B1" s="754"/>
      <c r="C1" s="754"/>
      <c r="E1" s="321" t="s">
        <v>51</v>
      </c>
      <c r="F1" s="1144" t="s">
        <v>526</v>
      </c>
      <c r="G1" s="1145"/>
      <c r="H1" s="1145"/>
      <c r="I1" s="1146"/>
      <c r="J1" s="1139"/>
      <c r="K1" s="1140"/>
      <c r="L1" s="1140"/>
      <c r="M1" s="1140"/>
      <c r="N1" s="1140"/>
      <c r="O1" s="1141"/>
    </row>
    <row r="2" spans="1:15" ht="16.2" thickTop="1">
      <c r="A2" s="1023" t="str">
        <f>'Smmy Chts'!$A$2</f>
        <v>For the Year Ended August 31, 2022</v>
      </c>
      <c r="B2" s="754"/>
      <c r="C2" s="754"/>
      <c r="D2" s="901"/>
      <c r="E2" s="901"/>
      <c r="F2" s="901"/>
      <c r="G2" s="1007">
        <f>VLOOKUP(A1,NamesLU,2,FALSE)</f>
        <v>30</v>
      </c>
      <c r="J2" s="901"/>
      <c r="K2" s="901"/>
      <c r="L2" s="901"/>
      <c r="M2" s="901"/>
    </row>
    <row r="3" spans="1:15" ht="15.75" customHeight="1">
      <c r="A3" s="1023" t="str">
        <f>'Smmy Chts'!$A$3</f>
        <v>Source: FY 2022 Annual Financial Report</v>
      </c>
      <c r="B3" s="754"/>
      <c r="C3" s="754"/>
    </row>
    <row r="4" spans="1:15" ht="13.5" customHeight="1">
      <c r="B4" s="322"/>
      <c r="C4" s="322"/>
      <c r="D4" s="1165" t="s">
        <v>380</v>
      </c>
      <c r="E4" s="1142" t="s">
        <v>528</v>
      </c>
    </row>
    <row r="5" spans="1:15" ht="17.399999999999999">
      <c r="A5" s="903" t="str">
        <f>'Smmy Chts'!$C$35</f>
        <v>Summary Worksheet FY 2022</v>
      </c>
      <c r="B5" s="1024" t="s">
        <v>458</v>
      </c>
      <c r="C5" s="904" t="s">
        <v>148</v>
      </c>
      <c r="D5" s="1166"/>
      <c r="E5" s="1143"/>
      <c r="G5" s="906" t="s">
        <v>529</v>
      </c>
      <c r="I5" s="907" t="s">
        <v>622</v>
      </c>
      <c r="J5" s="908" t="s">
        <v>148</v>
      </c>
    </row>
    <row r="6" spans="1:15" ht="13.5" customHeight="1">
      <c r="A6" s="279" t="s">
        <v>147</v>
      </c>
      <c r="B6" s="909"/>
      <c r="C6" s="427">
        <f>VLOOKUP($G$2,FTSELU,10,FALSE)</f>
        <v>2301.35</v>
      </c>
      <c r="J6" s="910"/>
    </row>
    <row r="7" spans="1:15">
      <c r="B7" s="909"/>
      <c r="C7" s="909"/>
      <c r="I7" s="446" t="s">
        <v>533</v>
      </c>
      <c r="J7" s="911"/>
    </row>
    <row r="8" spans="1:15">
      <c r="A8" s="913" t="s">
        <v>151</v>
      </c>
      <c r="B8" s="913"/>
      <c r="C8" s="913"/>
      <c r="I8" s="914">
        <f>VLOOKUP($G$2,FTSELU,11,FALSE)</f>
        <v>2876.36</v>
      </c>
      <c r="J8" s="910"/>
    </row>
    <row r="9" spans="1:15" ht="12.75" customHeight="1" thickBot="1">
      <c r="A9" s="314" t="s">
        <v>152</v>
      </c>
      <c r="B9" s="915"/>
      <c r="C9" s="492" t="s">
        <v>534</v>
      </c>
      <c r="J9" s="910"/>
    </row>
    <row r="10" spans="1:15" ht="12.75" customHeight="1" thickTop="1">
      <c r="A10" s="277" t="s">
        <v>535</v>
      </c>
      <c r="B10" s="492">
        <f>'SWM FGD'!M10</f>
        <v>214022335</v>
      </c>
      <c r="C10" s="501">
        <f>ROUND(B10/$C$6,0)</f>
        <v>92999</v>
      </c>
      <c r="D10" s="492">
        <f>'SWM FGD'!F10</f>
        <v>0</v>
      </c>
      <c r="E10" s="492"/>
      <c r="F10" s="916">
        <f>B10-(SUM(D10:E10))</f>
        <v>214022335</v>
      </c>
      <c r="G10" s="917" t="s">
        <v>101</v>
      </c>
      <c r="H10" s="918"/>
      <c r="I10" s="919" t="s">
        <v>536</v>
      </c>
      <c r="J10" s="920">
        <f>ROUND(F10/$C$6,0)</f>
        <v>92999</v>
      </c>
    </row>
    <row r="11" spans="1:15" ht="12.75" customHeight="1" thickBot="1">
      <c r="A11" s="320" t="s">
        <v>134</v>
      </c>
      <c r="B11" s="723">
        <f>'SWM FGD'!M11</f>
        <v>46301272</v>
      </c>
      <c r="C11" s="669">
        <f t="shared" ref="C11:C14" si="0">ROUND(B11/$C$6,0)</f>
        <v>20119</v>
      </c>
      <c r="D11" s="921">
        <f>'SWM FGD'!F11</f>
        <v>0</v>
      </c>
      <c r="E11" s="754"/>
      <c r="F11" s="922">
        <f t="shared" ref="F11:F14" si="1">B11-(SUM(D11:E11))</f>
        <v>46301272</v>
      </c>
      <c r="G11" s="923">
        <f>SUM(F10:F11)</f>
        <v>260323607</v>
      </c>
      <c r="H11" s="924"/>
      <c r="I11" s="925">
        <f>ROUND($G$11/$C$6,0)</f>
        <v>113118</v>
      </c>
      <c r="J11" s="926">
        <f t="shared" ref="J11:J14" si="2">ROUND(F11/$C$6,0)</f>
        <v>20119</v>
      </c>
    </row>
    <row r="12" spans="1:15" ht="12.75" hidden="1" customHeight="1" thickTop="1" thickBot="1">
      <c r="A12" s="320" t="s">
        <v>537</v>
      </c>
      <c r="B12" s="723"/>
      <c r="C12" s="669"/>
      <c r="D12" s="921"/>
      <c r="E12" s="754"/>
      <c r="F12" s="927"/>
      <c r="J12" s="926"/>
      <c r="O12" s="928"/>
    </row>
    <row r="13" spans="1:15" ht="12.75" customHeight="1" thickTop="1">
      <c r="A13" s="320" t="s">
        <v>468</v>
      </c>
      <c r="B13" s="723">
        <f>'SWM FGD'!M13</f>
        <v>0</v>
      </c>
      <c r="C13" s="669">
        <f t="shared" si="0"/>
        <v>0</v>
      </c>
      <c r="D13" s="921">
        <f>'SWM FGD'!F13</f>
        <v>0</v>
      </c>
      <c r="E13" s="754"/>
      <c r="F13" s="929">
        <f t="shared" si="1"/>
        <v>0</v>
      </c>
      <c r="G13" s="930" t="s">
        <v>102</v>
      </c>
      <c r="H13" s="931"/>
      <c r="I13" s="417" t="s">
        <v>538</v>
      </c>
      <c r="J13" s="926">
        <f t="shared" si="2"/>
        <v>0</v>
      </c>
    </row>
    <row r="14" spans="1:15" ht="12.75" customHeight="1" thickBot="1">
      <c r="A14" s="320" t="s">
        <v>135</v>
      </c>
      <c r="B14" s="723">
        <f>'SWM FGD'!M14</f>
        <v>0</v>
      </c>
      <c r="C14" s="669">
        <f t="shared" si="0"/>
        <v>0</v>
      </c>
      <c r="D14" s="921">
        <f>'SWM FGD'!F14</f>
        <v>0</v>
      </c>
      <c r="E14" s="754"/>
      <c r="F14" s="927">
        <f t="shared" si="1"/>
        <v>0</v>
      </c>
      <c r="G14" s="932">
        <f>SUM(F13:F14)</f>
        <v>0</v>
      </c>
      <c r="H14" s="933"/>
      <c r="I14" s="934">
        <f>ROUND($G$11/$I$8,0)</f>
        <v>90505</v>
      </c>
      <c r="J14" s="935">
        <f t="shared" si="2"/>
        <v>0</v>
      </c>
    </row>
    <row r="15" spans="1:15" ht="12.75" customHeight="1" thickTop="1">
      <c r="A15" s="340" t="s">
        <v>155</v>
      </c>
      <c r="B15" s="937">
        <f>SUM(B10:B14)</f>
        <v>260323607</v>
      </c>
      <c r="C15" s="937">
        <f>SUM(C10:C14)</f>
        <v>113118</v>
      </c>
      <c r="D15" s="937">
        <f>SUM(D10:D14)</f>
        <v>0</v>
      </c>
      <c r="E15" s="937">
        <f>SUM(E10:E14)</f>
        <v>0</v>
      </c>
      <c r="F15" s="938">
        <f>SUM(F10:F14)</f>
        <v>260323607</v>
      </c>
      <c r="I15" s="345"/>
      <c r="J15" s="939">
        <f>SUM(J10:J14)</f>
        <v>113118</v>
      </c>
    </row>
    <row r="16" spans="1:15">
      <c r="C16" s="277"/>
      <c r="J16" s="910"/>
    </row>
    <row r="17" spans="1:11" ht="12.75" customHeight="1">
      <c r="A17" s="314" t="s">
        <v>161</v>
      </c>
      <c r="C17" s="277"/>
      <c r="J17" s="910"/>
    </row>
    <row r="18" spans="1:11">
      <c r="A18" s="320" t="s">
        <v>165</v>
      </c>
      <c r="B18" s="492">
        <f>'SWM FGD'!M29</f>
        <v>26135302</v>
      </c>
      <c r="C18" s="501">
        <f t="shared" ref="C18:C19" si="3">ROUND(B18/$C$6,0)</f>
        <v>11357</v>
      </c>
      <c r="D18" s="492">
        <f>'SWM FGD'!$F$29</f>
        <v>0</v>
      </c>
      <c r="E18" s="492"/>
      <c r="F18" s="492">
        <f t="shared" ref="F18:F19" si="4">B18-(SUM(D18:E18))</f>
        <v>26135302</v>
      </c>
      <c r="J18" s="920">
        <f>ROUND(F18/$C$6,0)</f>
        <v>11357</v>
      </c>
    </row>
    <row r="19" spans="1:11" ht="13.8" thickBot="1">
      <c r="A19" s="320" t="s">
        <v>166</v>
      </c>
      <c r="B19" s="723">
        <f>'SWM FGD'!M42</f>
        <v>2124561</v>
      </c>
      <c r="C19" s="669">
        <f t="shared" si="3"/>
        <v>923</v>
      </c>
      <c r="D19" s="754">
        <f>'SWM FGD'!$F$42</f>
        <v>1214623</v>
      </c>
      <c r="E19" s="754"/>
      <c r="F19" s="754">
        <f t="shared" si="4"/>
        <v>909938</v>
      </c>
      <c r="J19" s="926">
        <f>ROUND(F19/$C$6,0)</f>
        <v>395</v>
      </c>
    </row>
    <row r="20" spans="1:11" ht="14.4" thickTop="1" thickBot="1">
      <c r="A20" s="340" t="s">
        <v>167</v>
      </c>
      <c r="B20" s="937">
        <f>SUM(B18:B19)</f>
        <v>28259863</v>
      </c>
      <c r="C20" s="937">
        <f>SUM(C18:C19)</f>
        <v>12280</v>
      </c>
      <c r="D20" s="798">
        <f>SUM(D18:D19)</f>
        <v>1214623</v>
      </c>
      <c r="E20" s="940">
        <f>SUM(E18:E19)</f>
        <v>0</v>
      </c>
      <c r="F20" s="941">
        <f>SUM(F18:F19)</f>
        <v>27045240</v>
      </c>
      <c r="G20" s="942" t="s">
        <v>539</v>
      </c>
      <c r="H20" s="943"/>
      <c r="J20" s="944">
        <f>SUM(J18:J19)</f>
        <v>11752</v>
      </c>
    </row>
    <row r="21" spans="1:11" ht="12.75" customHeight="1" thickTop="1">
      <c r="C21" s="277"/>
      <c r="F21" s="945"/>
      <c r="J21" s="910"/>
    </row>
    <row r="22" spans="1:11" ht="14.25" customHeight="1" thickBot="1">
      <c r="A22" s="314" t="s">
        <v>162</v>
      </c>
      <c r="C22" s="277"/>
      <c r="J22" s="910"/>
    </row>
    <row r="23" spans="1:11" ht="14.4" thickTop="1" thickBot="1">
      <c r="A23" s="340" t="s">
        <v>168</v>
      </c>
      <c r="B23" s="937">
        <f>'SWM FGD'!M47</f>
        <v>322461621</v>
      </c>
      <c r="C23" s="937"/>
      <c r="D23" s="798">
        <f>'SWM FGD'!F47</f>
        <v>0</v>
      </c>
      <c r="E23" s="940"/>
      <c r="F23" s="941">
        <f>B23-(SUM(D23:E23))</f>
        <v>322461621</v>
      </c>
      <c r="G23" s="946" t="s">
        <v>540</v>
      </c>
      <c r="H23" s="943"/>
      <c r="J23" s="947">
        <f>ROUND(F23/$C$6,0)</f>
        <v>140118</v>
      </c>
    </row>
    <row r="24" spans="1:11" ht="13.8" thickTop="1">
      <c r="C24" s="277"/>
      <c r="J24" s="910"/>
    </row>
    <row r="25" spans="1:11">
      <c r="A25" s="314" t="s">
        <v>163</v>
      </c>
      <c r="C25" s="277"/>
      <c r="D25" s="754"/>
      <c r="J25" s="910"/>
    </row>
    <row r="26" spans="1:11">
      <c r="A26" s="340" t="s">
        <v>200</v>
      </c>
      <c r="B26" s="937">
        <f>'SWM FGD'!M50</f>
        <v>811029427</v>
      </c>
      <c r="C26" s="937"/>
      <c r="D26" s="937">
        <f>'SWM FGD'!F50</f>
        <v>0</v>
      </c>
      <c r="E26" s="937">
        <f>B26-D26</f>
        <v>811029427</v>
      </c>
      <c r="F26" s="937">
        <f t="shared" ref="F26" si="5">B26-(SUM(D26:E26))</f>
        <v>0</v>
      </c>
      <c r="J26" s="920"/>
    </row>
    <row r="27" spans="1:11">
      <c r="C27" s="277"/>
      <c r="D27" s="723"/>
      <c r="E27" s="948"/>
      <c r="J27" s="926"/>
    </row>
    <row r="28" spans="1:11">
      <c r="A28" s="314" t="s">
        <v>164</v>
      </c>
      <c r="C28" s="277"/>
      <c r="D28" s="921"/>
      <c r="E28" s="884"/>
      <c r="J28" s="926"/>
    </row>
    <row r="29" spans="1:11">
      <c r="A29" s="340" t="s">
        <v>200</v>
      </c>
      <c r="B29" s="937">
        <f>'SWM FGD'!M53</f>
        <v>2096225524</v>
      </c>
      <c r="C29" s="937"/>
      <c r="D29" s="937">
        <f>'SWM FGD'!F53</f>
        <v>0</v>
      </c>
      <c r="E29" s="937">
        <f>B29-D29</f>
        <v>2096225524</v>
      </c>
      <c r="F29" s="937">
        <f t="shared" ref="F29" si="6">B29-(SUM(D29:E29))</f>
        <v>0</v>
      </c>
      <c r="J29" s="926"/>
    </row>
    <row r="30" spans="1:11">
      <c r="C30" s="277"/>
      <c r="E30" s="754"/>
      <c r="F30" s="754"/>
      <c r="J30" s="926"/>
    </row>
    <row r="31" spans="1:11" ht="13.5" customHeight="1">
      <c r="A31" s="314" t="s">
        <v>171</v>
      </c>
      <c r="C31" s="277"/>
      <c r="E31" s="754"/>
      <c r="F31" s="754"/>
      <c r="G31" s="400"/>
      <c r="H31" s="400"/>
      <c r="I31" s="400"/>
      <c r="J31" s="926"/>
    </row>
    <row r="32" spans="1:11" ht="14.25" customHeight="1">
      <c r="A32" s="320" t="s">
        <v>172</v>
      </c>
      <c r="B32" s="492">
        <f>'SWM FGD'!M56</f>
        <v>264650983</v>
      </c>
      <c r="C32" s="501"/>
      <c r="D32" s="492">
        <f>'SWM FGD'!F56</f>
        <v>1738629</v>
      </c>
      <c r="E32" s="492"/>
      <c r="F32" s="492">
        <f t="shared" ref="F32:F37" si="7">B32-(SUM(D32:E32))</f>
        <v>262912354</v>
      </c>
      <c r="J32" s="920">
        <f>ROUND(F32/$C$6,0)</f>
        <v>114243</v>
      </c>
      <c r="K32" s="320" t="s">
        <v>570</v>
      </c>
    </row>
    <row r="33" spans="1:30">
      <c r="A33" s="320" t="s">
        <v>173</v>
      </c>
      <c r="B33" s="723">
        <f>'SWM FGD'!M57</f>
        <v>152576008</v>
      </c>
      <c r="C33" s="669"/>
      <c r="D33" s="921">
        <f>'SWM FGD'!F57</f>
        <v>0</v>
      </c>
      <c r="E33" s="754"/>
      <c r="F33" s="754">
        <f t="shared" si="7"/>
        <v>152576008</v>
      </c>
      <c r="J33" s="926">
        <f t="shared" ref="J33:J37" si="8">ROUND(F33/$C$6,0)</f>
        <v>66298</v>
      </c>
    </row>
    <row r="34" spans="1:30" ht="13.8" thickBot="1">
      <c r="A34" s="320" t="s">
        <v>174</v>
      </c>
      <c r="B34" s="723">
        <f>'SWM FGD'!M58</f>
        <v>482488023</v>
      </c>
      <c r="C34" s="669"/>
      <c r="D34" s="921">
        <f>'SWM FGD'!F58</f>
        <v>0</v>
      </c>
      <c r="E34" s="754"/>
      <c r="F34" s="754">
        <f t="shared" si="7"/>
        <v>482488023</v>
      </c>
      <c r="J34" s="926">
        <f t="shared" si="8"/>
        <v>209654</v>
      </c>
    </row>
    <row r="35" spans="1:30" ht="13.8" thickBot="1">
      <c r="A35" s="320" t="s">
        <v>175</v>
      </c>
      <c r="B35" s="723">
        <f>'SWM FGD'!M59</f>
        <v>12254959</v>
      </c>
      <c r="C35" s="669"/>
      <c r="D35" s="921">
        <f>'SWM FGD'!F59</f>
        <v>0</v>
      </c>
      <c r="E35" s="754"/>
      <c r="F35" s="754">
        <f t="shared" si="7"/>
        <v>12254959</v>
      </c>
      <c r="J35" s="926">
        <f t="shared" si="8"/>
        <v>5325</v>
      </c>
      <c r="K35" s="1157"/>
      <c r="L35" s="1140"/>
      <c r="M35" s="1140"/>
      <c r="N35" s="1140"/>
      <c r="O35" s="1141"/>
    </row>
    <row r="36" spans="1:30" ht="13.8" thickBot="1">
      <c r="A36" s="320" t="s">
        <v>471</v>
      </c>
      <c r="B36" s="723">
        <f>'SWM FGD'!M60</f>
        <v>27911529</v>
      </c>
      <c r="C36" s="669"/>
      <c r="D36" s="921">
        <f>'SWM FGD'!F60</f>
        <v>27911529</v>
      </c>
      <c r="E36" s="754"/>
      <c r="F36" s="754">
        <f t="shared" si="7"/>
        <v>0</v>
      </c>
      <c r="J36" s="926">
        <f t="shared" si="8"/>
        <v>0</v>
      </c>
      <c r="K36" s="1157" t="s">
        <v>268</v>
      </c>
      <c r="L36" s="1140"/>
      <c r="M36" s="1140"/>
      <c r="N36" s="1140"/>
      <c r="O36" s="1141"/>
    </row>
    <row r="37" spans="1:30" ht="13.5" customHeight="1" thickBot="1">
      <c r="A37" s="801" t="s">
        <v>177</v>
      </c>
      <c r="B37" s="723">
        <f>'SWM FGD'!M61</f>
        <v>270782311</v>
      </c>
      <c r="C37" s="669"/>
      <c r="D37" s="921">
        <f>'SWM FGD'!F61</f>
        <v>-12928</v>
      </c>
      <c r="E37" s="754"/>
      <c r="F37" s="754">
        <f t="shared" si="7"/>
        <v>270795239</v>
      </c>
      <c r="G37" s="400"/>
      <c r="H37" s="400"/>
      <c r="I37" s="400"/>
      <c r="J37" s="926">
        <f t="shared" si="8"/>
        <v>117668</v>
      </c>
      <c r="K37" s="1158" t="s">
        <v>276</v>
      </c>
      <c r="L37" s="1158" t="s">
        <v>277</v>
      </c>
      <c r="M37" s="1158" t="s">
        <v>278</v>
      </c>
      <c r="N37" s="1158" t="s">
        <v>279</v>
      </c>
      <c r="O37" s="1158" t="s">
        <v>280</v>
      </c>
      <c r="P37" s="400"/>
      <c r="Q37" s="400"/>
      <c r="R37" s="400"/>
      <c r="S37" s="400"/>
      <c r="T37" s="400"/>
      <c r="U37" s="400"/>
      <c r="V37" s="400"/>
      <c r="W37" s="400"/>
      <c r="X37" s="400"/>
      <c r="Y37" s="400"/>
      <c r="Z37" s="400"/>
      <c r="AA37" s="400"/>
      <c r="AB37" s="400"/>
      <c r="AC37" s="400"/>
      <c r="AD37" s="400"/>
    </row>
    <row r="38" spans="1:30" ht="14.25" customHeight="1" thickTop="1" thickBot="1">
      <c r="A38" s="340" t="s">
        <v>155</v>
      </c>
      <c r="B38" s="937">
        <f>SUM(B32:B37)</f>
        <v>1210663813</v>
      </c>
      <c r="C38" s="937"/>
      <c r="D38" s="949">
        <f>SUM(D32:D37)</f>
        <v>29637230</v>
      </c>
      <c r="E38" s="949">
        <f>SUM(E32:E37)</f>
        <v>0</v>
      </c>
      <c r="F38" s="950">
        <f>SUM(F32:F37)</f>
        <v>1181026583</v>
      </c>
      <c r="G38" s="1154" t="s">
        <v>171</v>
      </c>
      <c r="H38" s="1155"/>
      <c r="I38" s="951" t="s">
        <v>542</v>
      </c>
      <c r="J38" s="952">
        <f>SUM(J32:J37)</f>
        <v>513188</v>
      </c>
      <c r="K38" s="1159"/>
      <c r="L38" s="1159"/>
      <c r="M38" s="1159"/>
      <c r="N38" s="1159" t="s">
        <v>543</v>
      </c>
      <c r="O38" s="1159" t="s">
        <v>280</v>
      </c>
    </row>
    <row r="39" spans="1:30" ht="13.8" thickTop="1">
      <c r="A39" s="1025" t="s">
        <v>201</v>
      </c>
      <c r="B39" s="954">
        <f>B15+B20+B23+B26+B29+B38</f>
        <v>4728963855</v>
      </c>
      <c r="C39" s="955"/>
      <c r="D39" s="954">
        <f>D15+D20+D23+D26+D29+D38</f>
        <v>30851853</v>
      </c>
      <c r="E39" s="954">
        <f>E15+E20+E23+E26+E29+E38</f>
        <v>2907254951</v>
      </c>
      <c r="F39" s="956">
        <f>F38+F23+F20+F15</f>
        <v>1790857051</v>
      </c>
      <c r="G39" s="1156" t="s">
        <v>271</v>
      </c>
      <c r="H39" s="1156"/>
      <c r="I39" s="957">
        <f>ROUND($G$41/$C$6,0)</f>
        <v>778177</v>
      </c>
      <c r="J39" s="958">
        <f>J15+J20+J23+J38</f>
        <v>778176</v>
      </c>
      <c r="K39" s="1159"/>
      <c r="L39" s="1159"/>
      <c r="M39" s="1159"/>
      <c r="N39" s="1159"/>
      <c r="O39" s="1159"/>
    </row>
    <row r="40" spans="1:30" ht="13.8" thickBot="1">
      <c r="C40" s="277"/>
      <c r="F40" s="320" t="s">
        <v>544</v>
      </c>
      <c r="G40" s="959">
        <f>G14*-1</f>
        <v>0</v>
      </c>
      <c r="I40" s="951" t="s">
        <v>545</v>
      </c>
      <c r="J40" s="960"/>
      <c r="K40" s="1160"/>
      <c r="L40" s="1160"/>
      <c r="M40" s="1160"/>
      <c r="N40" s="1160"/>
      <c r="O40" s="1160"/>
    </row>
    <row r="41" spans="1:30" ht="14.4" thickTop="1" thickBot="1">
      <c r="A41" s="913" t="s">
        <v>178</v>
      </c>
      <c r="B41" s="913"/>
      <c r="C41" s="912"/>
      <c r="D41" s="344"/>
      <c r="E41" s="344"/>
      <c r="F41" s="961" t="s">
        <v>546</v>
      </c>
      <c r="G41" s="962">
        <f>F39+G40</f>
        <v>1790857051</v>
      </c>
      <c r="I41" s="963">
        <f>ROUND($G$41/$I$8,0)</f>
        <v>622612</v>
      </c>
      <c r="K41" s="964"/>
      <c r="L41" s="964"/>
      <c r="M41" s="964"/>
      <c r="N41" s="964"/>
      <c r="O41" s="964"/>
    </row>
    <row r="42" spans="1:30" ht="13.8" thickTop="1">
      <c r="A42" s="443" t="s">
        <v>92</v>
      </c>
      <c r="B42" s="492">
        <f>'SWM FGD'!M65</f>
        <v>1242718341</v>
      </c>
      <c r="C42" s="501">
        <f t="shared" ref="C42:C52" si="9">ROUND(B42/$C$6,0)</f>
        <v>539995</v>
      </c>
      <c r="D42" s="492">
        <f>'SWM FGD'!F65</f>
        <v>0</v>
      </c>
      <c r="E42" s="492"/>
      <c r="F42" s="492">
        <f t="shared" ref="F42" si="10">B42-(SUM(D42:E42))</f>
        <v>1242718341</v>
      </c>
      <c r="H42" s="965" t="s">
        <v>547</v>
      </c>
      <c r="I42" s="966">
        <f>ROUND(F42/$C$6,0)</f>
        <v>539995</v>
      </c>
      <c r="J42" s="320" t="s">
        <v>548</v>
      </c>
      <c r="K42" s="492">
        <f>F42</f>
        <v>1242718341</v>
      </c>
      <c r="L42" s="492">
        <f>K42</f>
        <v>1242718341</v>
      </c>
      <c r="M42" s="492"/>
      <c r="N42" s="492"/>
      <c r="O42" s="492"/>
    </row>
    <row r="43" spans="1:30">
      <c r="A43" s="443" t="s">
        <v>179</v>
      </c>
      <c r="B43" s="723">
        <f>'SWM FGD'!M66</f>
        <v>482007838</v>
      </c>
      <c r="C43" s="669">
        <f t="shared" si="9"/>
        <v>209446</v>
      </c>
      <c r="D43" s="723">
        <f>'SWM FGD'!F66</f>
        <v>0</v>
      </c>
      <c r="E43" s="754"/>
      <c r="F43" s="754">
        <f t="shared" ref="F43:F44" si="11">B43-(SUM(D43:E43))</f>
        <v>482007838</v>
      </c>
      <c r="J43" s="320" t="s">
        <v>549</v>
      </c>
      <c r="K43" s="723">
        <f>F43</f>
        <v>482007838</v>
      </c>
      <c r="L43" s="723">
        <f>K43</f>
        <v>482007838</v>
      </c>
      <c r="M43" s="723"/>
      <c r="N43" s="723"/>
      <c r="O43" s="723"/>
    </row>
    <row r="44" spans="1:30">
      <c r="A44" s="443" t="s">
        <v>180</v>
      </c>
      <c r="B44" s="723">
        <f>'SWM FGD'!M67</f>
        <v>26962684</v>
      </c>
      <c r="C44" s="669"/>
      <c r="D44" s="723">
        <f>'SWM FGD'!F67</f>
        <v>0</v>
      </c>
      <c r="E44" s="921">
        <f>B44-D44</f>
        <v>26962684</v>
      </c>
      <c r="F44" s="754">
        <f t="shared" si="11"/>
        <v>0</v>
      </c>
      <c r="J44" s="320" t="s">
        <v>550</v>
      </c>
      <c r="K44" s="967"/>
      <c r="L44" s="769"/>
      <c r="M44" s="769" t="s">
        <v>551</v>
      </c>
      <c r="N44" s="769"/>
      <c r="O44" s="968"/>
    </row>
    <row r="45" spans="1:30">
      <c r="A45" s="1026" t="s">
        <v>164</v>
      </c>
      <c r="B45" s="723">
        <f>'SWM FGD'!M68</f>
        <v>2011784833</v>
      </c>
      <c r="C45" s="669"/>
      <c r="D45" s="723">
        <f>'SWM FGD'!F68</f>
        <v>0</v>
      </c>
      <c r="E45" s="921">
        <f>B45-D45</f>
        <v>2011784833</v>
      </c>
      <c r="F45" s="754">
        <f t="shared" ref="F45" si="12">B45-(SUM(D45:E45))</f>
        <v>0</v>
      </c>
      <c r="G45" s="492"/>
      <c r="J45" s="320" t="s">
        <v>552</v>
      </c>
      <c r="K45" s="1161" t="s">
        <v>551</v>
      </c>
      <c r="L45" s="1162"/>
      <c r="M45" s="1162"/>
      <c r="N45" s="1162"/>
      <c r="O45" s="1163"/>
      <c r="P45" s="723"/>
    </row>
    <row r="46" spans="1:30">
      <c r="A46" s="443" t="s">
        <v>181</v>
      </c>
      <c r="B46" s="723">
        <f>'SWM FGD'!M69</f>
        <v>81066106</v>
      </c>
      <c r="C46" s="669">
        <f t="shared" si="9"/>
        <v>35225</v>
      </c>
      <c r="D46" s="723">
        <f>'SWM FGD'!F69</f>
        <v>0</v>
      </c>
      <c r="E46" s="754"/>
      <c r="F46" s="754">
        <f t="shared" ref="F46:F53" si="13">B46-(SUM(D46:E46))</f>
        <v>81066106</v>
      </c>
      <c r="H46" s="965" t="s">
        <v>553</v>
      </c>
      <c r="I46" s="966">
        <f>ROUND(F46/$C$6,0)</f>
        <v>35225</v>
      </c>
      <c r="J46" s="320" t="s">
        <v>554</v>
      </c>
      <c r="K46" s="723">
        <f t="shared" ref="K46:K50" si="14">F46</f>
        <v>81066106</v>
      </c>
      <c r="L46" s="723">
        <f>K46</f>
        <v>81066106</v>
      </c>
      <c r="M46" s="723"/>
      <c r="N46" s="723"/>
      <c r="O46" s="723"/>
    </row>
    <row r="47" spans="1:30" ht="14.25" customHeight="1">
      <c r="A47" s="443" t="s">
        <v>182</v>
      </c>
      <c r="B47" s="723">
        <f>'SWM FGD'!M70</f>
        <v>2151420</v>
      </c>
      <c r="C47" s="669">
        <f t="shared" si="9"/>
        <v>935</v>
      </c>
      <c r="D47" s="723">
        <f>'SWM FGD'!F70</f>
        <v>0</v>
      </c>
      <c r="E47" s="754"/>
      <c r="F47" s="754">
        <f t="shared" si="13"/>
        <v>2151420</v>
      </c>
      <c r="J47" s="320" t="s">
        <v>555</v>
      </c>
      <c r="K47" s="723">
        <f t="shared" si="14"/>
        <v>2151420</v>
      </c>
      <c r="L47" s="723"/>
      <c r="M47" s="723">
        <f>K47</f>
        <v>2151420</v>
      </c>
      <c r="N47" s="723"/>
      <c r="O47" s="723"/>
    </row>
    <row r="48" spans="1:30" ht="14.25" customHeight="1">
      <c r="A48" s="443" t="s">
        <v>183</v>
      </c>
      <c r="B48" s="723">
        <f>'SWM FGD'!M71</f>
        <v>99924687</v>
      </c>
      <c r="C48" s="669">
        <f t="shared" si="9"/>
        <v>43420</v>
      </c>
      <c r="D48" s="723">
        <f>'SWM FGD'!F71</f>
        <v>0</v>
      </c>
      <c r="E48" s="754"/>
      <c r="F48" s="754">
        <f t="shared" si="13"/>
        <v>99924687</v>
      </c>
      <c r="H48" s="965" t="s">
        <v>556</v>
      </c>
      <c r="I48" s="966">
        <f>ROUND(F48/$C$6,0)</f>
        <v>43420</v>
      </c>
      <c r="J48" s="320" t="s">
        <v>557</v>
      </c>
      <c r="K48" s="723">
        <f t="shared" si="14"/>
        <v>99924687</v>
      </c>
      <c r="L48" s="723"/>
      <c r="M48" s="723"/>
      <c r="N48" s="723">
        <f>K48</f>
        <v>99924687</v>
      </c>
      <c r="O48" s="723"/>
    </row>
    <row r="49" spans="1:30">
      <c r="A49" s="443" t="s">
        <v>184</v>
      </c>
      <c r="B49" s="723">
        <f>'SWM FGD'!M72</f>
        <v>106957127</v>
      </c>
      <c r="C49" s="669"/>
      <c r="D49" s="723">
        <f>'SWM FGD'!F72</f>
        <v>0</v>
      </c>
      <c r="E49" s="754"/>
      <c r="F49" s="754">
        <f t="shared" si="13"/>
        <v>106957127</v>
      </c>
      <c r="J49" s="320" t="s">
        <v>558</v>
      </c>
      <c r="K49" s="723">
        <f t="shared" si="14"/>
        <v>106957127</v>
      </c>
      <c r="L49" s="723"/>
      <c r="M49" s="723"/>
      <c r="N49" s="723">
        <f>K49</f>
        <v>106957127</v>
      </c>
      <c r="O49" s="723"/>
    </row>
    <row r="50" spans="1:30">
      <c r="A50" s="443" t="s">
        <v>185</v>
      </c>
      <c r="B50" s="723">
        <f>'SWM FGD'!M73</f>
        <v>5396963</v>
      </c>
      <c r="C50" s="669">
        <f t="shared" si="9"/>
        <v>2345</v>
      </c>
      <c r="D50" s="723">
        <f>'SWM FGD'!F73</f>
        <v>0</v>
      </c>
      <c r="E50" s="754"/>
      <c r="F50" s="754">
        <f t="shared" si="13"/>
        <v>5396963</v>
      </c>
      <c r="J50" s="320" t="s">
        <v>559</v>
      </c>
      <c r="K50" s="723">
        <f t="shared" si="14"/>
        <v>5396963</v>
      </c>
      <c r="L50" s="723"/>
      <c r="M50" s="723">
        <f>K50</f>
        <v>5396963</v>
      </c>
      <c r="N50" s="723"/>
      <c r="O50" s="723"/>
    </row>
    <row r="51" spans="1:30">
      <c r="A51" s="443" t="s">
        <v>472</v>
      </c>
      <c r="B51" s="723">
        <f>'SWM FGD'!M74</f>
        <v>36039161</v>
      </c>
      <c r="C51" s="669"/>
      <c r="D51" s="969">
        <f>B51</f>
        <v>36039161</v>
      </c>
      <c r="E51" s="754"/>
      <c r="F51" s="754">
        <f t="shared" si="13"/>
        <v>0</v>
      </c>
      <c r="J51" s="320" t="s">
        <v>560</v>
      </c>
      <c r="K51" s="967"/>
      <c r="L51" s="769"/>
      <c r="M51" s="769" t="s">
        <v>551</v>
      </c>
      <c r="N51" s="769"/>
      <c r="O51" s="968"/>
    </row>
    <row r="52" spans="1:30">
      <c r="A52" s="443" t="s">
        <v>187</v>
      </c>
      <c r="B52" s="723">
        <f>'SWM FGD'!M75</f>
        <v>4601955</v>
      </c>
      <c r="C52" s="669">
        <f t="shared" si="9"/>
        <v>2000</v>
      </c>
      <c r="D52" s="723">
        <f>'SWM FGD'!F75</f>
        <v>57927</v>
      </c>
      <c r="E52" s="754"/>
      <c r="F52" s="754">
        <f t="shared" si="13"/>
        <v>4544028</v>
      </c>
      <c r="J52" s="320" t="s">
        <v>561</v>
      </c>
      <c r="K52" s="723">
        <f t="shared" ref="K52:K53" si="15">F52</f>
        <v>4544028</v>
      </c>
      <c r="L52" s="723"/>
      <c r="M52" s="723"/>
      <c r="N52" s="723"/>
      <c r="O52" s="723">
        <f>K52</f>
        <v>4544028</v>
      </c>
    </row>
    <row r="53" spans="1:30" ht="13.8" thickBot="1">
      <c r="A53" s="320" t="s">
        <v>1713</v>
      </c>
      <c r="B53" s="723">
        <f>'SWM FGD'!M76</f>
        <v>12004333</v>
      </c>
      <c r="C53" s="669"/>
      <c r="D53" s="723">
        <f>'SWM FGD'!F76</f>
        <v>0</v>
      </c>
      <c r="E53" s="754"/>
      <c r="F53" s="754">
        <f t="shared" si="13"/>
        <v>12004333</v>
      </c>
      <c r="G53" s="400"/>
      <c r="H53" s="965" t="s">
        <v>562</v>
      </c>
      <c r="I53" s="966">
        <f>ROUND(SUM(F43+F47+F49+F50+F52+F53)/$C$6,0)</f>
        <v>266392</v>
      </c>
      <c r="J53" s="400" t="s">
        <v>280</v>
      </c>
      <c r="K53" s="723">
        <f t="shared" si="15"/>
        <v>12004333</v>
      </c>
      <c r="L53" s="970"/>
      <c r="M53" s="970"/>
      <c r="N53" s="970"/>
      <c r="O53" s="723">
        <f>K53</f>
        <v>12004333</v>
      </c>
      <c r="P53" s="400"/>
      <c r="Q53" s="400"/>
      <c r="R53" s="400"/>
      <c r="S53" s="400"/>
      <c r="T53" s="400"/>
      <c r="U53" s="400"/>
      <c r="V53" s="400"/>
      <c r="W53" s="400"/>
      <c r="X53" s="400"/>
      <c r="Y53" s="400"/>
      <c r="Z53" s="400"/>
      <c r="AA53" s="400"/>
      <c r="AB53" s="400"/>
      <c r="AC53" s="400"/>
      <c r="AD53" s="400"/>
    </row>
    <row r="54" spans="1:30" ht="14.25" customHeight="1" thickTop="1" thickBot="1">
      <c r="A54" s="1027" t="s">
        <v>189</v>
      </c>
      <c r="B54" s="972">
        <f>SUM(B42:B53)</f>
        <v>4111615448</v>
      </c>
      <c r="C54" s="972"/>
      <c r="D54" s="972">
        <f>SUM(D42:D53)</f>
        <v>36097088</v>
      </c>
      <c r="E54" s="973">
        <f>SUM(E43:E53)</f>
        <v>2038747517</v>
      </c>
      <c r="F54" s="974">
        <f>SUM(F42:F53)</f>
        <v>2036770843</v>
      </c>
      <c r="G54" s="1174" t="s">
        <v>563</v>
      </c>
      <c r="H54" s="1175"/>
      <c r="I54" s="975" t="s">
        <v>623</v>
      </c>
      <c r="J54" s="400" t="s">
        <v>564</v>
      </c>
      <c r="K54" s="976">
        <f>SUM(K42:K53)</f>
        <v>2036770843</v>
      </c>
      <c r="L54" s="976">
        <f t="shared" ref="L54:O54" si="16">SUM(L42:L53)</f>
        <v>1805792285</v>
      </c>
      <c r="M54" s="976">
        <f t="shared" si="16"/>
        <v>7548383</v>
      </c>
      <c r="N54" s="976">
        <f t="shared" si="16"/>
        <v>206881814</v>
      </c>
      <c r="O54" s="976">
        <f t="shared" si="16"/>
        <v>16548361</v>
      </c>
    </row>
    <row r="55" spans="1:30" ht="14.25" customHeight="1" thickTop="1" thickBot="1">
      <c r="C55" s="277"/>
      <c r="F55" s="931"/>
      <c r="G55" s="1176"/>
      <c r="H55" s="1177"/>
      <c r="I55" s="977">
        <f>ROUND(F54/C6,0)</f>
        <v>885033</v>
      </c>
      <c r="J55" s="1153" t="s">
        <v>565</v>
      </c>
      <c r="K55" s="970"/>
      <c r="L55" s="970"/>
      <c r="M55" s="970"/>
      <c r="N55" s="970"/>
      <c r="O55" s="970"/>
    </row>
    <row r="56" spans="1:30" ht="16.5" customHeight="1" thickBot="1">
      <c r="A56" s="314" t="s">
        <v>473</v>
      </c>
      <c r="C56" s="277"/>
      <c r="F56" s="978"/>
      <c r="G56" s="1178"/>
      <c r="H56" s="1179"/>
      <c r="I56" s="951" t="s">
        <v>624</v>
      </c>
      <c r="J56" s="1153"/>
      <c r="K56" s="979">
        <f>ROUND(K54/$C$6,2)</f>
        <v>885033.06</v>
      </c>
      <c r="L56" s="979">
        <f t="shared" ref="L56:O56" si="17">ROUND(L54/$C$6,2)</f>
        <v>784666.52</v>
      </c>
      <c r="M56" s="979">
        <f t="shared" si="17"/>
        <v>3279.98</v>
      </c>
      <c r="N56" s="979">
        <f t="shared" si="17"/>
        <v>89895.85</v>
      </c>
      <c r="O56" s="979">
        <f t="shared" si="17"/>
        <v>7190.72</v>
      </c>
      <c r="P56" s="400"/>
      <c r="Q56" s="400"/>
      <c r="R56" s="400"/>
      <c r="S56" s="400"/>
      <c r="T56" s="400"/>
      <c r="U56" s="400"/>
      <c r="V56" s="400"/>
      <c r="W56" s="400"/>
      <c r="X56" s="400"/>
      <c r="Y56" s="400"/>
      <c r="Z56" s="400"/>
      <c r="AA56" s="400"/>
      <c r="AB56" s="400"/>
      <c r="AC56" s="400"/>
      <c r="AD56" s="400"/>
    </row>
    <row r="57" spans="1:30" ht="13.8" thickTop="1">
      <c r="A57" s="320" t="s">
        <v>474</v>
      </c>
      <c r="B57" s="723">
        <f>'SWM FGD'!M80</f>
        <v>-373442574</v>
      </c>
      <c r="C57" s="669"/>
      <c r="D57" s="492">
        <f>'SWM FGD'!F80</f>
        <v>0</v>
      </c>
      <c r="E57" s="492"/>
      <c r="F57" s="980">
        <f t="shared" ref="F57:F60" si="18">B57-(SUM(D57:E57))</f>
        <v>-373442574</v>
      </c>
      <c r="G57" s="930"/>
      <c r="I57" s="957">
        <f>ROUND($F$54/$I$8,0)</f>
        <v>708107</v>
      </c>
      <c r="J57" s="400"/>
      <c r="K57" s="400"/>
      <c r="L57" s="400"/>
      <c r="M57" s="400"/>
      <c r="N57" s="400"/>
      <c r="O57" s="400"/>
      <c r="P57" s="400"/>
      <c r="Q57" s="400"/>
      <c r="R57" s="400"/>
      <c r="S57" s="400"/>
      <c r="T57" s="400"/>
      <c r="U57" s="400"/>
      <c r="V57" s="400"/>
      <c r="W57" s="400"/>
      <c r="X57" s="400"/>
      <c r="Y57" s="400"/>
      <c r="Z57" s="400"/>
      <c r="AA57" s="400"/>
      <c r="AB57" s="400"/>
      <c r="AC57" s="400"/>
      <c r="AD57" s="400"/>
    </row>
    <row r="58" spans="1:30">
      <c r="A58" s="320" t="s">
        <v>566</v>
      </c>
      <c r="B58" s="723">
        <f>'SWM FGD'!M81</f>
        <v>2669631</v>
      </c>
      <c r="C58" s="669"/>
      <c r="D58" s="982">
        <f>'SWM FGD'!F81</f>
        <v>9613134</v>
      </c>
      <c r="E58" s="915"/>
      <c r="F58" s="754">
        <f t="shared" si="18"/>
        <v>-6943503</v>
      </c>
      <c r="K58" s="980"/>
      <c r="L58" s="980"/>
      <c r="M58" s="980"/>
      <c r="N58" s="980"/>
      <c r="O58" s="980"/>
    </row>
    <row r="59" spans="1:30">
      <c r="A59" s="1028" t="s">
        <v>567</v>
      </c>
      <c r="B59" s="723">
        <f>'SWM FGD'!M82</f>
        <v>168396645</v>
      </c>
      <c r="C59" s="669"/>
      <c r="D59" s="982">
        <f>'SWM FGD'!F82</f>
        <v>0</v>
      </c>
      <c r="E59" s="915"/>
      <c r="F59" s="754">
        <f t="shared" si="18"/>
        <v>168396645</v>
      </c>
      <c r="G59" s="400"/>
      <c r="J59" s="400"/>
      <c r="K59" s="400"/>
      <c r="L59" s="400"/>
      <c r="M59" s="400"/>
      <c r="N59" s="400"/>
      <c r="O59" s="400"/>
    </row>
    <row r="60" spans="1:30" ht="12" customHeight="1">
      <c r="A60" s="320" t="s">
        <v>477</v>
      </c>
      <c r="B60" s="723">
        <f>'SWM FGD'!M83</f>
        <v>-134602074</v>
      </c>
      <c r="C60" s="669"/>
      <c r="D60" s="982">
        <f>'SWM FGD'!F83</f>
        <v>-10220872</v>
      </c>
      <c r="E60" s="915"/>
      <c r="F60" s="754">
        <f t="shared" si="18"/>
        <v>-124381202</v>
      </c>
      <c r="J60" s="400"/>
      <c r="K60" s="400"/>
      <c r="L60" s="400"/>
      <c r="M60" s="400"/>
      <c r="N60" s="400"/>
      <c r="O60" s="400"/>
      <c r="P60" s="400"/>
      <c r="Q60" s="400"/>
      <c r="R60" s="400"/>
      <c r="S60" s="400"/>
      <c r="T60" s="400"/>
      <c r="U60" s="400"/>
      <c r="V60" s="400"/>
      <c r="W60" s="400"/>
      <c r="X60" s="400"/>
      <c r="Y60" s="400"/>
      <c r="Z60" s="400"/>
      <c r="AA60" s="400"/>
      <c r="AB60" s="400"/>
      <c r="AC60" s="400"/>
      <c r="AD60" s="400"/>
    </row>
    <row r="61" spans="1:30">
      <c r="A61" s="340" t="s">
        <v>155</v>
      </c>
      <c r="B61" s="937">
        <f>SUM(B57:B60)</f>
        <v>-336978372</v>
      </c>
      <c r="C61" s="937"/>
      <c r="D61" s="937">
        <f>SUM(D57:D60)</f>
        <v>-607738</v>
      </c>
      <c r="E61" s="937">
        <f>SUM(E57:E60)</f>
        <v>0</v>
      </c>
      <c r="F61" s="984">
        <f>SUM(F57:F60)</f>
        <v>-336370634</v>
      </c>
      <c r="J61" s="400"/>
      <c r="K61" s="400"/>
      <c r="L61" s="400"/>
      <c r="M61" s="400"/>
      <c r="N61" s="400"/>
      <c r="O61" s="400"/>
    </row>
    <row r="62" spans="1:30">
      <c r="C62" s="277"/>
    </row>
    <row r="63" spans="1:30">
      <c r="A63" s="314" t="s">
        <v>478</v>
      </c>
      <c r="C63" s="277"/>
      <c r="P63" s="400"/>
      <c r="Q63" s="400"/>
      <c r="R63" s="400"/>
      <c r="S63" s="400"/>
      <c r="T63" s="400"/>
      <c r="U63" s="400"/>
      <c r="V63" s="400"/>
      <c r="W63" s="400"/>
      <c r="X63" s="400"/>
      <c r="Y63" s="400"/>
      <c r="Z63" s="400"/>
      <c r="AA63" s="400"/>
      <c r="AB63" s="400"/>
      <c r="AC63" s="400"/>
      <c r="AD63" s="400"/>
    </row>
    <row r="64" spans="1:30">
      <c r="A64" s="320" t="s">
        <v>479</v>
      </c>
      <c r="B64" s="723">
        <f>'SWM FGD'!M87</f>
        <v>-508672175</v>
      </c>
      <c r="C64" s="669"/>
      <c r="D64" s="492">
        <f>'SWM FGD'!F87</f>
        <v>-3088498</v>
      </c>
      <c r="E64" s="492"/>
      <c r="F64" s="492">
        <f t="shared" ref="F64:F65" si="19">B64-(SUM(D64:E64))</f>
        <v>-505583677</v>
      </c>
    </row>
    <row r="65" spans="1:30">
      <c r="A65" s="320" t="s">
        <v>480</v>
      </c>
      <c r="B65" s="723">
        <f>'SWM FGD'!M88</f>
        <v>61298448</v>
      </c>
      <c r="C65" s="669"/>
      <c r="D65" s="982">
        <f>'SWM FGD'!F88</f>
        <v>0</v>
      </c>
      <c r="E65" s="915"/>
      <c r="F65" s="754">
        <f t="shared" si="19"/>
        <v>61298448</v>
      </c>
      <c r="P65" s="400"/>
      <c r="Q65" s="400"/>
      <c r="R65" s="400"/>
      <c r="S65" s="400"/>
      <c r="T65" s="400"/>
      <c r="U65" s="400"/>
      <c r="V65" s="400"/>
      <c r="W65" s="400"/>
      <c r="X65" s="400"/>
      <c r="Y65" s="400"/>
      <c r="Z65" s="400"/>
      <c r="AA65" s="400"/>
      <c r="AB65" s="400"/>
      <c r="AC65" s="400"/>
      <c r="AD65" s="400"/>
    </row>
    <row r="66" spans="1:30">
      <c r="A66" s="340" t="s">
        <v>155</v>
      </c>
      <c r="B66" s="937">
        <f>SUM(B64:B65)</f>
        <v>-447373727</v>
      </c>
      <c r="C66" s="937"/>
      <c r="D66" s="937">
        <f>SUM(D64:D65)</f>
        <v>-3088498</v>
      </c>
      <c r="E66" s="937">
        <f>SUM(E64:E65)</f>
        <v>0</v>
      </c>
      <c r="F66" s="937">
        <f>SUM(F64:F65)</f>
        <v>-444285229</v>
      </c>
    </row>
    <row r="67" spans="1:30">
      <c r="C67" s="277"/>
    </row>
    <row r="68" spans="1:30" ht="13.8" thickBot="1">
      <c r="A68" s="1029" t="s">
        <v>572</v>
      </c>
      <c r="B68" s="590">
        <f>B39-B54+B61+B66</f>
        <v>-167003692</v>
      </c>
      <c r="C68" s="590"/>
      <c r="D68" s="590">
        <f>D39-D54+D61+D66</f>
        <v>-8941471</v>
      </c>
      <c r="E68" s="590">
        <f>E39-E54+E61+E66</f>
        <v>868507434</v>
      </c>
      <c r="F68" s="590">
        <f>F39-F54+F61+F66</f>
        <v>-1026569655</v>
      </c>
    </row>
    <row r="69" spans="1:30" ht="13.8" thickTop="1"/>
    <row r="70" spans="1:30">
      <c r="A70" s="320" t="s">
        <v>573</v>
      </c>
      <c r="D70" s="492"/>
    </row>
    <row r="71" spans="1:30">
      <c r="A71" s="320" t="s">
        <v>7</v>
      </c>
    </row>
    <row r="72" spans="1:30">
      <c r="B72" s="986">
        <f>'SWM FGD'!$M$91</f>
        <v>-167003692</v>
      </c>
      <c r="C72" s="277"/>
      <c r="D72" s="986">
        <f>'SWM FGD'!F91</f>
        <v>-8941471</v>
      </c>
      <c r="E72" s="986">
        <f>'SWM FGD'!M50</f>
        <v>811029427</v>
      </c>
      <c r="F72" s="277"/>
    </row>
    <row r="73" spans="1:30">
      <c r="B73" s="986"/>
      <c r="C73" s="277"/>
      <c r="D73" s="986">
        <f>'SWM FGD'!F74</f>
        <v>36039161</v>
      </c>
      <c r="E73" s="986">
        <f>'SWM FGD'!M53</f>
        <v>2096225524</v>
      </c>
      <c r="F73" s="986"/>
    </row>
    <row r="74" spans="1:30">
      <c r="B74" s="986"/>
      <c r="C74" s="277"/>
      <c r="D74" s="986">
        <f>-'SWM FGD'!M74</f>
        <v>-36039161</v>
      </c>
      <c r="E74" s="986">
        <f>-'SWM FGD'!M68</f>
        <v>-2011784833</v>
      </c>
      <c r="F74" s="986"/>
    </row>
    <row r="75" spans="1:30">
      <c r="B75" s="986"/>
      <c r="C75" s="277"/>
      <c r="D75" s="986"/>
      <c r="E75" s="986">
        <f>-'SWM FGD'!M67</f>
        <v>-26962684</v>
      </c>
      <c r="F75" s="986"/>
    </row>
    <row r="76" spans="1:30" ht="12.75" customHeight="1">
      <c r="B76" s="987"/>
      <c r="C76" s="277"/>
      <c r="D76" s="987"/>
      <c r="E76" s="987">
        <f>-D26</f>
        <v>0</v>
      </c>
      <c r="F76" s="986"/>
    </row>
    <row r="77" spans="1:30" ht="12.75" customHeight="1">
      <c r="B77" s="986">
        <f>SUM(B72:B76)</f>
        <v>-167003692</v>
      </c>
      <c r="C77" s="277"/>
      <c r="D77" s="986">
        <f>SUM(D72:D76)</f>
        <v>-8941471</v>
      </c>
      <c r="E77" s="986">
        <f>SUM(E72:E76)</f>
        <v>868507434</v>
      </c>
      <c r="F77" s="986">
        <f>B77-D77-E77</f>
        <v>-1026569655</v>
      </c>
    </row>
    <row r="78" spans="1:30" ht="12.75" customHeight="1">
      <c r="B78" s="986"/>
      <c r="C78" s="277"/>
      <c r="D78" s="986"/>
      <c r="E78" s="986"/>
      <c r="F78" s="986"/>
    </row>
    <row r="79" spans="1:30" ht="12.75" customHeight="1">
      <c r="B79" s="987"/>
      <c r="C79" s="538"/>
      <c r="D79" s="987"/>
      <c r="E79" s="987"/>
      <c r="F79" s="987"/>
    </row>
    <row r="80" spans="1:30" ht="12.75" customHeight="1">
      <c r="B80" s="986">
        <f>SUM(B77:B79)</f>
        <v>-167003692</v>
      </c>
      <c r="C80" s="277"/>
      <c r="D80" s="986">
        <f>SUM(D77:D79)</f>
        <v>-8941471</v>
      </c>
      <c r="E80" s="986">
        <f>SUM(E77:E79)</f>
        <v>868507434</v>
      </c>
      <c r="F80" s="986">
        <f>SUM(F77:F79)</f>
        <v>-1026569655</v>
      </c>
    </row>
    <row r="81" spans="2:6">
      <c r="B81" s="986"/>
      <c r="C81" s="277"/>
      <c r="D81" s="986"/>
      <c r="E81" s="986"/>
      <c r="F81" s="986"/>
    </row>
    <row r="82" spans="2:6">
      <c r="B82" s="492">
        <f>B68-B80</f>
        <v>0</v>
      </c>
      <c r="C82" s="277"/>
      <c r="D82" s="492">
        <f>D68-D80</f>
        <v>0</v>
      </c>
      <c r="E82" s="492">
        <f>E68-E80</f>
        <v>0</v>
      </c>
      <c r="F82" s="492">
        <f>F68-F80</f>
        <v>0</v>
      </c>
    </row>
    <row r="83" spans="2:6">
      <c r="B83" s="277"/>
      <c r="C83" s="277"/>
      <c r="F83" s="988" t="str">
        <f>IF(F82=0,"Balanced","Error")</f>
        <v>Balanced</v>
      </c>
    </row>
  </sheetData>
  <customSheetViews>
    <customSheetView guid="{ECAD605C-AB83-4734-B66F-6ADEF748858F}" scale="65" showPageBreaks="1" showGridLines="0" fitToPage="1" printArea="1" showRuler="0" topLeftCell="A39">
      <selection activeCell="A83" sqref="A83"/>
      <rowBreaks count="1" manualBreakCount="1">
        <brk id="60" max="1" man="1"/>
      </rowBreaks>
      <pageMargins left="0" right="0" top="0" bottom="0" header="0" footer="0"/>
      <pageSetup scale="62" orientation="portrait" r:id="rId1"/>
      <headerFooter alignWithMargins="0"/>
    </customSheetView>
    <customSheetView guid="{A81C0C90-8FC5-4D90-88FE-F0BCC0ABCCB0}" scale="65" showPageBreaks="1" showGridLines="0" fitToPage="1" printArea="1" showRuler="0">
      <selection activeCell="B1" sqref="B1"/>
      <rowBreaks count="1" manualBreakCount="1">
        <brk id="60" max="1" man="1"/>
      </rowBreaks>
      <pageMargins left="0" right="0" top="0" bottom="0" header="0" footer="0"/>
      <pageSetup scale="62" orientation="portrait" r:id="rId2"/>
      <headerFooter alignWithMargins="0"/>
    </customSheetView>
    <customSheetView guid="{3C971B3B-4F1A-4A5F-87B7-49ECD435050C}" scale="65" showPageBreaks="1" showGridLines="0" fitToPage="1" printArea="1" showRuler="0">
      <selection activeCell="B1" sqref="B1"/>
      <rowBreaks count="1" manualBreakCount="1">
        <brk id="60" max="1" man="1"/>
      </rowBreaks>
      <pageMargins left="0" right="0" top="0" bottom="0" header="0" footer="0"/>
      <pageSetup scale="62" orientation="portrait" r:id="rId3"/>
      <headerFooter alignWithMargins="0"/>
    </customSheetView>
    <customSheetView guid="{CD28C8E9-3CF9-4B7E-BA5C-9BCC30B9DAC7}" scale="65" showPageBreaks="1" showGridLines="0" fitToPage="1" printArea="1" showRuler="0">
      <selection activeCell="G37" sqref="G37"/>
      <rowBreaks count="1" manualBreakCount="1">
        <brk id="60" max="1" man="1"/>
      </rowBreaks>
      <pageMargins left="0" right="0" top="0" bottom="0" header="0" footer="0"/>
      <pageSetup scale="91" orientation="portrait" r:id="rId4"/>
      <headerFooter alignWithMargins="0"/>
    </customSheetView>
  </customSheetViews>
  <mergeCells count="16">
    <mergeCell ref="G54:H56"/>
    <mergeCell ref="D4:D5"/>
    <mergeCell ref="J1:O1"/>
    <mergeCell ref="E4:E5"/>
    <mergeCell ref="F1:I1"/>
    <mergeCell ref="J55:J56"/>
    <mergeCell ref="K37:K40"/>
    <mergeCell ref="L37:L40"/>
    <mergeCell ref="G38:H38"/>
    <mergeCell ref="G39:H39"/>
    <mergeCell ref="K45:O45"/>
    <mergeCell ref="K35:O35"/>
    <mergeCell ref="K36:O36"/>
    <mergeCell ref="O37:O40"/>
    <mergeCell ref="M37:M40"/>
    <mergeCell ref="N37:N40"/>
  </mergeCells>
  <phoneticPr fontId="0" type="noConversion"/>
  <hyperlinks>
    <hyperlink ref="E1" location="Index!A1" display="Return to Index" xr:uid="{00000000-0004-0000-1700-000000000000}"/>
  </hyperlinks>
  <printOptions horizontalCentered="1"/>
  <pageMargins left="0.25" right="0.25" top="0.3" bottom="0.25" header="0.3" footer="0.25"/>
  <pageSetup scale="80" orientation="portrait" r:id="rId5"/>
  <headerFooter alignWithMargins="0"/>
  <ignoredErrors>
    <ignoredError sqref="B61:B63 B66 D58:D65" unlockedFormula="1"/>
  </ignoredErrors>
  <legacy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
    <tabColor indexed="11"/>
    <pageSetUpPr fitToPage="1"/>
  </sheetPr>
  <dimension ref="A1:AB126"/>
  <sheetViews>
    <sheetView showGridLines="0" zoomScale="75" zoomScaleNormal="75" workbookViewId="0">
      <pane xSplit="2" ySplit="8" topLeftCell="D22"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460" hidden="1" customWidth="1"/>
    <col min="2" max="2" width="60.109375" style="752" customWidth="1"/>
    <col min="3" max="3" width="60.109375" style="752" hidden="1" customWidth="1"/>
    <col min="4" max="4" width="15.5546875" style="752" customWidth="1"/>
    <col min="5" max="5" width="15.6640625" style="752" customWidth="1"/>
    <col min="6" max="6" width="15.109375" style="752" customWidth="1"/>
    <col min="7" max="7" width="16" style="752" customWidth="1"/>
    <col min="8" max="8" width="12.6640625" style="752" customWidth="1"/>
    <col min="9" max="9" width="17.44140625" style="752" customWidth="1"/>
    <col min="10" max="10" width="15.5546875" style="752" customWidth="1"/>
    <col min="11" max="11" width="16" style="752" customWidth="1"/>
    <col min="12" max="12" width="16.33203125" style="752" customWidth="1"/>
    <col min="13" max="13" width="18" style="752" customWidth="1"/>
    <col min="14" max="14" width="6.6640625" style="752" customWidth="1"/>
    <col min="15" max="15" width="15.554687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16384" width="9.109375" style="752"/>
  </cols>
  <sheetData>
    <row r="1" spans="1:28" s="460" customFormat="1" hidden="1">
      <c r="A1" s="460">
        <v>0</v>
      </c>
      <c r="B1" s="460">
        <v>1</v>
      </c>
      <c r="D1" s="460">
        <v>2</v>
      </c>
      <c r="E1" s="460">
        <v>3</v>
      </c>
      <c r="F1" s="460">
        <v>4</v>
      </c>
      <c r="G1" s="460">
        <v>5</v>
      </c>
      <c r="H1" s="460">
        <v>6</v>
      </c>
      <c r="I1" s="460">
        <v>7</v>
      </c>
      <c r="J1" s="460">
        <v>8</v>
      </c>
      <c r="K1" s="460">
        <v>9</v>
      </c>
      <c r="L1" s="460">
        <v>10</v>
      </c>
      <c r="M1" s="460">
        <v>11</v>
      </c>
      <c r="N1" s="460">
        <v>12</v>
      </c>
      <c r="O1" s="322"/>
      <c r="P1" s="322"/>
      <c r="Q1" s="322"/>
      <c r="R1" s="322"/>
      <c r="S1" s="322"/>
      <c r="T1" s="322"/>
      <c r="U1" s="322"/>
      <c r="V1" s="322"/>
      <c r="W1" s="322"/>
      <c r="X1" s="322"/>
      <c r="Y1" s="322"/>
      <c r="Z1" s="322"/>
      <c r="AA1" s="322"/>
      <c r="AB1" s="322"/>
    </row>
    <row r="2" spans="1:28" ht="21">
      <c r="A2" s="460">
        <v>1</v>
      </c>
      <c r="B2" s="1168" t="str">
        <f>'SWM Chts'!$A$1</f>
        <v>The University of Texas Southwestern Medical Center</v>
      </c>
      <c r="C2" s="1168"/>
      <c r="D2" s="1168"/>
      <c r="E2" s="1168"/>
      <c r="F2" s="1168"/>
      <c r="G2" s="1168"/>
      <c r="H2" s="890"/>
      <c r="I2" s="752" t="str">
        <f>IF($B$2&lt;&gt;Input!$H$6,"Name Mismatch","")</f>
        <v/>
      </c>
      <c r="K2" s="890"/>
      <c r="L2" s="890"/>
      <c r="M2" s="890"/>
      <c r="N2" s="890"/>
      <c r="O2" s="321" t="s">
        <v>51</v>
      </c>
      <c r="P2" s="890"/>
      <c r="Q2" s="890"/>
    </row>
    <row r="3" spans="1:28" ht="21">
      <c r="A3" s="460">
        <v>2</v>
      </c>
      <c r="B3" s="1168" t="str">
        <f>'Smmy Chts'!$A$2</f>
        <v>For the Year Ended August 31, 2022</v>
      </c>
      <c r="C3" s="1168"/>
      <c r="D3" s="1168"/>
      <c r="E3" s="1168"/>
      <c r="F3" s="1168"/>
      <c r="G3" s="890"/>
      <c r="H3" s="890"/>
      <c r="K3" s="890"/>
      <c r="L3" s="890"/>
      <c r="M3" s="672"/>
      <c r="O3" s="754"/>
    </row>
    <row r="4" spans="1:28" ht="21">
      <c r="A4" s="460">
        <v>3</v>
      </c>
      <c r="B4" s="1168" t="str">
        <f>'Smmy Chts'!$A$3</f>
        <v>Source: FY 2022 Annual Financial Report</v>
      </c>
      <c r="C4" s="1168"/>
      <c r="D4" s="1168"/>
      <c r="E4" s="1168"/>
      <c r="F4" s="1168"/>
      <c r="G4" s="890"/>
      <c r="H4" s="890"/>
      <c r="K4" s="890"/>
      <c r="L4" s="890"/>
      <c r="M4" s="672"/>
      <c r="O4" s="754"/>
      <c r="P4" s="1204" t="s">
        <v>625</v>
      </c>
      <c r="Q4" s="1205"/>
      <c r="S4" s="334" t="s">
        <v>626</v>
      </c>
    </row>
    <row r="5" spans="1:28">
      <c r="A5" s="460">
        <v>4</v>
      </c>
      <c r="M5" s="460"/>
      <c r="O5" s="322"/>
    </row>
    <row r="6" spans="1:28">
      <c r="A6" s="460">
        <v>5</v>
      </c>
      <c r="B6" s="1169" t="str">
        <f>'Smmy Chts'!$C$32</f>
        <v>Detail Worksheet FY 2022</v>
      </c>
      <c r="C6" s="1169"/>
      <c r="D6" s="1170"/>
      <c r="E6" s="1170"/>
      <c r="F6" s="1170"/>
      <c r="G6" s="1170"/>
      <c r="H6" s="1170"/>
      <c r="I6" s="1170"/>
      <c r="J6" s="1170"/>
      <c r="K6" s="1170"/>
      <c r="L6" s="1170"/>
      <c r="M6" s="1170"/>
      <c r="O6" s="322"/>
    </row>
    <row r="7" spans="1:28">
      <c r="A7" s="460">
        <v>6</v>
      </c>
      <c r="B7" s="771"/>
      <c r="C7" s="771"/>
      <c r="M7" s="756" t="str">
        <f>'Smmy Chts'!$C$33</f>
        <v>FY 2022</v>
      </c>
      <c r="P7" s="757"/>
    </row>
    <row r="8" spans="1:28" ht="39.6">
      <c r="A8" s="460">
        <v>7</v>
      </c>
      <c r="B8" s="822" t="s">
        <v>151</v>
      </c>
      <c r="C8" s="822"/>
      <c r="D8" s="1020" t="s">
        <v>582</v>
      </c>
      <c r="E8" s="1020" t="s">
        <v>583</v>
      </c>
      <c r="F8" s="1020" t="s">
        <v>186</v>
      </c>
      <c r="G8" s="1020" t="s">
        <v>584</v>
      </c>
      <c r="H8" s="1020" t="s">
        <v>585</v>
      </c>
      <c r="I8" s="1020" t="s">
        <v>586</v>
      </c>
      <c r="J8" s="1020" t="s">
        <v>587</v>
      </c>
      <c r="K8" s="1020" t="s">
        <v>588</v>
      </c>
      <c r="L8" s="1020" t="s">
        <v>589</v>
      </c>
      <c r="M8" s="1020" t="s">
        <v>590</v>
      </c>
      <c r="P8" s="760"/>
      <c r="Q8" s="752"/>
      <c r="R8" s="752"/>
      <c r="S8" s="752"/>
      <c r="T8" s="752"/>
      <c r="U8" s="752"/>
    </row>
    <row r="9" spans="1:28">
      <c r="A9" s="460">
        <v>8</v>
      </c>
      <c r="B9" s="771" t="s">
        <v>152</v>
      </c>
      <c r="C9" s="771"/>
      <c r="D9" s="1021"/>
      <c r="E9" s="1021"/>
      <c r="F9" s="1021"/>
      <c r="G9" s="1021"/>
      <c r="H9" s="1021"/>
      <c r="I9" s="1021"/>
      <c r="J9" s="1021"/>
      <c r="K9" s="1021"/>
      <c r="L9" s="1021"/>
      <c r="M9" s="1021"/>
      <c r="P9" s="760"/>
      <c r="T9" s="752"/>
      <c r="U9" s="752"/>
    </row>
    <row r="10" spans="1:28">
      <c r="A10" s="460">
        <v>9</v>
      </c>
      <c r="B10" s="752" t="s">
        <v>101</v>
      </c>
      <c r="D10" s="762">
        <f>Input!$M$6</f>
        <v>214022335</v>
      </c>
      <c r="E10" s="762">
        <f>Input!$N$6</f>
        <v>0</v>
      </c>
      <c r="F10" s="762">
        <f>Input!$O$6</f>
        <v>0</v>
      </c>
      <c r="G10" s="762">
        <f>Input!$P$6</f>
        <v>0</v>
      </c>
      <c r="H10" s="762">
        <f>Input!$Q$6</f>
        <v>0</v>
      </c>
      <c r="I10" s="762">
        <f>Input!$R$6</f>
        <v>0</v>
      </c>
      <c r="J10" s="762">
        <f>Input!$S$6</f>
        <v>0</v>
      </c>
      <c r="K10" s="762">
        <f>Input!$T$6</f>
        <v>0</v>
      </c>
      <c r="L10" s="762">
        <f>Input!$U$6</f>
        <v>0</v>
      </c>
      <c r="M10" s="723">
        <f t="shared" ref="M10:M15" si="0">D10+E10+F10+G10+H10+I10+J10+K10+L10</f>
        <v>214022335</v>
      </c>
      <c r="O10" s="763"/>
      <c r="P10" s="1200" t="s">
        <v>627</v>
      </c>
      <c r="T10" s="752"/>
      <c r="U10" s="752"/>
    </row>
    <row r="11" spans="1:28">
      <c r="A11" s="460">
        <v>10</v>
      </c>
      <c r="B11" s="752" t="s">
        <v>134</v>
      </c>
      <c r="D11" s="762">
        <f>Input!$V$6</f>
        <v>2374355</v>
      </c>
      <c r="E11" s="762">
        <f>Input!$W$6</f>
        <v>2063501</v>
      </c>
      <c r="F11" s="762">
        <f>Input!$X$6</f>
        <v>0</v>
      </c>
      <c r="G11" s="762">
        <f>Input!$Y$6</f>
        <v>41863416</v>
      </c>
      <c r="H11" s="762">
        <f>Input!$Z$6</f>
        <v>0</v>
      </c>
      <c r="I11" s="762">
        <f>Input!$AA$6</f>
        <v>0</v>
      </c>
      <c r="J11" s="762">
        <f>Input!$AB$6</f>
        <v>0</v>
      </c>
      <c r="K11" s="762">
        <f>Input!$AC$6</f>
        <v>0</v>
      </c>
      <c r="L11" s="762">
        <f>Input!$AD$6</f>
        <v>0</v>
      </c>
      <c r="M11" s="723">
        <f t="shared" si="0"/>
        <v>46301272</v>
      </c>
      <c r="N11" s="763"/>
      <c r="O11" s="764"/>
      <c r="P11" s="1198"/>
      <c r="T11" s="752"/>
      <c r="U11" s="752"/>
    </row>
    <row r="12" spans="1:28" ht="12.75" hidden="1" customHeight="1">
      <c r="B12" s="752" t="s">
        <v>537</v>
      </c>
      <c r="D12" s="762"/>
      <c r="E12" s="762"/>
      <c r="F12" s="762"/>
      <c r="G12" s="762"/>
      <c r="H12" s="762"/>
      <c r="I12" s="762"/>
      <c r="J12" s="762"/>
      <c r="K12" s="762"/>
      <c r="L12" s="762"/>
      <c r="M12" s="723"/>
      <c r="O12" s="764"/>
      <c r="P12" s="765"/>
      <c r="T12" s="766"/>
      <c r="U12" s="752"/>
    </row>
    <row r="13" spans="1:28">
      <c r="A13" s="460">
        <v>12</v>
      </c>
      <c r="B13" s="752" t="s">
        <v>468</v>
      </c>
      <c r="D13" s="762">
        <f>Input!$AN$6</f>
        <v>0</v>
      </c>
      <c r="E13" s="762">
        <f>Input!$AO$6</f>
        <v>0</v>
      </c>
      <c r="F13" s="762">
        <f>Input!$AP$6</f>
        <v>0</v>
      </c>
      <c r="G13" s="762">
        <f>Input!$AQ$6</f>
        <v>0</v>
      </c>
      <c r="H13" s="762">
        <f>Input!$AR$6</f>
        <v>0</v>
      </c>
      <c r="I13" s="762">
        <f>Input!$AS$6</f>
        <v>0</v>
      </c>
      <c r="J13" s="762">
        <f>Input!$AT$6</f>
        <v>0</v>
      </c>
      <c r="K13" s="762">
        <f>Input!$AU$6</f>
        <v>0</v>
      </c>
      <c r="L13" s="762">
        <f>Input!$AV$6</f>
        <v>0</v>
      </c>
      <c r="M13" s="723">
        <f t="shared" si="0"/>
        <v>0</v>
      </c>
      <c r="O13" s="764" t="str">
        <f>IF(P13&lt;&gt;M13,"Out of Balance","Balanced")</f>
        <v>Balanced</v>
      </c>
      <c r="P13" s="767">
        <f>IFERROR(VLOOKUP($B$2,AMTLU,6,FALSE),0)</f>
        <v>0</v>
      </c>
      <c r="T13" s="752"/>
      <c r="U13" s="752"/>
    </row>
    <row r="14" spans="1:28" ht="15">
      <c r="A14" s="460">
        <v>13</v>
      </c>
      <c r="B14" s="752" t="s">
        <v>135</v>
      </c>
      <c r="D14" s="762">
        <f>Input!$AW$6</f>
        <v>0</v>
      </c>
      <c r="E14" s="762">
        <f>Input!$AX$6</f>
        <v>0</v>
      </c>
      <c r="F14" s="762">
        <f>Input!$AY$6</f>
        <v>0</v>
      </c>
      <c r="G14" s="762">
        <f>Input!$AZ$6</f>
        <v>0</v>
      </c>
      <c r="H14" s="762">
        <f>Input!$BA$6</f>
        <v>0</v>
      </c>
      <c r="I14" s="762">
        <f>Input!$BB$6</f>
        <v>0</v>
      </c>
      <c r="J14" s="762">
        <f>Input!$BC$6</f>
        <v>0</v>
      </c>
      <c r="K14" s="762">
        <f>Input!$BD$6</f>
        <v>0</v>
      </c>
      <c r="L14" s="762">
        <f>Input!$BE$6</f>
        <v>0</v>
      </c>
      <c r="M14" s="723">
        <f t="shared" si="0"/>
        <v>0</v>
      </c>
      <c r="O14" s="406"/>
      <c r="P14" s="334"/>
    </row>
    <row r="15" spans="1:28" ht="15">
      <c r="A15" s="460">
        <v>14</v>
      </c>
      <c r="B15" s="768" t="s">
        <v>155</v>
      </c>
      <c r="C15" s="768"/>
      <c r="D15" s="769">
        <f>SUM(D10:D14)</f>
        <v>216396690</v>
      </c>
      <c r="E15" s="769">
        <f t="shared" ref="E15:L15" si="1">SUM(E10:E14)</f>
        <v>2063501</v>
      </c>
      <c r="F15" s="769">
        <f t="shared" si="1"/>
        <v>0</v>
      </c>
      <c r="G15" s="769">
        <f t="shared" si="1"/>
        <v>41863416</v>
      </c>
      <c r="H15" s="769">
        <f t="shared" si="1"/>
        <v>0</v>
      </c>
      <c r="I15" s="769">
        <f t="shared" si="1"/>
        <v>0</v>
      </c>
      <c r="J15" s="769">
        <f t="shared" si="1"/>
        <v>0</v>
      </c>
      <c r="K15" s="769">
        <f t="shared" si="1"/>
        <v>0</v>
      </c>
      <c r="L15" s="769">
        <f t="shared" si="1"/>
        <v>0</v>
      </c>
      <c r="M15" s="769">
        <f t="shared" si="0"/>
        <v>260323607</v>
      </c>
      <c r="O15" s="406"/>
      <c r="P15" s="334"/>
    </row>
    <row r="16" spans="1:28" ht="12.75" customHeight="1">
      <c r="A16" s="460">
        <v>15</v>
      </c>
      <c r="D16" s="723"/>
      <c r="E16" s="723"/>
      <c r="F16" s="723"/>
      <c r="G16" s="723"/>
      <c r="H16" s="723"/>
      <c r="I16" s="723"/>
      <c r="J16" s="723"/>
      <c r="K16" s="723"/>
      <c r="L16" s="723"/>
      <c r="M16" s="723"/>
      <c r="O16" s="406"/>
      <c r="P16" s="770"/>
      <c r="Q16" s="757"/>
      <c r="R16" s="752"/>
      <c r="S16" s="752"/>
      <c r="T16" s="752"/>
      <c r="U16" s="752"/>
      <c r="V16" s="752"/>
    </row>
    <row r="17" spans="1:28" ht="14.25" customHeight="1">
      <c r="A17" s="460">
        <v>16</v>
      </c>
      <c r="B17" s="771" t="s">
        <v>161</v>
      </c>
      <c r="C17" s="771"/>
      <c r="D17" s="723"/>
      <c r="E17" s="723"/>
      <c r="F17" s="723"/>
      <c r="G17" s="723"/>
      <c r="H17" s="723"/>
      <c r="I17" s="723"/>
      <c r="J17" s="723"/>
      <c r="K17" s="723"/>
      <c r="L17" s="723"/>
      <c r="M17" s="723"/>
      <c r="N17" s="400"/>
      <c r="O17" s="400"/>
      <c r="P17" s="400"/>
      <c r="Q17" s="400"/>
      <c r="R17" s="752"/>
      <c r="S17" s="752"/>
      <c r="T17" s="752"/>
      <c r="U17" s="752" t="s">
        <v>628</v>
      </c>
      <c r="V17" s="752"/>
      <c r="W17" s="752"/>
      <c r="X17" s="752"/>
      <c r="Y17" s="752"/>
      <c r="Z17" s="752"/>
      <c r="AA17" s="752"/>
      <c r="AB17" s="752"/>
    </row>
    <row r="18" spans="1:28" s="320" customFormat="1" ht="13.5" customHeight="1" thickBot="1">
      <c r="A18" s="322"/>
      <c r="B18" s="772" t="s">
        <v>228</v>
      </c>
      <c r="C18" s="772"/>
      <c r="D18" s="769">
        <f t="shared" ref="D18:L18" si="2">D23-SUM(D19:D22)</f>
        <v>15361528</v>
      </c>
      <c r="E18" s="769">
        <f t="shared" si="2"/>
        <v>19366250</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34727778</v>
      </c>
      <c r="V18" s="723"/>
      <c r="X18" s="492"/>
    </row>
    <row r="19" spans="1:28" s="320" customFormat="1" ht="12.75" customHeight="1" thickTop="1" thickBot="1">
      <c r="A19" s="322"/>
      <c r="B19" s="320" t="s">
        <v>592</v>
      </c>
      <c r="D19" s="762">
        <f>Input!$BF$6</f>
        <v>-6687827</v>
      </c>
      <c r="E19" s="762">
        <f>Input!$BG$6</f>
        <v>0</v>
      </c>
      <c r="F19" s="762">
        <f>Input!$BH$6</f>
        <v>0</v>
      </c>
      <c r="G19" s="762">
        <f>Input!$BI$6</f>
        <v>0</v>
      </c>
      <c r="H19" s="762">
        <f>Input!$BJ$6</f>
        <v>0</v>
      </c>
      <c r="I19" s="762">
        <f>Input!BK6</f>
        <v>0</v>
      </c>
      <c r="J19" s="762">
        <f>Input!$BL$6</f>
        <v>0</v>
      </c>
      <c r="K19" s="762">
        <f>Input!BM6</f>
        <v>0</v>
      </c>
      <c r="L19" s="762">
        <f>Input!BN6</f>
        <v>0</v>
      </c>
      <c r="M19" s="723">
        <f t="shared" si="3"/>
        <v>-6687827</v>
      </c>
      <c r="O19" s="1201" t="s">
        <v>629</v>
      </c>
      <c r="P19" s="1202"/>
      <c r="Q19" s="1202"/>
      <c r="R19" s="1202"/>
      <c r="S19" s="1203"/>
      <c r="U19" s="1187" t="s">
        <v>630</v>
      </c>
      <c r="V19" s="1188"/>
      <c r="W19" s="1188"/>
      <c r="X19" s="1188"/>
      <c r="Y19" s="1189"/>
    </row>
    <row r="20" spans="1:28" s="320" customFormat="1" ht="12.75" customHeight="1" thickTop="1">
      <c r="A20" s="322"/>
      <c r="B20" s="320" t="s">
        <v>593</v>
      </c>
      <c r="D20" s="762">
        <f>Input!$BO$6</f>
        <v>0</v>
      </c>
      <c r="E20" s="762">
        <f>Input!$BP$6</f>
        <v>0</v>
      </c>
      <c r="F20" s="762">
        <f>Input!$BQ$6</f>
        <v>0</v>
      </c>
      <c r="G20" s="762">
        <f>Input!$BR$6</f>
        <v>0</v>
      </c>
      <c r="H20" s="762">
        <f>Input!$BS$6</f>
        <v>0</v>
      </c>
      <c r="I20" s="762">
        <f>Input!$BT$6</f>
        <v>0</v>
      </c>
      <c r="J20" s="762">
        <f>Input!BU6</f>
        <v>0</v>
      </c>
      <c r="K20" s="762">
        <f>Input!BV6</f>
        <v>0</v>
      </c>
      <c r="L20" s="762">
        <f>Input!$BW$6</f>
        <v>0</v>
      </c>
      <c r="M20" s="723">
        <f t="shared" si="3"/>
        <v>0</v>
      </c>
      <c r="O20" s="773" t="s">
        <v>631</v>
      </c>
      <c r="P20" s="774"/>
      <c r="Q20" s="774"/>
      <c r="R20" s="774"/>
      <c r="S20" s="775"/>
      <c r="U20" s="776" t="s">
        <v>252</v>
      </c>
      <c r="Y20" s="777"/>
    </row>
    <row r="21" spans="1:28" s="320" customFormat="1">
      <c r="A21" s="322"/>
      <c r="B21" s="320" t="s">
        <v>594</v>
      </c>
      <c r="D21" s="762">
        <f>Input!$BX$6</f>
        <v>0</v>
      </c>
      <c r="E21" s="762">
        <f>Input!$BY$6</f>
        <v>0</v>
      </c>
      <c r="F21" s="762">
        <f>Input!$BZ$6</f>
        <v>0</v>
      </c>
      <c r="G21" s="762">
        <f>Input!$CA$6</f>
        <v>0</v>
      </c>
      <c r="H21" s="762">
        <f>Input!$CB$6</f>
        <v>0</v>
      </c>
      <c r="I21" s="762">
        <f>Input!$CC$6</f>
        <v>0</v>
      </c>
      <c r="J21" s="762">
        <f>Input!$CD$6</f>
        <v>0</v>
      </c>
      <c r="K21" s="762">
        <f>Input!$CE$6</f>
        <v>0</v>
      </c>
      <c r="L21" s="762">
        <f>Input!$CF$6</f>
        <v>0</v>
      </c>
      <c r="M21" s="723">
        <f t="shared" si="3"/>
        <v>0</v>
      </c>
      <c r="O21" s="778"/>
      <c r="R21" s="492"/>
      <c r="S21" s="779"/>
      <c r="U21" s="780" t="s">
        <v>632</v>
      </c>
      <c r="X21" s="781">
        <f>M44</f>
        <v>28259863</v>
      </c>
      <c r="Y21" s="777"/>
      <c r="Z21" s="492"/>
    </row>
    <row r="22" spans="1:28" s="320" customFormat="1">
      <c r="A22" s="322"/>
      <c r="B22" s="320" t="s">
        <v>595</v>
      </c>
      <c r="D22" s="762">
        <f>Input!$CG$6</f>
        <v>0</v>
      </c>
      <c r="E22" s="762">
        <f>Input!$CH$6</f>
        <v>0</v>
      </c>
      <c r="F22" s="762">
        <f>Input!$CI$6</f>
        <v>0</v>
      </c>
      <c r="G22" s="762">
        <f>Input!$CJ$6</f>
        <v>0</v>
      </c>
      <c r="H22" s="762">
        <f>Input!$CK$6</f>
        <v>0</v>
      </c>
      <c r="I22" s="762">
        <f>Input!$CL$6</f>
        <v>0</v>
      </c>
      <c r="J22" s="762">
        <f>Input!$CM$6</f>
        <v>0</v>
      </c>
      <c r="K22" s="762">
        <f>Input!$CN$6</f>
        <v>0</v>
      </c>
      <c r="L22" s="762">
        <f>Input!$CO$6</f>
        <v>0</v>
      </c>
      <c r="M22" s="723">
        <f t="shared" si="3"/>
        <v>0</v>
      </c>
      <c r="N22" s="406"/>
      <c r="O22" s="778" t="s">
        <v>633</v>
      </c>
      <c r="Q22" s="492">
        <f>M23</f>
        <v>28039951</v>
      </c>
      <c r="S22" s="782"/>
      <c r="U22" s="780" t="s">
        <v>634</v>
      </c>
      <c r="X22" s="783">
        <f>R30*-1</f>
        <v>2603253</v>
      </c>
      <c r="Y22" s="777"/>
    </row>
    <row r="23" spans="1:28" s="320" customFormat="1" ht="12.75" customHeight="1">
      <c r="A23" s="322"/>
      <c r="B23" s="772" t="s">
        <v>233</v>
      </c>
      <c r="C23" s="784"/>
      <c r="D23" s="785">
        <f>Input!$CP$6</f>
        <v>8673701</v>
      </c>
      <c r="E23" s="785">
        <f>Input!$CQ$6</f>
        <v>19366250</v>
      </c>
      <c r="F23" s="785">
        <f>Input!$CR$6</f>
        <v>0</v>
      </c>
      <c r="G23" s="785">
        <f>Input!$CS$6</f>
        <v>0</v>
      </c>
      <c r="H23" s="785">
        <f>Input!$CT$6</f>
        <v>0</v>
      </c>
      <c r="I23" s="785">
        <f>Input!$CU$6</f>
        <v>0</v>
      </c>
      <c r="J23" s="785">
        <f>Input!$CV$6</f>
        <v>0</v>
      </c>
      <c r="K23" s="785">
        <f>Input!$CW$6</f>
        <v>0</v>
      </c>
      <c r="L23" s="785">
        <f>Input!$CX$6</f>
        <v>0</v>
      </c>
      <c r="M23" s="786">
        <f t="shared" si="3"/>
        <v>28039951</v>
      </c>
      <c r="O23" s="778"/>
      <c r="Q23" s="492"/>
      <c r="S23" s="782"/>
      <c r="U23" s="776" t="s">
        <v>635</v>
      </c>
      <c r="Y23" s="777">
        <f>SUM(X21:X22)</f>
        <v>30863116</v>
      </c>
      <c r="Z23" s="492"/>
    </row>
    <row r="24" spans="1:28" s="320" customFormat="1" ht="12.75" customHeight="1">
      <c r="A24" s="322"/>
      <c r="B24" s="320" t="s">
        <v>596</v>
      </c>
      <c r="C24" s="751"/>
      <c r="D24" s="762">
        <f>Input!$CY$6</f>
        <v>0</v>
      </c>
      <c r="E24" s="762">
        <f>Input!$CZ$6</f>
        <v>0</v>
      </c>
      <c r="F24" s="762">
        <f>Input!$DA$6</f>
        <v>0</v>
      </c>
      <c r="G24" s="762">
        <f>Input!$DB$6</f>
        <v>0</v>
      </c>
      <c r="H24" s="762">
        <f>Input!$DC$6</f>
        <v>0</v>
      </c>
      <c r="I24" s="762">
        <f>Input!$DD$6</f>
        <v>0</v>
      </c>
      <c r="J24" s="762">
        <f>Input!$DE$6</f>
        <v>0</v>
      </c>
      <c r="K24" s="762">
        <f>Input!$DF$6</f>
        <v>0</v>
      </c>
      <c r="L24" s="762">
        <f>Input!$DG$6</f>
        <v>0</v>
      </c>
      <c r="M24" s="650">
        <f t="shared" si="3"/>
        <v>0</v>
      </c>
      <c r="O24" s="787" t="s">
        <v>636</v>
      </c>
      <c r="Q24" s="723"/>
      <c r="R24" s="723">
        <f>SUM(M24:M28)</f>
        <v>-1904649</v>
      </c>
      <c r="S24" s="782"/>
      <c r="U24" s="776"/>
      <c r="Y24" s="777"/>
      <c r="Z24" s="492"/>
    </row>
    <row r="25" spans="1:28" s="320" customFormat="1" ht="12.75" customHeight="1">
      <c r="A25" s="322"/>
      <c r="B25" s="320" t="s">
        <v>597</v>
      </c>
      <c r="C25" s="751"/>
      <c r="D25" s="762">
        <f>Input!$DH$6</f>
        <v>0</v>
      </c>
      <c r="E25" s="762">
        <f>Input!$DI$6</f>
        <v>0</v>
      </c>
      <c r="F25" s="762">
        <f>Input!$DJ$6</f>
        <v>0</v>
      </c>
      <c r="G25" s="762">
        <f>Input!$DK$6</f>
        <v>0</v>
      </c>
      <c r="H25" s="762">
        <f>Input!$DL$6</f>
        <v>0</v>
      </c>
      <c r="I25" s="762">
        <f>Input!$DM$6</f>
        <v>0</v>
      </c>
      <c r="J25" s="762">
        <f>Input!$DN$6</f>
        <v>0</v>
      </c>
      <c r="K25" s="762">
        <f>Input!$DO$6</f>
        <v>0</v>
      </c>
      <c r="L25" s="762">
        <f>Input!$DP$6</f>
        <v>0</v>
      </c>
      <c r="M25" s="650">
        <f t="shared" si="3"/>
        <v>0</v>
      </c>
      <c r="O25" s="778"/>
      <c r="Q25" s="723"/>
      <c r="R25" s="723"/>
      <c r="S25" s="782"/>
      <c r="U25" s="788" t="s">
        <v>637</v>
      </c>
      <c r="V25" s="789"/>
      <c r="W25" s="789"/>
      <c r="X25" s="790">
        <f>(M26+M39)*-1</f>
        <v>236246</v>
      </c>
      <c r="Y25" s="777"/>
      <c r="Z25" s="492"/>
    </row>
    <row r="26" spans="1:28" s="320" customFormat="1" ht="12.75" customHeight="1">
      <c r="A26" s="322"/>
      <c r="B26" s="320" t="s">
        <v>598</v>
      </c>
      <c r="C26" s="751"/>
      <c r="D26" s="762">
        <f>Input!$DQ$6</f>
        <v>-236246</v>
      </c>
      <c r="E26" s="762">
        <f>Input!$DR$6</f>
        <v>0</v>
      </c>
      <c r="F26" s="762">
        <f>Input!$DS$6</f>
        <v>0</v>
      </c>
      <c r="G26" s="762">
        <f>Input!$DT$6</f>
        <v>0</v>
      </c>
      <c r="H26" s="762">
        <f>Input!$DU$6</f>
        <v>0</v>
      </c>
      <c r="I26" s="762">
        <f>Input!$DV$6</f>
        <v>0</v>
      </c>
      <c r="J26" s="762">
        <f>Input!$DW$6</f>
        <v>0</v>
      </c>
      <c r="K26" s="762">
        <f>Input!$DX$6</f>
        <v>0</v>
      </c>
      <c r="L26" s="762">
        <f>Input!$DY$6</f>
        <v>0</v>
      </c>
      <c r="M26" s="650">
        <f t="shared" si="3"/>
        <v>-236246</v>
      </c>
      <c r="O26" s="778" t="s">
        <v>638</v>
      </c>
      <c r="Q26" s="723">
        <f>M36</f>
        <v>2823165</v>
      </c>
      <c r="R26" s="791"/>
      <c r="S26" s="792"/>
      <c r="U26" s="776" t="s">
        <v>639</v>
      </c>
      <c r="X26" s="793">
        <f>(M21+M34)*-1</f>
        <v>0</v>
      </c>
      <c r="Y26" s="777"/>
      <c r="Z26" s="492"/>
    </row>
    <row r="27" spans="1:28" s="320" customFormat="1">
      <c r="A27" s="322"/>
      <c r="B27" s="320" t="s">
        <v>599</v>
      </c>
      <c r="C27" s="751"/>
      <c r="D27" s="762">
        <f>Input!$DZ$6</f>
        <v>0</v>
      </c>
      <c r="E27" s="762">
        <f>Input!$EA$6</f>
        <v>0</v>
      </c>
      <c r="F27" s="762">
        <f>Input!$EB$6</f>
        <v>0</v>
      </c>
      <c r="G27" s="762">
        <f>Input!$EC$6</f>
        <v>0</v>
      </c>
      <c r="H27" s="762">
        <f>Input!$ED$6</f>
        <v>0</v>
      </c>
      <c r="I27" s="762">
        <f>Input!$EE$6</f>
        <v>0</v>
      </c>
      <c r="J27" s="762">
        <f>Input!$EF$6</f>
        <v>0</v>
      </c>
      <c r="K27" s="762">
        <f>Input!$EG$6</f>
        <v>0</v>
      </c>
      <c r="L27" s="762">
        <f>Input!$EH$6</f>
        <v>0</v>
      </c>
      <c r="M27" s="650">
        <f t="shared" si="3"/>
        <v>0</v>
      </c>
      <c r="O27" s="778"/>
      <c r="Q27" s="723"/>
      <c r="R27" s="791"/>
      <c r="S27" s="792"/>
      <c r="U27" s="780" t="s">
        <v>640</v>
      </c>
      <c r="V27" s="314"/>
      <c r="W27" s="314"/>
      <c r="X27" s="794">
        <f>SUM(X25:X26)</f>
        <v>236246</v>
      </c>
      <c r="Y27" s="721"/>
    </row>
    <row r="28" spans="1:28" s="320" customFormat="1">
      <c r="A28" s="322"/>
      <c r="B28" s="320" t="s">
        <v>600</v>
      </c>
      <c r="C28" s="751"/>
      <c r="D28" s="762">
        <f>Input!$EI$6</f>
        <v>-364967</v>
      </c>
      <c r="E28" s="762">
        <f>Input!$EJ$6</f>
        <v>-1303436</v>
      </c>
      <c r="F28" s="762">
        <f>Input!$EK$6</f>
        <v>0</v>
      </c>
      <c r="G28" s="762">
        <f>Input!$EL$6</f>
        <v>0</v>
      </c>
      <c r="H28" s="762">
        <f>Input!$EM$6</f>
        <v>0</v>
      </c>
      <c r="I28" s="762">
        <f>Input!$EN$6</f>
        <v>0</v>
      </c>
      <c r="J28" s="762">
        <f>Input!$EO$6</f>
        <v>0</v>
      </c>
      <c r="K28" s="762">
        <f>Input!$EP$6</f>
        <v>0</v>
      </c>
      <c r="L28" s="762">
        <f>Input!$EQ$6</f>
        <v>0</v>
      </c>
      <c r="M28" s="650">
        <f t="shared" si="3"/>
        <v>-1668403</v>
      </c>
      <c r="O28" s="787" t="s">
        <v>641</v>
      </c>
      <c r="Q28" s="723"/>
      <c r="R28" s="723">
        <f>SUM(M37:M41)</f>
        <v>-698604</v>
      </c>
      <c r="S28" s="782"/>
      <c r="U28" s="776" t="s">
        <v>642</v>
      </c>
      <c r="X28" s="777">
        <f>(M27+M40)*-1</f>
        <v>0</v>
      </c>
      <c r="Y28" s="721"/>
      <c r="Z28" s="492"/>
    </row>
    <row r="29" spans="1:28" s="320" customFormat="1" ht="12" customHeight="1">
      <c r="A29" s="322"/>
      <c r="B29" s="795" t="s">
        <v>165</v>
      </c>
      <c r="C29" s="784"/>
      <c r="D29" s="769">
        <f t="shared" ref="D29:L29" si="4">SUM(D23:D28)</f>
        <v>8072488</v>
      </c>
      <c r="E29" s="769">
        <f t="shared" si="4"/>
        <v>18062814</v>
      </c>
      <c r="F29" s="769">
        <f t="shared" si="4"/>
        <v>0</v>
      </c>
      <c r="G29" s="769">
        <f t="shared" si="4"/>
        <v>0</v>
      </c>
      <c r="H29" s="769">
        <f t="shared" si="4"/>
        <v>0</v>
      </c>
      <c r="I29" s="769">
        <f t="shared" si="4"/>
        <v>0</v>
      </c>
      <c r="J29" s="769">
        <f t="shared" si="4"/>
        <v>0</v>
      </c>
      <c r="K29" s="769">
        <f t="shared" si="4"/>
        <v>0</v>
      </c>
      <c r="L29" s="769">
        <f t="shared" si="4"/>
        <v>0</v>
      </c>
      <c r="M29" s="769">
        <f t="shared" si="3"/>
        <v>26135302</v>
      </c>
      <c r="O29" s="787"/>
      <c r="Q29" s="723"/>
      <c r="R29" s="739"/>
      <c r="S29" s="796"/>
      <c r="U29" s="776" t="s">
        <v>643</v>
      </c>
      <c r="X29" s="793">
        <f>(M22+M35)*-1</f>
        <v>0</v>
      </c>
      <c r="Y29" s="721"/>
    </row>
    <row r="30" spans="1:28" s="320" customFormat="1" ht="16.5" customHeight="1">
      <c r="A30" s="322"/>
      <c r="C30" s="751"/>
      <c r="D30" s="751"/>
      <c r="E30" s="751"/>
      <c r="F30" s="751"/>
      <c r="G30" s="751"/>
      <c r="H30" s="751"/>
      <c r="I30" s="751"/>
      <c r="J30" s="751"/>
      <c r="K30" s="751"/>
      <c r="L30" s="751"/>
      <c r="M30" s="650"/>
      <c r="O30" s="797" t="s">
        <v>644</v>
      </c>
      <c r="P30" s="340"/>
      <c r="Q30" s="798">
        <f>Q26+Q22</f>
        <v>30863116</v>
      </c>
      <c r="R30" s="798">
        <f>R28+R24</f>
        <v>-2603253</v>
      </c>
      <c r="S30" s="799"/>
      <c r="U30" s="780" t="s">
        <v>645</v>
      </c>
      <c r="V30" s="314"/>
      <c r="W30" s="314"/>
      <c r="X30" s="794">
        <f>SUM(X28:X29)</f>
        <v>0</v>
      </c>
      <c r="Y30" s="721"/>
    </row>
    <row r="31" spans="1:28" s="320" customFormat="1" ht="12.75" customHeight="1">
      <c r="A31" s="322"/>
      <c r="B31" s="772" t="s">
        <v>238</v>
      </c>
      <c r="C31" s="772"/>
      <c r="D31" s="769">
        <f t="shared" ref="D31:L31" si="5">D36-SUM(D32:D35)</f>
        <v>53715</v>
      </c>
      <c r="E31" s="769">
        <f t="shared" si="5"/>
        <v>923103</v>
      </c>
      <c r="F31" s="769">
        <f t="shared" si="5"/>
        <v>1846347</v>
      </c>
      <c r="G31" s="769">
        <f t="shared" si="5"/>
        <v>0</v>
      </c>
      <c r="H31" s="769">
        <f t="shared" si="5"/>
        <v>0</v>
      </c>
      <c r="I31" s="769">
        <f t="shared" si="5"/>
        <v>0</v>
      </c>
      <c r="J31" s="769">
        <f t="shared" si="5"/>
        <v>0</v>
      </c>
      <c r="K31" s="769">
        <f t="shared" si="5"/>
        <v>0</v>
      </c>
      <c r="L31" s="769">
        <f t="shared" si="5"/>
        <v>0</v>
      </c>
      <c r="M31" s="769">
        <f t="shared" ref="M31:M42" si="6">D31+E31+F31+G31+H31+I31+J31+K31+L31</f>
        <v>2823165</v>
      </c>
      <c r="O31" s="778" t="s">
        <v>646</v>
      </c>
      <c r="Q31" s="406"/>
      <c r="S31" s="782"/>
      <c r="U31" s="800" t="s">
        <v>647</v>
      </c>
      <c r="V31" s="801"/>
      <c r="W31" s="801"/>
      <c r="X31" s="802">
        <f>X27+X30</f>
        <v>236246</v>
      </c>
      <c r="Y31" s="777"/>
      <c r="Z31" s="492"/>
    </row>
    <row r="32" spans="1:28" s="320" customFormat="1" ht="12.75" customHeight="1">
      <c r="A32" s="322"/>
      <c r="B32" s="320" t="s">
        <v>592</v>
      </c>
      <c r="D32" s="762">
        <f>Input!$ER$6</f>
        <v>0</v>
      </c>
      <c r="E32" s="762">
        <f>Input!$ES$6</f>
        <v>0</v>
      </c>
      <c r="F32" s="762">
        <f>Input!$ET$6</f>
        <v>0</v>
      </c>
      <c r="G32" s="762">
        <f>Input!$EU$6</f>
        <v>0</v>
      </c>
      <c r="H32" s="762">
        <f>Input!$EV$6</f>
        <v>0</v>
      </c>
      <c r="I32" s="762">
        <f>Input!$EW$6</f>
        <v>0</v>
      </c>
      <c r="J32" s="762">
        <f>Input!$EX$6</f>
        <v>0</v>
      </c>
      <c r="K32" s="762">
        <f>Input!$EY$6</f>
        <v>0</v>
      </c>
      <c r="L32" s="762">
        <f>Input!$EZ$6</f>
        <v>0</v>
      </c>
      <c r="M32" s="650">
        <f t="shared" si="6"/>
        <v>0</v>
      </c>
      <c r="O32" s="803" t="s">
        <v>648</v>
      </c>
      <c r="P32" s="804"/>
      <c r="Q32" s="805">
        <f>Input!$TI$6</f>
        <v>30863116</v>
      </c>
      <c r="R32" s="804"/>
      <c r="S32" s="806"/>
      <c r="U32" s="776"/>
      <c r="Y32" s="777"/>
      <c r="Z32" s="492"/>
    </row>
    <row r="33" spans="1:28" s="320" customFormat="1">
      <c r="A33" s="322"/>
      <c r="B33" s="320" t="s">
        <v>593</v>
      </c>
      <c r="D33" s="762">
        <f>Input!$FA$6</f>
        <v>0</v>
      </c>
      <c r="E33" s="762">
        <f>Input!$FB$6</f>
        <v>0</v>
      </c>
      <c r="F33" s="762">
        <f>Input!$FC$6</f>
        <v>0</v>
      </c>
      <c r="G33" s="762">
        <f>Input!$FD$6</f>
        <v>0</v>
      </c>
      <c r="H33" s="762">
        <f>Input!$FE$6</f>
        <v>0</v>
      </c>
      <c r="I33" s="762">
        <f>Input!$FF$6</f>
        <v>0</v>
      </c>
      <c r="J33" s="762">
        <f>Input!$FG$6</f>
        <v>0</v>
      </c>
      <c r="K33" s="762">
        <f>Input!$FH$6</f>
        <v>0</v>
      </c>
      <c r="L33" s="762">
        <f>Input!$FI$6</f>
        <v>0</v>
      </c>
      <c r="M33" s="650">
        <f t="shared" si="6"/>
        <v>0</v>
      </c>
      <c r="O33" s="803"/>
      <c r="P33" s="804"/>
      <c r="Q33" s="723"/>
      <c r="R33" s="804"/>
      <c r="S33" s="806"/>
      <c r="U33" s="776" t="s">
        <v>649</v>
      </c>
      <c r="X33" s="492">
        <f>(M19+M32)*-1</f>
        <v>6687827</v>
      </c>
      <c r="Y33" s="777"/>
    </row>
    <row r="34" spans="1:28" s="320" customFormat="1">
      <c r="A34" s="322"/>
      <c r="B34" s="320" t="s">
        <v>594</v>
      </c>
      <c r="D34" s="762">
        <f>Input!$FJ$6</f>
        <v>0</v>
      </c>
      <c r="E34" s="762">
        <f>Input!$FK$6</f>
        <v>0</v>
      </c>
      <c r="F34" s="762">
        <f>Input!$FL$6</f>
        <v>0</v>
      </c>
      <c r="G34" s="762">
        <f>Input!$FM$6</f>
        <v>0</v>
      </c>
      <c r="H34" s="762">
        <f>Input!$FN$6</f>
        <v>0</v>
      </c>
      <c r="I34" s="762">
        <f>Input!$FO$6</f>
        <v>0</v>
      </c>
      <c r="J34" s="762">
        <f>Input!$FP$6</f>
        <v>0</v>
      </c>
      <c r="K34" s="762">
        <f>Input!$FQ$6</f>
        <v>0</v>
      </c>
      <c r="L34" s="762">
        <f>Input!$FR$6</f>
        <v>0</v>
      </c>
      <c r="M34" s="650">
        <f t="shared" si="6"/>
        <v>0</v>
      </c>
      <c r="O34" s="807" t="s">
        <v>650</v>
      </c>
      <c r="P34" s="808"/>
      <c r="Q34" s="320" t="s">
        <v>651</v>
      </c>
      <c r="R34" s="805">
        <f>Input!$TJ$6</f>
        <v>-2603253</v>
      </c>
      <c r="S34" s="809"/>
      <c r="U34" s="776" t="s">
        <v>652</v>
      </c>
      <c r="X34" s="739">
        <f>(M24+M37)*-1</f>
        <v>0</v>
      </c>
      <c r="Y34" s="777"/>
    </row>
    <row r="35" spans="1:28" s="320" customFormat="1" ht="13.8" thickBot="1">
      <c r="A35" s="322"/>
      <c r="B35" s="320" t="s">
        <v>595</v>
      </c>
      <c r="D35" s="762">
        <f>Input!$FS$6</f>
        <v>0</v>
      </c>
      <c r="E35" s="762">
        <f>Input!$FT$6</f>
        <v>0</v>
      </c>
      <c r="F35" s="762">
        <f>Input!$FU$6</f>
        <v>0</v>
      </c>
      <c r="G35" s="762">
        <f>Input!$FV$6</f>
        <v>0</v>
      </c>
      <c r="H35" s="762">
        <f>Input!$FW$6</f>
        <v>0</v>
      </c>
      <c r="I35" s="762">
        <f>Input!$FX$6</f>
        <v>0</v>
      </c>
      <c r="J35" s="762">
        <f>Input!$FY$6</f>
        <v>0</v>
      </c>
      <c r="K35" s="762">
        <f>Input!$FZ$6</f>
        <v>0</v>
      </c>
      <c r="L35" s="762">
        <f>Input!$GA$6</f>
        <v>0</v>
      </c>
      <c r="M35" s="650">
        <f t="shared" si="6"/>
        <v>0</v>
      </c>
      <c r="O35" s="810" t="s">
        <v>653</v>
      </c>
      <c r="P35" s="811"/>
      <c r="Q35" s="812">
        <f>Q30-Q32</f>
        <v>0</v>
      </c>
      <c r="R35" s="813">
        <f>R30-R34</f>
        <v>0</v>
      </c>
      <c r="S35" s="814"/>
      <c r="U35" s="780" t="s">
        <v>654</v>
      </c>
      <c r="V35" s="314"/>
      <c r="W35" s="314"/>
      <c r="X35" s="781">
        <f>SUM(X33:X34)</f>
        <v>6687827</v>
      </c>
      <c r="Y35" s="721"/>
    </row>
    <row r="36" spans="1:28" s="320" customFormat="1" ht="13.8" thickTop="1">
      <c r="A36" s="322"/>
      <c r="B36" s="772" t="s">
        <v>239</v>
      </c>
      <c r="C36" s="784"/>
      <c r="D36" s="785">
        <f>Input!$GB$6</f>
        <v>53715</v>
      </c>
      <c r="E36" s="785">
        <f>Input!$GC$6</f>
        <v>923103</v>
      </c>
      <c r="F36" s="785">
        <f>Input!$GD$6</f>
        <v>1846347</v>
      </c>
      <c r="G36" s="785">
        <f>Input!$GE$6</f>
        <v>0</v>
      </c>
      <c r="H36" s="785">
        <f>Input!$GF$6</f>
        <v>0</v>
      </c>
      <c r="I36" s="785">
        <f>Input!$GG$6</f>
        <v>0</v>
      </c>
      <c r="J36" s="785">
        <f>Input!$GH$6</f>
        <v>0</v>
      </c>
      <c r="K36" s="785">
        <f>Input!$GI$6</f>
        <v>0</v>
      </c>
      <c r="L36" s="785">
        <f>Input!$GJ$6</f>
        <v>0</v>
      </c>
      <c r="M36" s="786">
        <f t="shared" si="6"/>
        <v>2823165</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Input!$GK$6</f>
        <v>0</v>
      </c>
      <c r="E37" s="762">
        <f>Input!$GL$6</f>
        <v>0</v>
      </c>
      <c r="F37" s="762">
        <f>Input!$GM$6</f>
        <v>0</v>
      </c>
      <c r="G37" s="762">
        <f>Input!$GN$6</f>
        <v>0</v>
      </c>
      <c r="H37" s="762">
        <f>Input!$GO$6</f>
        <v>0</v>
      </c>
      <c r="I37" s="762">
        <f>Input!$GP$6</f>
        <v>0</v>
      </c>
      <c r="J37" s="762">
        <f>Input!$GQ$6</f>
        <v>0</v>
      </c>
      <c r="K37" s="762">
        <f>Input!$GR$6</f>
        <v>0</v>
      </c>
      <c r="L37" s="762">
        <f>Input!$GS$6</f>
        <v>0</v>
      </c>
      <c r="M37" s="650">
        <f t="shared" si="6"/>
        <v>0</v>
      </c>
      <c r="U37" s="776" t="s">
        <v>656</v>
      </c>
      <c r="X37" s="739">
        <f>(M25+M38)*-1</f>
        <v>0</v>
      </c>
      <c r="Y37" s="721"/>
    </row>
    <row r="38" spans="1:28" s="320" customFormat="1">
      <c r="A38" s="322"/>
      <c r="B38" s="320" t="s">
        <v>597</v>
      </c>
      <c r="C38" s="751"/>
      <c r="D38" s="762">
        <f>Input!$GT$6</f>
        <v>0</v>
      </c>
      <c r="E38" s="762">
        <f>Input!$GU$6</f>
        <v>0</v>
      </c>
      <c r="F38" s="762">
        <f>Input!$GV$6</f>
        <v>0</v>
      </c>
      <c r="G38" s="762">
        <f>Input!$GW$6</f>
        <v>0</v>
      </c>
      <c r="H38" s="762">
        <f>Input!$GX$6</f>
        <v>0</v>
      </c>
      <c r="I38" s="762">
        <f>Input!$GY$6</f>
        <v>0</v>
      </c>
      <c r="J38" s="762">
        <f>Input!$GZ$6</f>
        <v>0</v>
      </c>
      <c r="K38" s="762">
        <f>Input!$HA$6</f>
        <v>0</v>
      </c>
      <c r="L38" s="762">
        <f>Input!$HB$6</f>
        <v>0</v>
      </c>
      <c r="M38" s="650">
        <f t="shared" si="6"/>
        <v>0</v>
      </c>
      <c r="U38" s="780" t="s">
        <v>657</v>
      </c>
      <c r="V38" s="314"/>
      <c r="W38" s="314"/>
      <c r="X38" s="781">
        <f>SUM(X36:X37)</f>
        <v>0</v>
      </c>
      <c r="Y38" s="777"/>
    </row>
    <row r="39" spans="1:28" s="320" customFormat="1">
      <c r="A39" s="322"/>
      <c r="B39" s="320" t="s">
        <v>598</v>
      </c>
      <c r="C39" s="751"/>
      <c r="D39" s="762">
        <f>Input!$HC$6</f>
        <v>0</v>
      </c>
      <c r="E39" s="762">
        <f>Input!$HD$6</f>
        <v>0</v>
      </c>
      <c r="F39" s="762">
        <f>Input!$HE$6</f>
        <v>0</v>
      </c>
      <c r="G39" s="762">
        <f>Input!$HF$6</f>
        <v>0</v>
      </c>
      <c r="H39" s="762">
        <f>Input!$HG$6</f>
        <v>0</v>
      </c>
      <c r="I39" s="762">
        <f>Input!$HH$6</f>
        <v>0</v>
      </c>
      <c r="J39" s="762">
        <f>Input!$HI$6</f>
        <v>0</v>
      </c>
      <c r="K39" s="762">
        <f>Input!$HJ$6</f>
        <v>0</v>
      </c>
      <c r="L39" s="762">
        <f>Input!$HK$6</f>
        <v>0</v>
      </c>
      <c r="M39" s="650">
        <f t="shared" si="6"/>
        <v>0</v>
      </c>
      <c r="U39" s="776" t="s">
        <v>658</v>
      </c>
      <c r="X39" s="492"/>
      <c r="Y39" s="777">
        <f>X38+X35</f>
        <v>6687827</v>
      </c>
    </row>
    <row r="40" spans="1:28" s="320" customFormat="1">
      <c r="A40" s="322"/>
      <c r="B40" s="320" t="s">
        <v>599</v>
      </c>
      <c r="C40" s="751"/>
      <c r="D40" s="762">
        <f>Input!$HL$6</f>
        <v>0</v>
      </c>
      <c r="E40" s="762">
        <f>Input!$HM$6</f>
        <v>0</v>
      </c>
      <c r="F40" s="762">
        <f>Input!$HN$6</f>
        <v>0</v>
      </c>
      <c r="G40" s="762">
        <f>Input!$HO$6</f>
        <v>0</v>
      </c>
      <c r="H40" s="762">
        <f>Input!$HP$6</f>
        <v>0</v>
      </c>
      <c r="I40" s="762">
        <f>Input!$HQ$6</f>
        <v>0</v>
      </c>
      <c r="J40" s="762">
        <f>Input!$HR$6</f>
        <v>0</v>
      </c>
      <c r="K40" s="762">
        <f>Input!$HS$6</f>
        <v>0</v>
      </c>
      <c r="L40" s="762">
        <f>Input!$HT$6</f>
        <v>0</v>
      </c>
      <c r="M40" s="650">
        <f t="shared" si="6"/>
        <v>0</v>
      </c>
      <c r="U40" s="776"/>
      <c r="Y40" s="721"/>
    </row>
    <row r="41" spans="1:28" s="320" customFormat="1">
      <c r="A41" s="322"/>
      <c r="B41" s="320" t="s">
        <v>600</v>
      </c>
      <c r="C41" s="751"/>
      <c r="D41" s="762">
        <f>Input!$HU$6</f>
        <v>-5460</v>
      </c>
      <c r="E41" s="762">
        <f>Input!$HV$6</f>
        <v>-61420</v>
      </c>
      <c r="F41" s="762">
        <f>Input!$HW$6</f>
        <v>-631724</v>
      </c>
      <c r="G41" s="762">
        <f>Input!$HX$6</f>
        <v>0</v>
      </c>
      <c r="H41" s="762">
        <f>Input!$HY$6</f>
        <v>0</v>
      </c>
      <c r="I41" s="762">
        <f>Input!$HZ$6</f>
        <v>0</v>
      </c>
      <c r="J41" s="762">
        <f>Input!$IA$6</f>
        <v>0</v>
      </c>
      <c r="K41" s="762">
        <f>Input!$IB$6</f>
        <v>0</v>
      </c>
      <c r="L41" s="762">
        <f>Input!$IC$6</f>
        <v>0</v>
      </c>
      <c r="M41" s="650">
        <f t="shared" si="6"/>
        <v>-698604</v>
      </c>
      <c r="U41" s="776" t="s">
        <v>639</v>
      </c>
      <c r="X41" s="492">
        <f>(M21+M34)*-1</f>
        <v>0</v>
      </c>
      <c r="Y41" s="777"/>
    </row>
    <row r="42" spans="1:28" s="320" customFormat="1">
      <c r="A42" s="322"/>
      <c r="B42" s="795" t="s">
        <v>166</v>
      </c>
      <c r="C42" s="784"/>
      <c r="D42" s="769">
        <f t="shared" ref="D42:L42" si="7">SUM(D36:D41)</f>
        <v>48255</v>
      </c>
      <c r="E42" s="769">
        <f t="shared" si="7"/>
        <v>861683</v>
      </c>
      <c r="F42" s="769">
        <f t="shared" si="7"/>
        <v>1214623</v>
      </c>
      <c r="G42" s="769">
        <f t="shared" si="7"/>
        <v>0</v>
      </c>
      <c r="H42" s="769">
        <f t="shared" si="7"/>
        <v>0</v>
      </c>
      <c r="I42" s="769">
        <f t="shared" si="7"/>
        <v>0</v>
      </c>
      <c r="J42" s="769">
        <f t="shared" si="7"/>
        <v>0</v>
      </c>
      <c r="K42" s="769">
        <f t="shared" si="7"/>
        <v>0</v>
      </c>
      <c r="L42" s="769">
        <f t="shared" si="7"/>
        <v>0</v>
      </c>
      <c r="M42" s="769">
        <f t="shared" si="6"/>
        <v>2124561</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8120743</v>
      </c>
      <c r="E44" s="769">
        <f t="shared" si="8"/>
        <v>18924497</v>
      </c>
      <c r="F44" s="769">
        <f t="shared" si="8"/>
        <v>1214623</v>
      </c>
      <c r="G44" s="769">
        <f t="shared" si="8"/>
        <v>0</v>
      </c>
      <c r="H44" s="769">
        <f t="shared" si="8"/>
        <v>0</v>
      </c>
      <c r="I44" s="769">
        <f t="shared" si="8"/>
        <v>0</v>
      </c>
      <c r="J44" s="769">
        <f t="shared" si="8"/>
        <v>0</v>
      </c>
      <c r="K44" s="769">
        <f t="shared" si="8"/>
        <v>0</v>
      </c>
      <c r="L44" s="769">
        <f t="shared" si="8"/>
        <v>0</v>
      </c>
      <c r="M44" s="769">
        <f>D44+E44+F44+G44+H44+I44+J44+K44+L44</f>
        <v>28259863</v>
      </c>
      <c r="U44" s="776"/>
      <c r="Y44" s="777"/>
    </row>
    <row r="45" spans="1:28">
      <c r="A45" s="460">
        <v>28</v>
      </c>
      <c r="D45" s="723"/>
      <c r="E45" s="723"/>
      <c r="F45" s="723"/>
      <c r="G45" s="723"/>
      <c r="H45" s="723"/>
      <c r="I45" s="723"/>
      <c r="J45" s="723"/>
      <c r="K45" s="723"/>
      <c r="L45" s="723"/>
      <c r="M45" s="723"/>
      <c r="N45" s="320"/>
      <c r="R45" s="752"/>
      <c r="S45" s="752"/>
      <c r="T45" s="752"/>
      <c r="U45" s="776" t="s">
        <v>652</v>
      </c>
      <c r="X45" s="492">
        <f>(M24+M37)*-1</f>
        <v>0</v>
      </c>
      <c r="Y45" s="777"/>
      <c r="Z45" s="752"/>
      <c r="AA45" s="752"/>
      <c r="AB45" s="752"/>
    </row>
    <row r="46" spans="1:28">
      <c r="A46" s="460">
        <v>29</v>
      </c>
      <c r="B46" s="771" t="s">
        <v>162</v>
      </c>
      <c r="C46" s="771"/>
      <c r="D46" s="723"/>
      <c r="E46" s="723"/>
      <c r="F46" s="723"/>
      <c r="G46" s="723"/>
      <c r="H46" s="723"/>
      <c r="I46" s="723"/>
      <c r="J46" s="723"/>
      <c r="K46" s="723"/>
      <c r="L46" s="723"/>
      <c r="M46" s="723"/>
      <c r="N46" s="320"/>
      <c r="R46" s="752"/>
      <c r="S46" s="752"/>
      <c r="T46" s="752"/>
      <c r="U46" s="776" t="s">
        <v>656</v>
      </c>
      <c r="X46" s="739">
        <f>(M25+M38)*-1</f>
        <v>0</v>
      </c>
      <c r="Y46" s="777"/>
      <c r="Z46" s="752"/>
      <c r="AA46" s="752"/>
      <c r="AB46" s="752"/>
    </row>
    <row r="47" spans="1:28">
      <c r="A47" s="460">
        <v>30</v>
      </c>
      <c r="B47" s="768" t="s">
        <v>168</v>
      </c>
      <c r="C47" s="768"/>
      <c r="D47" s="815">
        <f>Input!$ID$6</f>
        <v>0</v>
      </c>
      <c r="E47" s="815">
        <f>Input!$IE$6</f>
        <v>117467663</v>
      </c>
      <c r="F47" s="815">
        <f>Input!$IF$6</f>
        <v>0</v>
      </c>
      <c r="G47" s="815">
        <f>Input!$IG$6</f>
        <v>204993958</v>
      </c>
      <c r="H47" s="815">
        <f>Input!$IH$6</f>
        <v>0</v>
      </c>
      <c r="I47" s="815">
        <f>Input!$II$6</f>
        <v>0</v>
      </c>
      <c r="J47" s="815">
        <f>Input!$IJ$6</f>
        <v>0</v>
      </c>
      <c r="K47" s="815">
        <f>Input!$IK$6</f>
        <v>0</v>
      </c>
      <c r="L47" s="815">
        <f>Input!$IL$6</f>
        <v>0</v>
      </c>
      <c r="M47" s="769">
        <f>D47+E47+F47+G47+H47+I47+J47+K47+L47</f>
        <v>322461621</v>
      </c>
      <c r="N47" s="320"/>
      <c r="R47" s="752"/>
      <c r="S47" s="752"/>
      <c r="T47" s="752"/>
      <c r="U47" s="780" t="s">
        <v>660</v>
      </c>
      <c r="V47" s="314"/>
      <c r="W47" s="314"/>
      <c r="X47" s="781">
        <f>SUM(X45:X46)</f>
        <v>0</v>
      </c>
      <c r="Y47" s="721"/>
      <c r="Z47" s="752"/>
      <c r="AA47" s="752"/>
      <c r="AB47" s="752"/>
    </row>
    <row r="48" spans="1:28">
      <c r="A48" s="460">
        <v>31</v>
      </c>
      <c r="D48" s="723"/>
      <c r="E48" s="723"/>
      <c r="F48" s="723"/>
      <c r="G48" s="723"/>
      <c r="H48" s="723"/>
      <c r="I48" s="723"/>
      <c r="J48" s="723"/>
      <c r="K48" s="723"/>
      <c r="L48" s="723"/>
      <c r="M48" s="723"/>
      <c r="O48" s="406"/>
      <c r="U48" s="776"/>
      <c r="Y48" s="802">
        <f>X43-X47</f>
        <v>0</v>
      </c>
    </row>
    <row r="49" spans="1:28">
      <c r="A49" s="460">
        <v>32</v>
      </c>
      <c r="B49" s="771" t="s">
        <v>163</v>
      </c>
      <c r="C49" s="771"/>
      <c r="D49" s="723"/>
      <c r="E49" s="723"/>
      <c r="F49" s="723"/>
      <c r="G49" s="723"/>
      <c r="H49" s="723"/>
      <c r="I49" s="723"/>
      <c r="J49" s="723"/>
      <c r="K49" s="723"/>
      <c r="L49" s="723"/>
      <c r="M49" s="723"/>
      <c r="O49" s="406"/>
      <c r="U49" s="816" t="s">
        <v>262</v>
      </c>
      <c r="V49" s="801"/>
      <c r="W49" s="817"/>
      <c r="X49" s="817"/>
      <c r="Y49" s="802">
        <f>SUM(Y23:Y48)</f>
        <v>37550943</v>
      </c>
    </row>
    <row r="50" spans="1:28">
      <c r="A50" s="460">
        <v>33</v>
      </c>
      <c r="B50" s="768" t="s">
        <v>200</v>
      </c>
      <c r="C50" s="768"/>
      <c r="D50" s="815">
        <f>Input!$IM$6</f>
        <v>0</v>
      </c>
      <c r="E50" s="815">
        <f>Input!$IN$6</f>
        <v>811029427</v>
      </c>
      <c r="F50" s="815">
        <f>Input!$IO$6</f>
        <v>0</v>
      </c>
      <c r="G50" s="815">
        <f>Input!$IP$6</f>
        <v>0</v>
      </c>
      <c r="H50" s="815">
        <f>Input!$IQ$6</f>
        <v>0</v>
      </c>
      <c r="I50" s="815">
        <f>Input!$IR$6</f>
        <v>0</v>
      </c>
      <c r="J50" s="815">
        <f>Input!$IS$6</f>
        <v>0</v>
      </c>
      <c r="K50" s="815">
        <f>Input!$IT$6</f>
        <v>0</v>
      </c>
      <c r="L50" s="815">
        <f>Input!$IU$6</f>
        <v>0</v>
      </c>
      <c r="M50" s="769">
        <f>D50+E50+F50+G50+H50+I50+J50+K50+L50</f>
        <v>811029427</v>
      </c>
      <c r="O50" s="406"/>
      <c r="U50" s="818"/>
    </row>
    <row r="51" spans="1:28">
      <c r="A51" s="460">
        <v>34</v>
      </c>
      <c r="D51" s="723"/>
      <c r="E51" s="723"/>
      <c r="F51" s="723"/>
      <c r="G51" s="723"/>
      <c r="H51" s="723"/>
      <c r="I51" s="723"/>
      <c r="J51" s="723"/>
      <c r="K51" s="723"/>
      <c r="L51" s="723"/>
      <c r="M51" s="723"/>
      <c r="X51" s="322"/>
    </row>
    <row r="52" spans="1:28">
      <c r="A52" s="460">
        <v>35</v>
      </c>
      <c r="B52" s="771" t="s">
        <v>164</v>
      </c>
      <c r="C52" s="771"/>
      <c r="D52" s="723"/>
      <c r="E52" s="723"/>
      <c r="F52" s="723"/>
      <c r="G52" s="723"/>
      <c r="H52" s="723"/>
      <c r="I52" s="723"/>
      <c r="J52" s="723"/>
      <c r="K52" s="723"/>
      <c r="L52" s="723"/>
      <c r="M52" s="723"/>
      <c r="X52" s="322"/>
    </row>
    <row r="53" spans="1:28">
      <c r="A53" s="460">
        <v>36</v>
      </c>
      <c r="B53" s="768" t="s">
        <v>200</v>
      </c>
      <c r="C53" s="768"/>
      <c r="D53" s="815">
        <f>Input!$IV$6</f>
        <v>0</v>
      </c>
      <c r="E53" s="815">
        <f>Input!$IW$6</f>
        <v>2096225524</v>
      </c>
      <c r="F53" s="815">
        <f>Input!$IX$6</f>
        <v>0</v>
      </c>
      <c r="G53" s="815">
        <f>Input!$IY$6</f>
        <v>0</v>
      </c>
      <c r="H53" s="815">
        <f>Input!$IZ$6</f>
        <v>0</v>
      </c>
      <c r="I53" s="815">
        <f>Input!$JA$6</f>
        <v>0</v>
      </c>
      <c r="J53" s="815">
        <f>Input!$JB$6</f>
        <v>0</v>
      </c>
      <c r="K53" s="815">
        <f>Input!$JC$6</f>
        <v>0</v>
      </c>
      <c r="L53" s="815">
        <f>Input!$JD$6</f>
        <v>0</v>
      </c>
      <c r="M53" s="769">
        <f>D53+E53+F53+G53+H53+I53+J53+K53+L53</f>
        <v>2096225524</v>
      </c>
      <c r="X53" s="322"/>
    </row>
    <row r="54" spans="1:28">
      <c r="A54" s="460">
        <v>37</v>
      </c>
      <c r="D54" s="723"/>
      <c r="E54" s="723"/>
      <c r="F54" s="723"/>
      <c r="G54" s="723"/>
      <c r="H54" s="723"/>
      <c r="I54" s="723"/>
      <c r="J54" s="723"/>
      <c r="K54" s="723"/>
      <c r="L54" s="723"/>
      <c r="M54" s="723"/>
      <c r="X54" s="322"/>
    </row>
    <row r="55" spans="1:28">
      <c r="A55" s="460">
        <v>38</v>
      </c>
      <c r="B55" s="771" t="s">
        <v>171</v>
      </c>
      <c r="C55" s="771"/>
      <c r="D55" s="723"/>
      <c r="E55" s="723"/>
      <c r="F55" s="723"/>
      <c r="G55" s="723"/>
      <c r="H55" s="723"/>
      <c r="I55" s="723"/>
      <c r="J55" s="723"/>
      <c r="K55" s="723"/>
      <c r="L55" s="723"/>
      <c r="M55" s="723"/>
      <c r="X55" s="322"/>
    </row>
    <row r="56" spans="1:28">
      <c r="A56" s="460">
        <v>39</v>
      </c>
      <c r="B56" s="752" t="s">
        <v>172</v>
      </c>
      <c r="D56" s="762">
        <f>Input!$JE$6</f>
        <v>122584</v>
      </c>
      <c r="E56" s="762">
        <f>Input!$JF$6</f>
        <v>142164926</v>
      </c>
      <c r="F56" s="762">
        <f>Input!$JG$6</f>
        <v>1738629</v>
      </c>
      <c r="G56" s="762">
        <f>Input!$JH$6</f>
        <v>119342199</v>
      </c>
      <c r="H56" s="762">
        <f>Input!$JI$6</f>
        <v>17436</v>
      </c>
      <c r="I56" s="762">
        <f>Input!$JJ$6</f>
        <v>1265209</v>
      </c>
      <c r="J56" s="762">
        <f>Input!$JK$6</f>
        <v>0</v>
      </c>
      <c r="K56" s="762">
        <f>Input!$JL$6</f>
        <v>0</v>
      </c>
      <c r="L56" s="762">
        <f>Input!$JM$6</f>
        <v>0</v>
      </c>
      <c r="M56" s="723">
        <f t="shared" ref="M56:M62" si="9">D56+E56+F56+G56+H56+I56+J56+K56+L56</f>
        <v>264650983</v>
      </c>
      <c r="X56" s="322"/>
    </row>
    <row r="57" spans="1:28">
      <c r="A57" s="460">
        <v>40</v>
      </c>
      <c r="B57" s="752" t="s">
        <v>173</v>
      </c>
      <c r="D57" s="762">
        <f>Input!$JN$6</f>
        <v>0</v>
      </c>
      <c r="E57" s="762">
        <f>Input!$JO$6</f>
        <v>152065582</v>
      </c>
      <c r="F57" s="762">
        <f>Input!$JP$6</f>
        <v>0</v>
      </c>
      <c r="G57" s="762">
        <f>Input!$JQ$6</f>
        <v>510426</v>
      </c>
      <c r="H57" s="762">
        <f>Input!$JR$6</f>
        <v>0</v>
      </c>
      <c r="I57" s="762">
        <f>Input!$JS$6</f>
        <v>0</v>
      </c>
      <c r="J57" s="762">
        <f>Input!$JT$6</f>
        <v>0</v>
      </c>
      <c r="K57" s="762">
        <f>Input!$JU$6</f>
        <v>0</v>
      </c>
      <c r="L57" s="762">
        <f>Input!$JV$6</f>
        <v>0</v>
      </c>
      <c r="M57" s="723">
        <f t="shared" si="9"/>
        <v>152576008</v>
      </c>
      <c r="P57" s="819"/>
    </row>
    <row r="58" spans="1:28">
      <c r="A58" s="460">
        <v>41</v>
      </c>
      <c r="B58" s="752" t="s">
        <v>174</v>
      </c>
      <c r="D58" s="762">
        <f>Input!$JW$6</f>
        <v>0</v>
      </c>
      <c r="E58" s="762">
        <f>Input!$JX$6</f>
        <v>244629013</v>
      </c>
      <c r="F58" s="762">
        <f>Input!$JY$6</f>
        <v>0</v>
      </c>
      <c r="G58" s="762">
        <f>Input!$JZ$6</f>
        <v>237859010</v>
      </c>
      <c r="H58" s="762">
        <f>Input!$KA$6</f>
        <v>0</v>
      </c>
      <c r="I58" s="762">
        <f>Input!$KB$6</f>
        <v>0</v>
      </c>
      <c r="J58" s="762">
        <f>Input!$KC$6</f>
        <v>0</v>
      </c>
      <c r="K58" s="762">
        <f>Input!$KD$6</f>
        <v>0</v>
      </c>
      <c r="L58" s="762">
        <f>Input!$KE$6</f>
        <v>0</v>
      </c>
      <c r="M58" s="723">
        <f t="shared" si="9"/>
        <v>482488023</v>
      </c>
      <c r="O58" s="406"/>
    </row>
    <row r="59" spans="1:28" ht="13.8" thickBot="1">
      <c r="A59" s="460">
        <v>42</v>
      </c>
      <c r="B59" s="752" t="s">
        <v>601</v>
      </c>
      <c r="D59" s="762">
        <f>Input!$KF$6</f>
        <v>0</v>
      </c>
      <c r="E59" s="762">
        <f>Input!$KG$6</f>
        <v>13109125</v>
      </c>
      <c r="F59" s="762">
        <f>Input!$KH$6</f>
        <v>0</v>
      </c>
      <c r="G59" s="762">
        <f>Input!$KI$6</f>
        <v>-854166</v>
      </c>
      <c r="H59" s="762">
        <f>Input!$KJ$6</f>
        <v>0</v>
      </c>
      <c r="I59" s="762">
        <f>Input!$KK$6</f>
        <v>0</v>
      </c>
      <c r="J59" s="762">
        <f>Input!$KL$6</f>
        <v>0</v>
      </c>
      <c r="K59" s="762">
        <f>Input!$KM$6</f>
        <v>0</v>
      </c>
      <c r="L59" s="762">
        <f>Input!$KN$6</f>
        <v>0</v>
      </c>
      <c r="M59" s="723">
        <f t="shared" si="9"/>
        <v>12254959</v>
      </c>
      <c r="O59" s="406"/>
    </row>
    <row r="60" spans="1:28" ht="15" thickTop="1" thickBot="1">
      <c r="A60" s="460">
        <v>43</v>
      </c>
      <c r="B60" s="752" t="s">
        <v>471</v>
      </c>
      <c r="D60" s="762">
        <f>Input!$KO$6</f>
        <v>0</v>
      </c>
      <c r="E60" s="762">
        <f>Input!$KP$6</f>
        <v>0</v>
      </c>
      <c r="F60" s="762">
        <f>Input!$KQ$6</f>
        <v>27911529</v>
      </c>
      <c r="G60" s="762">
        <f>Input!$KR$6</f>
        <v>0</v>
      </c>
      <c r="H60" s="762">
        <f>Input!$KS$6</f>
        <v>0</v>
      </c>
      <c r="I60" s="762">
        <f>Input!$KT$6</f>
        <v>0</v>
      </c>
      <c r="J60" s="762">
        <f>Input!$KU$6</f>
        <v>0</v>
      </c>
      <c r="K60" s="762">
        <f>Input!$KV$6</f>
        <v>0</v>
      </c>
      <c r="L60" s="762">
        <f>Input!$KW$6</f>
        <v>0</v>
      </c>
      <c r="M60" s="723">
        <f t="shared" si="9"/>
        <v>27911529</v>
      </c>
      <c r="O60" s="1206" t="s">
        <v>661</v>
      </c>
      <c r="P60" s="1207"/>
      <c r="Q60" s="1208"/>
      <c r="R60" s="1208"/>
      <c r="S60" s="1209"/>
      <c r="T60" s="720"/>
      <c r="U60" s="820"/>
      <c r="V60" s="720"/>
      <c r="W60" s="1139" t="s">
        <v>662</v>
      </c>
      <c r="X60" s="1140"/>
      <c r="Y60" s="1141"/>
      <c r="Z60" s="322"/>
      <c r="AA60" s="322"/>
      <c r="AB60" s="322"/>
    </row>
    <row r="61" spans="1:28" ht="13.8" thickTop="1">
      <c r="A61" s="460">
        <v>44</v>
      </c>
      <c r="B61" s="752" t="s">
        <v>177</v>
      </c>
      <c r="D61" s="762">
        <f>Input!$KX$6</f>
        <v>141740</v>
      </c>
      <c r="E61" s="762">
        <f>Input!$KY$6</f>
        <v>271409865</v>
      </c>
      <c r="F61" s="762">
        <f>Input!$KZ$6</f>
        <v>-12928</v>
      </c>
      <c r="G61" s="762">
        <f>Input!$LA$6</f>
        <v>55999</v>
      </c>
      <c r="H61" s="762">
        <f>Input!$LB$6</f>
        <v>642</v>
      </c>
      <c r="I61" s="762">
        <f>Input!$LC$6</f>
        <v>0</v>
      </c>
      <c r="J61" s="762">
        <f>Input!$LD$6</f>
        <v>0</v>
      </c>
      <c r="K61" s="762">
        <f>Input!$LE$6</f>
        <v>0</v>
      </c>
      <c r="L61" s="762">
        <f>Input!$LF$6</f>
        <v>-813007</v>
      </c>
      <c r="M61" s="723">
        <f t="shared" si="9"/>
        <v>270782311</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c r="A62" s="460">
        <v>45</v>
      </c>
      <c r="B62" s="768" t="s">
        <v>155</v>
      </c>
      <c r="C62" s="768"/>
      <c r="D62" s="769">
        <f t="shared" ref="D62:L62" si="10">SUM(D56:D61)</f>
        <v>264324</v>
      </c>
      <c r="E62" s="769">
        <f t="shared" si="10"/>
        <v>823378511</v>
      </c>
      <c r="F62" s="769">
        <f t="shared" si="10"/>
        <v>29637230</v>
      </c>
      <c r="G62" s="769">
        <f t="shared" si="10"/>
        <v>356913468</v>
      </c>
      <c r="H62" s="769">
        <f t="shared" si="10"/>
        <v>18078</v>
      </c>
      <c r="I62" s="769">
        <f t="shared" si="10"/>
        <v>1265209</v>
      </c>
      <c r="J62" s="769">
        <f t="shared" si="10"/>
        <v>0</v>
      </c>
      <c r="K62" s="769">
        <f t="shared" si="10"/>
        <v>0</v>
      </c>
      <c r="L62" s="769">
        <f t="shared" si="10"/>
        <v>-813007</v>
      </c>
      <c r="M62" s="769">
        <f t="shared" si="9"/>
        <v>1210663813</v>
      </c>
      <c r="O62" s="1194"/>
      <c r="P62" s="1197"/>
      <c r="Q62" s="1197"/>
      <c r="R62" s="1197"/>
      <c r="S62" s="1211"/>
      <c r="T62" s="720"/>
      <c r="U62" s="1181"/>
      <c r="V62" s="720"/>
      <c r="W62" s="1191"/>
      <c r="X62" s="1183"/>
      <c r="Y62" s="1185"/>
      <c r="Z62" s="322"/>
      <c r="AA62" s="322"/>
      <c r="AB62" s="322"/>
    </row>
    <row r="63" spans="1:28">
      <c r="A63" s="460">
        <v>46</v>
      </c>
      <c r="B63" s="821" t="s">
        <v>201</v>
      </c>
      <c r="C63" s="821"/>
      <c r="D63" s="769">
        <f>D15+D44+D47+D50+D53+D62</f>
        <v>224781757</v>
      </c>
      <c r="E63" s="769">
        <f t="shared" ref="E63:M63" si="11">E15+E44+E47+E50+E53+E62</f>
        <v>3869089123</v>
      </c>
      <c r="F63" s="769">
        <f t="shared" si="11"/>
        <v>30851853</v>
      </c>
      <c r="G63" s="769">
        <f t="shared" si="11"/>
        <v>603770842</v>
      </c>
      <c r="H63" s="769">
        <f t="shared" si="11"/>
        <v>18078</v>
      </c>
      <c r="I63" s="769">
        <f t="shared" si="11"/>
        <v>1265209</v>
      </c>
      <c r="J63" s="769">
        <f t="shared" si="11"/>
        <v>0</v>
      </c>
      <c r="K63" s="769">
        <f t="shared" si="11"/>
        <v>0</v>
      </c>
      <c r="L63" s="769">
        <f t="shared" si="11"/>
        <v>-813007</v>
      </c>
      <c r="M63" s="769">
        <f t="shared" si="11"/>
        <v>4728963855</v>
      </c>
      <c r="O63" s="1194"/>
      <c r="P63" s="1197"/>
      <c r="Q63" s="1197"/>
      <c r="R63" s="1197"/>
      <c r="S63" s="1211"/>
      <c r="T63" s="720"/>
      <c r="U63" s="1181"/>
      <c r="V63" s="720"/>
      <c r="W63" s="1191"/>
      <c r="X63" s="1183"/>
      <c r="Y63" s="1185"/>
      <c r="Z63" s="322"/>
      <c r="AA63" s="322"/>
      <c r="AB63" s="322"/>
    </row>
    <row r="64" spans="1:28" ht="19.5" customHeight="1" thickBot="1">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ht="13.5" customHeight="1" thickTop="1" thickBot="1">
      <c r="A65" s="460">
        <v>48</v>
      </c>
      <c r="B65" s="823" t="s">
        <v>92</v>
      </c>
      <c r="C65" s="823"/>
      <c r="D65" s="762">
        <f>Input!$LG$6</f>
        <v>76798190</v>
      </c>
      <c r="E65" s="762">
        <f>Input!$LH$6</f>
        <v>1157351162</v>
      </c>
      <c r="F65" s="762">
        <f>Input!$LI$6</f>
        <v>0</v>
      </c>
      <c r="G65" s="762">
        <f>Input!$LJ$6</f>
        <v>8568989</v>
      </c>
      <c r="H65" s="762">
        <f>Input!$LK$6</f>
        <v>0</v>
      </c>
      <c r="I65" s="762">
        <f>Input!$LL$6</f>
        <v>0</v>
      </c>
      <c r="J65" s="762">
        <f>Input!$LM$6</f>
        <v>0</v>
      </c>
      <c r="K65" s="762">
        <f>Input!$LN$6</f>
        <v>0</v>
      </c>
      <c r="L65" s="762">
        <f>Input!$LO$6</f>
        <v>0</v>
      </c>
      <c r="M65" s="723">
        <f t="shared" ref="M65:M77" si="12">D65+E65+F65+G65+H65+I65+J65+K65+L65</f>
        <v>1242718341</v>
      </c>
      <c r="O65" s="824">
        <f>D65+E65+G65</f>
        <v>1242718341</v>
      </c>
      <c r="P65" s="825">
        <f>Input!$TK$6</f>
        <v>3635020</v>
      </c>
      <c r="Q65" s="825">
        <f>Input!$TU$6</f>
        <v>0</v>
      </c>
      <c r="R65" s="825">
        <f>Input!$UD$6</f>
        <v>0</v>
      </c>
      <c r="S65" s="826">
        <f>O65+P65-Q65-R65</f>
        <v>1246353361</v>
      </c>
      <c r="T65" s="492"/>
      <c r="U65" s="827">
        <f>D65+E65+F65+G65+J65</f>
        <v>1242718341</v>
      </c>
      <c r="V65" s="492"/>
      <c r="W65" s="828" t="s">
        <v>92</v>
      </c>
      <c r="X65" s="829">
        <f>Input!$UO$6</f>
        <v>1242718341</v>
      </c>
      <c r="Y65" s="830">
        <f t="shared" ref="Y65:Y74" si="13">X65-M65</f>
        <v>0</v>
      </c>
      <c r="Z65" s="492"/>
      <c r="AA65" s="492"/>
      <c r="AB65" s="492"/>
    </row>
    <row r="66" spans="1:28" ht="14.4" thickTop="1" thickBot="1">
      <c r="A66" s="460">
        <v>49</v>
      </c>
      <c r="B66" s="823" t="s">
        <v>179</v>
      </c>
      <c r="C66" s="823"/>
      <c r="D66" s="762">
        <f>Input!$LP$6</f>
        <v>42528278</v>
      </c>
      <c r="E66" s="762">
        <f>Input!$LQ$6</f>
        <v>54220184</v>
      </c>
      <c r="F66" s="762">
        <f>Input!$LR$6</f>
        <v>0</v>
      </c>
      <c r="G66" s="762">
        <f>Input!$LS$6</f>
        <v>385259376</v>
      </c>
      <c r="H66" s="762">
        <f>Input!$LT$6</f>
        <v>0</v>
      </c>
      <c r="I66" s="762">
        <f>Input!$LU$6</f>
        <v>0</v>
      </c>
      <c r="J66" s="762">
        <f>Input!$LV$6</f>
        <v>0</v>
      </c>
      <c r="K66" s="762">
        <f>Input!$LW$6</f>
        <v>0</v>
      </c>
      <c r="L66" s="762">
        <f>Input!$LX$6</f>
        <v>0</v>
      </c>
      <c r="M66" s="723">
        <f t="shared" si="12"/>
        <v>482007838</v>
      </c>
      <c r="O66" s="831">
        <f t="shared" ref="O66:O72" si="14">D66+E66+G66</f>
        <v>482007838</v>
      </c>
      <c r="P66" s="832">
        <f>Input!$TL$6</f>
        <v>15946267</v>
      </c>
      <c r="Q66" s="832">
        <f>Input!$TV$6</f>
        <v>3180586</v>
      </c>
      <c r="R66" s="832">
        <f>Input!$UE$6</f>
        <v>1532948</v>
      </c>
      <c r="S66" s="833">
        <f>O66+P66-Q66-R66</f>
        <v>493240571</v>
      </c>
      <c r="T66" s="492"/>
      <c r="U66" s="834">
        <f t="shared" ref="U66:U76" si="15">D66+E66+F66+G66+J66</f>
        <v>482007838</v>
      </c>
      <c r="V66" s="492"/>
      <c r="W66" s="828" t="s">
        <v>179</v>
      </c>
      <c r="X66" s="835">
        <f>Input!$UP$6</f>
        <v>482007838</v>
      </c>
      <c r="Y66" s="836">
        <f t="shared" si="13"/>
        <v>0</v>
      </c>
      <c r="Z66" s="723"/>
      <c r="AA66" s="723"/>
      <c r="AB66" s="723"/>
    </row>
    <row r="67" spans="1:28" ht="13.8" thickTop="1">
      <c r="A67" s="460">
        <v>50</v>
      </c>
      <c r="B67" s="823" t="s">
        <v>180</v>
      </c>
      <c r="C67" s="823"/>
      <c r="D67" s="762">
        <f>Input!$LY$6</f>
        <v>20062</v>
      </c>
      <c r="E67" s="762">
        <f>Input!$LZ$6</f>
        <v>26010495</v>
      </c>
      <c r="F67" s="762">
        <f>Input!$MA$6</f>
        <v>0</v>
      </c>
      <c r="G67" s="762">
        <f>Input!$MB$6</f>
        <v>932127</v>
      </c>
      <c r="H67" s="762">
        <f>Input!$MC$6</f>
        <v>0</v>
      </c>
      <c r="I67" s="762">
        <f>Input!$MD$6</f>
        <v>0</v>
      </c>
      <c r="J67" s="762">
        <f>Input!$ME$6</f>
        <v>0</v>
      </c>
      <c r="K67" s="762">
        <f>Input!$MF$6</f>
        <v>0</v>
      </c>
      <c r="L67" s="762">
        <f>Input!$MG$6</f>
        <v>0</v>
      </c>
      <c r="M67" s="723">
        <f t="shared" si="12"/>
        <v>26962684</v>
      </c>
      <c r="O67" s="831">
        <f t="shared" si="14"/>
        <v>26962684</v>
      </c>
      <c r="P67" s="832">
        <f>Input!$TM$6</f>
        <v>0</v>
      </c>
      <c r="Q67" s="832">
        <f>Input!$TW$6</f>
        <v>0</v>
      </c>
      <c r="R67" s="832">
        <f>Input!$UF$6</f>
        <v>0</v>
      </c>
      <c r="S67" s="837">
        <f t="shared" ref="S67:S72" si="16">O67+P67-Q67-R67</f>
        <v>26962684</v>
      </c>
      <c r="T67" s="723"/>
      <c r="U67" s="834">
        <f t="shared" si="15"/>
        <v>26962684</v>
      </c>
      <c r="V67" s="723"/>
      <c r="W67" s="828" t="s">
        <v>180</v>
      </c>
      <c r="X67" s="835">
        <f>Input!$UQ$6</f>
        <v>26962684</v>
      </c>
      <c r="Y67" s="836">
        <f t="shared" si="13"/>
        <v>0</v>
      </c>
      <c r="Z67" s="723"/>
      <c r="AA67" s="723"/>
      <c r="AB67" s="723"/>
    </row>
    <row r="68" spans="1:28">
      <c r="A68" s="460">
        <v>51</v>
      </c>
      <c r="B68" s="823" t="s">
        <v>164</v>
      </c>
      <c r="C68" s="823"/>
      <c r="D68" s="762">
        <f>Input!$MH$6</f>
        <v>0</v>
      </c>
      <c r="E68" s="762">
        <f>Input!$MI$6</f>
        <v>2011177395</v>
      </c>
      <c r="F68" s="762">
        <f>Input!$MJ$6</f>
        <v>0</v>
      </c>
      <c r="G68" s="762">
        <f>Input!$MK$6</f>
        <v>607438</v>
      </c>
      <c r="H68" s="762">
        <f>Input!$ML$6</f>
        <v>0</v>
      </c>
      <c r="I68" s="762">
        <f>Input!$MM$6</f>
        <v>0</v>
      </c>
      <c r="J68" s="762">
        <f>Input!$MN$6</f>
        <v>0</v>
      </c>
      <c r="K68" s="762">
        <f>Input!$MO$6</f>
        <v>0</v>
      </c>
      <c r="L68" s="762">
        <f>Input!$MP$6</f>
        <v>0</v>
      </c>
      <c r="M68" s="723">
        <f t="shared" si="12"/>
        <v>2011784833</v>
      </c>
      <c r="O68" s="831">
        <f t="shared" si="14"/>
        <v>2011784833</v>
      </c>
      <c r="P68" s="832">
        <f>Input!$TN$6</f>
        <v>2772079</v>
      </c>
      <c r="Q68" s="832">
        <f>Input!$TX$6</f>
        <v>0</v>
      </c>
      <c r="R68" s="832">
        <f>Input!$UG$6</f>
        <v>0</v>
      </c>
      <c r="S68" s="837">
        <f t="shared" si="16"/>
        <v>2014556912</v>
      </c>
      <c r="T68" s="723"/>
      <c r="U68" s="834">
        <f t="shared" si="15"/>
        <v>2011784833</v>
      </c>
      <c r="V68" s="723"/>
      <c r="W68" s="828" t="s">
        <v>164</v>
      </c>
      <c r="X68" s="835">
        <f>Input!$UR$6</f>
        <v>2011784833</v>
      </c>
      <c r="Y68" s="836">
        <f t="shared" si="13"/>
        <v>0</v>
      </c>
      <c r="Z68" s="723"/>
      <c r="AA68" s="723"/>
      <c r="AB68" s="723"/>
    </row>
    <row r="69" spans="1:28">
      <c r="A69" s="460">
        <v>52</v>
      </c>
      <c r="B69" s="823" t="s">
        <v>181</v>
      </c>
      <c r="C69" s="823"/>
      <c r="D69" s="762">
        <f>Input!$MQ$6</f>
        <v>32986879</v>
      </c>
      <c r="E69" s="762">
        <f>Input!$MR$6</f>
        <v>46829068</v>
      </c>
      <c r="F69" s="762">
        <f>Input!$MS$6</f>
        <v>0</v>
      </c>
      <c r="G69" s="762">
        <f>Input!$MT$6</f>
        <v>1250159</v>
      </c>
      <c r="H69" s="762">
        <f>Input!$MU$6</f>
        <v>0</v>
      </c>
      <c r="I69" s="762">
        <f>Input!$MV$6</f>
        <v>0</v>
      </c>
      <c r="J69" s="762">
        <f>Input!$MW$6</f>
        <v>0</v>
      </c>
      <c r="K69" s="762">
        <f>Input!$MX$6</f>
        <v>0</v>
      </c>
      <c r="L69" s="762">
        <f>Input!$MY$6</f>
        <v>0</v>
      </c>
      <c r="M69" s="723">
        <f t="shared" si="12"/>
        <v>81066106</v>
      </c>
      <c r="O69" s="831">
        <f t="shared" si="14"/>
        <v>81066106</v>
      </c>
      <c r="P69" s="832">
        <f>Input!$TO$6</f>
        <v>206604</v>
      </c>
      <c r="Q69" s="832">
        <f>Input!$TY$6</f>
        <v>0</v>
      </c>
      <c r="R69" s="832">
        <f>Input!$UH$6</f>
        <v>0</v>
      </c>
      <c r="S69" s="837">
        <f t="shared" si="16"/>
        <v>81272710</v>
      </c>
      <c r="T69" s="723"/>
      <c r="U69" s="834">
        <f t="shared" si="15"/>
        <v>81066106</v>
      </c>
      <c r="V69" s="723"/>
      <c r="W69" s="828" t="s">
        <v>181</v>
      </c>
      <c r="X69" s="835">
        <f>Input!$US$6</f>
        <v>81066106</v>
      </c>
      <c r="Y69" s="836">
        <f t="shared" si="13"/>
        <v>0</v>
      </c>
      <c r="Z69" s="723"/>
      <c r="AA69" s="723"/>
      <c r="AB69" s="723"/>
    </row>
    <row r="70" spans="1:28">
      <c r="A70" s="460">
        <v>53</v>
      </c>
      <c r="B70" s="823" t="s">
        <v>182</v>
      </c>
      <c r="C70" s="823"/>
      <c r="D70" s="762">
        <f>Input!$MZ$6</f>
        <v>450406</v>
      </c>
      <c r="E70" s="762">
        <f>Input!$NA$6</f>
        <v>1082100</v>
      </c>
      <c r="F70" s="762">
        <f>Input!$NB$6</f>
        <v>0</v>
      </c>
      <c r="G70" s="762">
        <f>Input!$NC$6</f>
        <v>279124</v>
      </c>
      <c r="H70" s="762">
        <f>Input!$ND$6</f>
        <v>339790</v>
      </c>
      <c r="I70" s="762">
        <f>Input!$NE$6</f>
        <v>0</v>
      </c>
      <c r="J70" s="762">
        <f>Input!$NF$6</f>
        <v>0</v>
      </c>
      <c r="K70" s="762">
        <f>Input!$NG$6</f>
        <v>0</v>
      </c>
      <c r="L70" s="762">
        <f>Input!$NH$6</f>
        <v>0</v>
      </c>
      <c r="M70" s="723">
        <f t="shared" si="12"/>
        <v>2151420</v>
      </c>
      <c r="O70" s="831">
        <f t="shared" si="14"/>
        <v>1811630</v>
      </c>
      <c r="P70" s="832">
        <f>Input!$TP$6</f>
        <v>0</v>
      </c>
      <c r="Q70" s="832">
        <f>Input!$TZ$6</f>
        <v>0</v>
      </c>
      <c r="R70" s="832">
        <f>Input!$UI$6</f>
        <v>0</v>
      </c>
      <c r="S70" s="837">
        <f t="shared" si="16"/>
        <v>1811630</v>
      </c>
      <c r="T70" s="723"/>
      <c r="U70" s="834">
        <f t="shared" si="15"/>
        <v>1811630</v>
      </c>
      <c r="V70" s="723"/>
      <c r="W70" s="828" t="s">
        <v>182</v>
      </c>
      <c r="X70" s="835">
        <f>Input!$UT$6</f>
        <v>2151420</v>
      </c>
      <c r="Y70" s="836">
        <f t="shared" si="13"/>
        <v>0</v>
      </c>
      <c r="Z70" s="723"/>
      <c r="AA70" s="723"/>
      <c r="AB70" s="723"/>
    </row>
    <row r="71" spans="1:28">
      <c r="A71" s="460">
        <v>54</v>
      </c>
      <c r="B71" s="823" t="s">
        <v>183</v>
      </c>
      <c r="C71" s="823"/>
      <c r="D71" s="762">
        <f>Input!$NI$6</f>
        <v>42513182</v>
      </c>
      <c r="E71" s="762">
        <f>Input!$NJ$6</f>
        <v>24571243</v>
      </c>
      <c r="F71" s="762">
        <f>Input!$NK$6</f>
        <v>0</v>
      </c>
      <c r="G71" s="762">
        <f>Input!$NL$6</f>
        <v>32840262</v>
      </c>
      <c r="H71" s="762">
        <f>Input!$NM$6</f>
        <v>0</v>
      </c>
      <c r="I71" s="762">
        <f>Input!$NN$6</f>
        <v>0</v>
      </c>
      <c r="J71" s="762">
        <f>Input!$NO$6</f>
        <v>0</v>
      </c>
      <c r="K71" s="762">
        <f>Input!$NP$6</f>
        <v>0</v>
      </c>
      <c r="L71" s="762">
        <f>Input!$NQ$6</f>
        <v>0</v>
      </c>
      <c r="M71" s="723">
        <f t="shared" si="12"/>
        <v>99924687</v>
      </c>
      <c r="O71" s="831">
        <f t="shared" si="14"/>
        <v>99924687</v>
      </c>
      <c r="P71" s="832">
        <f>Input!$TQ$6</f>
        <v>1335925</v>
      </c>
      <c r="Q71" s="832">
        <f>Input!$UA$6</f>
        <v>0</v>
      </c>
      <c r="R71" s="832">
        <f>Input!$UJ$6</f>
        <v>0</v>
      </c>
      <c r="S71" s="837">
        <f t="shared" si="16"/>
        <v>101260612</v>
      </c>
      <c r="T71" s="723"/>
      <c r="U71" s="834">
        <f t="shared" si="15"/>
        <v>99924687</v>
      </c>
      <c r="V71" s="723"/>
      <c r="W71" s="828" t="s">
        <v>183</v>
      </c>
      <c r="X71" s="835">
        <f>Input!$UU$6</f>
        <v>99924687</v>
      </c>
      <c r="Y71" s="836">
        <f t="shared" si="13"/>
        <v>0</v>
      </c>
      <c r="Z71" s="723"/>
      <c r="AA71" s="723"/>
      <c r="AB71" s="723"/>
    </row>
    <row r="72" spans="1:28">
      <c r="A72" s="460">
        <v>55</v>
      </c>
      <c r="B72" s="823" t="s">
        <v>184</v>
      </c>
      <c r="C72" s="823"/>
      <c r="D72" s="762">
        <f>Input!$NR$6</f>
        <v>17745816</v>
      </c>
      <c r="E72" s="762">
        <f>Input!$NS$6</f>
        <v>39721519</v>
      </c>
      <c r="F72" s="762">
        <f>Input!$NT$6</f>
        <v>0</v>
      </c>
      <c r="G72" s="762">
        <f>Input!$NU$6</f>
        <v>3051043</v>
      </c>
      <c r="H72" s="762">
        <f>Input!$NV$6</f>
        <v>0</v>
      </c>
      <c r="I72" s="762">
        <f>Input!$NW$6</f>
        <v>0</v>
      </c>
      <c r="J72" s="762">
        <f>Input!$NX$6</f>
        <v>46438749</v>
      </c>
      <c r="K72" s="762">
        <f>Input!$NY$6</f>
        <v>0</v>
      </c>
      <c r="L72" s="762">
        <f>Input!$NZ$6</f>
        <v>0</v>
      </c>
      <c r="M72" s="723">
        <f t="shared" si="12"/>
        <v>106957127</v>
      </c>
      <c r="O72" s="831">
        <f t="shared" si="14"/>
        <v>60518378</v>
      </c>
      <c r="P72" s="832">
        <f>Input!$TR$6</f>
        <v>-19351867</v>
      </c>
      <c r="Q72" s="832">
        <f>Input!$UB$6</f>
        <v>0</v>
      </c>
      <c r="R72" s="832">
        <f>Input!$UK$6</f>
        <v>0</v>
      </c>
      <c r="S72" s="837">
        <f t="shared" si="16"/>
        <v>41166511</v>
      </c>
      <c r="T72" s="723"/>
      <c r="U72" s="834">
        <f t="shared" si="15"/>
        <v>106957127</v>
      </c>
      <c r="V72" s="723"/>
      <c r="W72" s="828" t="s">
        <v>671</v>
      </c>
      <c r="X72" s="835">
        <f>Input!$UV$6</f>
        <v>106957127</v>
      </c>
      <c r="Y72" s="836">
        <f t="shared" si="13"/>
        <v>0</v>
      </c>
      <c r="Z72" s="723"/>
      <c r="AA72" s="723"/>
      <c r="AB72" s="723"/>
    </row>
    <row r="73" spans="1:28" ht="13.8" thickBot="1">
      <c r="A73" s="460">
        <v>56</v>
      </c>
      <c r="B73" s="823" t="s">
        <v>185</v>
      </c>
      <c r="C73" s="823"/>
      <c r="D73" s="762">
        <f>Input!$OA$6</f>
        <v>58228</v>
      </c>
      <c r="E73" s="762">
        <f>Input!$OB$6</f>
        <v>272378</v>
      </c>
      <c r="F73" s="762">
        <f>Input!$OC$6</f>
        <v>0</v>
      </c>
      <c r="G73" s="762">
        <f>Input!$OD$6</f>
        <v>5066357</v>
      </c>
      <c r="H73" s="762">
        <f>Input!$OE$6</f>
        <v>0</v>
      </c>
      <c r="I73" s="762">
        <f>Input!$OF$6</f>
        <v>0</v>
      </c>
      <c r="J73" s="762">
        <f>Input!$OG$6</f>
        <v>0</v>
      </c>
      <c r="K73" s="762">
        <f>Input!$OH$6</f>
        <v>0</v>
      </c>
      <c r="L73" s="762">
        <f>Input!$OI$6</f>
        <v>0</v>
      </c>
      <c r="M73" s="723">
        <f t="shared" si="12"/>
        <v>5396963</v>
      </c>
      <c r="O73" s="838">
        <f>D73+E73+G73</f>
        <v>5396963</v>
      </c>
      <c r="P73" s="832">
        <f>Input!$TS$6</f>
        <v>0</v>
      </c>
      <c r="Q73" s="839">
        <f>Input!$UC$6</f>
        <v>0</v>
      </c>
      <c r="R73" s="839">
        <f>Input!$UL$6</f>
        <v>0</v>
      </c>
      <c r="S73" s="840">
        <f>O73+P73-Q73-R73</f>
        <v>5396963</v>
      </c>
      <c r="T73" s="841"/>
      <c r="U73" s="834">
        <f t="shared" si="15"/>
        <v>5396963</v>
      </c>
      <c r="V73" s="841"/>
      <c r="W73" s="828" t="s">
        <v>185</v>
      </c>
      <c r="X73" s="835">
        <f>Input!$UW$6</f>
        <v>5396963</v>
      </c>
      <c r="Y73" s="836">
        <f t="shared" si="13"/>
        <v>0</v>
      </c>
      <c r="Z73" s="723"/>
      <c r="AA73" s="723"/>
      <c r="AB73" s="723"/>
    </row>
    <row r="74" spans="1:28" ht="13.8" thickTop="1">
      <c r="A74" s="460">
        <v>57</v>
      </c>
      <c r="B74" s="823" t="s">
        <v>472</v>
      </c>
      <c r="C74" s="823"/>
      <c r="D74" s="762">
        <f>Input!$OJ$6</f>
        <v>0</v>
      </c>
      <c r="E74" s="762">
        <f>Input!$OK$6</f>
        <v>0</v>
      </c>
      <c r="F74" s="762">
        <f>Input!$OL$6</f>
        <v>36039161</v>
      </c>
      <c r="G74" s="762">
        <f>Input!$OM$6</f>
        <v>0</v>
      </c>
      <c r="H74" s="762">
        <f>Input!$ON$6</f>
        <v>0</v>
      </c>
      <c r="I74" s="762">
        <f>Input!$OO$6</f>
        <v>0</v>
      </c>
      <c r="J74" s="762">
        <f>Input!$OP$6</f>
        <v>0</v>
      </c>
      <c r="K74" s="762">
        <f>Input!$OQ$6</f>
        <v>0</v>
      </c>
      <c r="L74" s="762">
        <f>Input!$OR$6</f>
        <v>0</v>
      </c>
      <c r="M74" s="723">
        <f t="shared" si="12"/>
        <v>36039161</v>
      </c>
      <c r="O74" s="492"/>
      <c r="P74" s="842">
        <f>Input!$TT$6</f>
        <v>57927</v>
      </c>
      <c r="Q74" s="843"/>
      <c r="R74" s="844"/>
      <c r="S74" s="845">
        <f>SUM(S65:S73)</f>
        <v>4012021954</v>
      </c>
      <c r="T74" s="844"/>
      <c r="U74" s="834">
        <f t="shared" si="15"/>
        <v>36039161</v>
      </c>
      <c r="V74" s="844"/>
      <c r="W74" s="828" t="s">
        <v>186</v>
      </c>
      <c r="X74" s="835">
        <f>Input!$UX$6</f>
        <v>36039161</v>
      </c>
      <c r="Y74" s="836">
        <f t="shared" si="13"/>
        <v>0</v>
      </c>
      <c r="Z74" s="723"/>
      <c r="AA74" s="723"/>
      <c r="AB74" s="723"/>
    </row>
    <row r="75" spans="1:28">
      <c r="A75" s="460">
        <v>58</v>
      </c>
      <c r="B75" s="846" t="s">
        <v>602</v>
      </c>
      <c r="C75" s="846"/>
      <c r="D75" s="762">
        <f>Input!$OS$6</f>
        <v>0</v>
      </c>
      <c r="E75" s="762">
        <f>Input!$OT$6</f>
        <v>-9332377</v>
      </c>
      <c r="F75" s="762">
        <f>Input!$OU$6</f>
        <v>57927</v>
      </c>
      <c r="G75" s="762">
        <f>Input!$OV$6</f>
        <v>13876405</v>
      </c>
      <c r="H75" s="762">
        <f>Input!$OW$6</f>
        <v>0</v>
      </c>
      <c r="I75" s="762">
        <f>Input!$OX$6</f>
        <v>0</v>
      </c>
      <c r="J75" s="762">
        <f>Input!$OY$6</f>
        <v>0</v>
      </c>
      <c r="K75" s="762">
        <f>Input!$OZ$6</f>
        <v>0</v>
      </c>
      <c r="L75" s="762">
        <f>Input!$PA$6</f>
        <v>0</v>
      </c>
      <c r="M75" s="723">
        <f t="shared" si="12"/>
        <v>4601955</v>
      </c>
      <c r="O75" s="492"/>
      <c r="P75" s="492">
        <f>SUM(P65:P74)</f>
        <v>4601955</v>
      </c>
      <c r="Q75" s="843" t="s">
        <v>672</v>
      </c>
      <c r="R75" s="844"/>
      <c r="S75" s="847"/>
      <c r="T75" s="844"/>
      <c r="U75" s="834">
        <f t="shared" si="15"/>
        <v>4601955</v>
      </c>
      <c r="V75" s="844"/>
      <c r="W75" s="828" t="s">
        <v>673</v>
      </c>
      <c r="X75" s="848">
        <f>M93*-1</f>
        <v>243738948</v>
      </c>
      <c r="Y75" s="836">
        <f>X75+M93</f>
        <v>0</v>
      </c>
      <c r="Z75" s="849"/>
      <c r="AA75" s="849"/>
      <c r="AB75" s="849"/>
    </row>
    <row r="76" spans="1:28" ht="13.8" thickBot="1">
      <c r="A76" s="460">
        <v>59</v>
      </c>
      <c r="B76" s="850" t="s">
        <v>603</v>
      </c>
      <c r="C76" s="850"/>
      <c r="D76" s="851">
        <f>Input!$PB$6</f>
        <v>0</v>
      </c>
      <c r="E76" s="851">
        <f>Input!$PC$6</f>
        <v>12004333</v>
      </c>
      <c r="F76" s="851">
        <f>Input!$PD$6</f>
        <v>0</v>
      </c>
      <c r="G76" s="851">
        <f>Input!$PE$6</f>
        <v>0</v>
      </c>
      <c r="H76" s="851">
        <f>Input!$PF$6</f>
        <v>0</v>
      </c>
      <c r="I76" s="851">
        <f>Input!$PG$6</f>
        <v>0</v>
      </c>
      <c r="J76" s="851">
        <f>Input!$PH$6</f>
        <v>0</v>
      </c>
      <c r="K76" s="851">
        <f>Input!$PI$6</f>
        <v>0</v>
      </c>
      <c r="L76" s="851">
        <f>Input!$PJ$6</f>
        <v>0</v>
      </c>
      <c r="M76" s="723">
        <f t="shared" si="12"/>
        <v>12004333</v>
      </c>
      <c r="O76" s="492"/>
      <c r="P76" s="852" t="str">
        <f>IF(P75&lt;&gt;M75,"Out of Balance","Balanced")</f>
        <v>Balanced</v>
      </c>
      <c r="Q76" s="1213" t="s">
        <v>674</v>
      </c>
      <c r="R76" s="1214"/>
      <c r="S76" s="853">
        <f>Input!$UM$6</f>
        <v>5663863253</v>
      </c>
      <c r="T76" s="492"/>
      <c r="U76" s="854">
        <f t="shared" si="15"/>
        <v>12004333</v>
      </c>
      <c r="V76" s="492"/>
      <c r="W76" s="855" t="s">
        <v>675</v>
      </c>
      <c r="X76" s="856" t="s">
        <v>283</v>
      </c>
      <c r="Y76" s="857">
        <f>M95</f>
        <v>0</v>
      </c>
      <c r="Z76" s="492"/>
      <c r="AA76" s="492"/>
      <c r="AB76" s="492"/>
    </row>
    <row r="77" spans="1:28" ht="14.4" thickTop="1" thickBot="1">
      <c r="A77" s="460">
        <v>60</v>
      </c>
      <c r="B77" s="858" t="s">
        <v>189</v>
      </c>
      <c r="C77" s="858"/>
      <c r="D77" s="769">
        <f t="shared" ref="D77:L77" si="17">SUM(D65:D76)</f>
        <v>213101041</v>
      </c>
      <c r="E77" s="769">
        <f t="shared" si="17"/>
        <v>3363907500</v>
      </c>
      <c r="F77" s="769">
        <f t="shared" si="17"/>
        <v>36097088</v>
      </c>
      <c r="G77" s="769">
        <f t="shared" si="17"/>
        <v>451731280</v>
      </c>
      <c r="H77" s="769">
        <f t="shared" si="17"/>
        <v>339790</v>
      </c>
      <c r="I77" s="769">
        <f t="shared" si="17"/>
        <v>0</v>
      </c>
      <c r="J77" s="769">
        <f t="shared" si="17"/>
        <v>46438749</v>
      </c>
      <c r="K77" s="769">
        <f t="shared" si="17"/>
        <v>0</v>
      </c>
      <c r="L77" s="769">
        <f t="shared" si="17"/>
        <v>0</v>
      </c>
      <c r="M77" s="769">
        <f t="shared" si="12"/>
        <v>4111615448</v>
      </c>
      <c r="P77" s="492"/>
      <c r="Q77" s="859" t="s">
        <v>676</v>
      </c>
      <c r="R77" s="860"/>
      <c r="S77" s="861">
        <f>Input!$UN$6</f>
        <v>3567637728</v>
      </c>
      <c r="U77" s="862">
        <f>SUM(U65:U76)</f>
        <v>4111275658</v>
      </c>
      <c r="X77" s="863">
        <f>SUM(X65:X76)</f>
        <v>4338748108</v>
      </c>
      <c r="Y77" s="864">
        <f>SUM(Y65:Y76)</f>
        <v>0</v>
      </c>
    </row>
    <row r="78" spans="1:28" ht="14.4" thickTop="1" thickBot="1">
      <c r="A78" s="460">
        <v>61</v>
      </c>
      <c r="D78" s="723"/>
      <c r="E78" s="723"/>
      <c r="F78" s="723"/>
      <c r="G78" s="723"/>
      <c r="H78" s="723"/>
      <c r="I78" s="723"/>
      <c r="J78" s="723"/>
      <c r="K78" s="723"/>
      <c r="L78" s="723"/>
      <c r="M78" s="723"/>
      <c r="Q78" s="865" t="s">
        <v>677</v>
      </c>
      <c r="R78" s="866"/>
      <c r="S78" s="867">
        <f>S74-S76+S77</f>
        <v>1915796429</v>
      </c>
      <c r="T78" s="492"/>
      <c r="U78" s="492"/>
      <c r="V78" s="492"/>
      <c r="Y78" s="344" t="str">
        <f>IF(Y77&lt;&gt;0,"Out of Balance","Balanced")</f>
        <v>Balanced</v>
      </c>
    </row>
    <row r="79" spans="1:28" ht="13.8" thickTop="1">
      <c r="A79" s="460">
        <v>62</v>
      </c>
      <c r="B79" s="771" t="s">
        <v>473</v>
      </c>
      <c r="C79" s="771"/>
      <c r="D79" s="723"/>
      <c r="E79" s="723"/>
      <c r="F79" s="723"/>
      <c r="G79" s="723"/>
      <c r="H79" s="723"/>
      <c r="I79" s="723"/>
      <c r="J79" s="723"/>
      <c r="K79" s="723"/>
      <c r="L79" s="723"/>
      <c r="M79" s="723"/>
      <c r="O79" s="492"/>
      <c r="Q79" s="723"/>
      <c r="S79" s="443"/>
      <c r="T79" s="492"/>
      <c r="U79" s="492"/>
    </row>
    <row r="80" spans="1:28">
      <c r="A80" s="460">
        <v>63</v>
      </c>
      <c r="B80" s="752" t="s">
        <v>604</v>
      </c>
      <c r="D80" s="762">
        <f>Input!$PK$6</f>
        <v>0</v>
      </c>
      <c r="E80" s="762">
        <f>Input!$PL$6</f>
        <v>0</v>
      </c>
      <c r="F80" s="762">
        <f>Input!$PM$6</f>
        <v>0</v>
      </c>
      <c r="G80" s="762">
        <f>Input!$PN$6</f>
        <v>0</v>
      </c>
      <c r="H80" s="762">
        <f>Input!$PO$6</f>
        <v>0</v>
      </c>
      <c r="I80" s="762">
        <f>Input!$PP$6</f>
        <v>0</v>
      </c>
      <c r="J80" s="762">
        <f>Input!$PQ$6</f>
        <v>-373442574</v>
      </c>
      <c r="K80" s="762">
        <f>Input!$PR$6</f>
        <v>0</v>
      </c>
      <c r="L80" s="762">
        <f>Input!$PS$6</f>
        <v>0</v>
      </c>
      <c r="M80" s="723">
        <f>D80+E80+F80+G80+H80+I80+J80+K80+L80</f>
        <v>-373442574</v>
      </c>
      <c r="O80" s="492"/>
      <c r="P80" s="492"/>
      <c r="Q80" s="723"/>
      <c r="S80" s="443"/>
      <c r="T80" s="868"/>
      <c r="U80" s="723"/>
    </row>
    <row r="81" spans="1:25" ht="13.8" thickBot="1">
      <c r="A81" s="460">
        <v>64</v>
      </c>
      <c r="B81" s="752" t="s">
        <v>566</v>
      </c>
      <c r="D81" s="762">
        <f>Input!$PT$6</f>
        <v>6342454</v>
      </c>
      <c r="E81" s="762">
        <f>Input!$PU$6</f>
        <v>62567995</v>
      </c>
      <c r="F81" s="762">
        <f>Input!$PV$6</f>
        <v>9613134</v>
      </c>
      <c r="G81" s="762">
        <f>Input!$PW$6</f>
        <v>-405307972</v>
      </c>
      <c r="H81" s="762">
        <f>Input!$PX$6</f>
        <v>-200000</v>
      </c>
      <c r="I81" s="762">
        <f>Input!$PY$6</f>
        <v>50991012</v>
      </c>
      <c r="J81" s="762">
        <f>Input!$PZ$6</f>
        <v>265493558</v>
      </c>
      <c r="K81" s="762">
        <f>Input!$QA$6</f>
        <v>0</v>
      </c>
      <c r="L81" s="762">
        <f>Input!$QB$6</f>
        <v>13169450</v>
      </c>
      <c r="M81" s="723">
        <f>D81+E81+F81+G81+H81+I81+J81+K81+L81</f>
        <v>2669631</v>
      </c>
      <c r="O81" s="492"/>
      <c r="P81" s="492"/>
      <c r="Q81" s="723"/>
      <c r="S81" s="443"/>
      <c r="T81" s="443"/>
      <c r="U81" s="868"/>
    </row>
    <row r="82" spans="1:25" ht="14.4" thickTop="1" thickBot="1">
      <c r="A82" s="460">
        <v>65</v>
      </c>
      <c r="B82" s="766" t="s">
        <v>605</v>
      </c>
      <c r="C82" s="766"/>
      <c r="D82" s="762">
        <f>Input!$QC$6</f>
        <v>0</v>
      </c>
      <c r="E82" s="762">
        <f>Input!$QD$6</f>
        <v>0</v>
      </c>
      <c r="F82" s="762">
        <f>Input!$QE$6</f>
        <v>0</v>
      </c>
      <c r="G82" s="762">
        <f>Input!$QF$6</f>
        <v>0</v>
      </c>
      <c r="H82" s="762">
        <f>Input!$QG$6</f>
        <v>0</v>
      </c>
      <c r="I82" s="762">
        <f>Input!$QH$6</f>
        <v>0</v>
      </c>
      <c r="J82" s="762">
        <f>Input!$QI$6</f>
        <v>168396645</v>
      </c>
      <c r="K82" s="762">
        <f>Input!$QJ$6</f>
        <v>0</v>
      </c>
      <c r="L82" s="762">
        <f>Input!$QK$6</f>
        <v>0</v>
      </c>
      <c r="M82" s="723">
        <f>D82+E82+F82+G82+H82+I82+J82+K82+L82</f>
        <v>168396645</v>
      </c>
      <c r="O82" s="492"/>
      <c r="P82" s="1218" t="str">
        <f>IF(M91&lt;0,"Footnote 11 is N/A - No Data Entry Required","Footnote 11")</f>
        <v>Footnote 11 is N/A - No Data Entry Required</v>
      </c>
      <c r="Q82" s="1219"/>
      <c r="R82" s="1219"/>
      <c r="S82" s="1220"/>
      <c r="T82" s="443"/>
      <c r="U82" s="443"/>
    </row>
    <row r="83" spans="1:25" ht="13.8" thickTop="1">
      <c r="A83" s="460">
        <v>66</v>
      </c>
      <c r="B83" s="752" t="s">
        <v>477</v>
      </c>
      <c r="D83" s="762">
        <f>Input!$QL$6</f>
        <v>-18520000</v>
      </c>
      <c r="E83" s="762">
        <f>Input!$QM$6</f>
        <v>-105861202</v>
      </c>
      <c r="F83" s="762">
        <f>Input!$QN$6</f>
        <v>-10220872</v>
      </c>
      <c r="G83" s="762">
        <f>Input!$QO$6</f>
        <v>0</v>
      </c>
      <c r="H83" s="762">
        <f>Input!$QP$6</f>
        <v>0</v>
      </c>
      <c r="I83" s="762">
        <f>Input!$QQ$6</f>
        <v>0</v>
      </c>
      <c r="J83" s="762">
        <f>Input!$QR$6</f>
        <v>0</v>
      </c>
      <c r="K83" s="762">
        <f>Input!$QS$6</f>
        <v>0</v>
      </c>
      <c r="L83" s="762">
        <f>Input!$QT$6</f>
        <v>0</v>
      </c>
      <c r="M83" s="723">
        <f>D83+E83+F83+G83+H83+I83+J83+K83+L83</f>
        <v>-134602074</v>
      </c>
      <c r="O83" s="723"/>
      <c r="P83" s="869" t="s">
        <v>678</v>
      </c>
      <c r="Q83" s="870"/>
      <c r="R83" s="871"/>
      <c r="S83" s="872" t="str">
        <f>IF(M91&lt;0,"N/A",M91)</f>
        <v>N/A</v>
      </c>
      <c r="T83" s="492"/>
      <c r="U83" s="443"/>
      <c r="X83" s="443"/>
      <c r="Y83" s="443"/>
    </row>
    <row r="84" spans="1:25">
      <c r="A84" s="460">
        <v>67</v>
      </c>
      <c r="B84" s="858" t="s">
        <v>155</v>
      </c>
      <c r="C84" s="858"/>
      <c r="D84" s="769">
        <f t="shared" ref="D84:L84" si="18">SUM(D80:D83)</f>
        <v>-12177546</v>
      </c>
      <c r="E84" s="769">
        <f t="shared" si="18"/>
        <v>-43293207</v>
      </c>
      <c r="F84" s="769">
        <f t="shared" si="18"/>
        <v>-607738</v>
      </c>
      <c r="G84" s="769">
        <f t="shared" si="18"/>
        <v>-405307972</v>
      </c>
      <c r="H84" s="769">
        <f t="shared" si="18"/>
        <v>-200000</v>
      </c>
      <c r="I84" s="769">
        <f t="shared" si="18"/>
        <v>50991012</v>
      </c>
      <c r="J84" s="769">
        <f t="shared" si="18"/>
        <v>60447629</v>
      </c>
      <c r="K84" s="769">
        <f t="shared" si="18"/>
        <v>0</v>
      </c>
      <c r="L84" s="769">
        <f t="shared" si="18"/>
        <v>13169450</v>
      </c>
      <c r="M84" s="769">
        <f>D84+E84+F84+G84+H84+I84+J84+K84+L84</f>
        <v>-336978372</v>
      </c>
      <c r="O84" s="723"/>
      <c r="P84" s="873" t="s">
        <v>679</v>
      </c>
      <c r="Q84" s="492"/>
      <c r="R84" s="492"/>
      <c r="S84" s="874">
        <f>Input!$UY$6</f>
        <v>0</v>
      </c>
      <c r="T84" s="492"/>
      <c r="U84" s="723"/>
      <c r="W84" s="443"/>
      <c r="X84" s="443"/>
      <c r="Y84" s="443"/>
    </row>
    <row r="85" spans="1:25">
      <c r="A85" s="460">
        <v>68</v>
      </c>
      <c r="D85" s="723"/>
      <c r="E85" s="723"/>
      <c r="F85" s="723"/>
      <c r="G85" s="723"/>
      <c r="H85" s="723"/>
      <c r="I85" s="723"/>
      <c r="J85" s="723"/>
      <c r="K85" s="723"/>
      <c r="L85" s="723"/>
      <c r="M85" s="723"/>
      <c r="O85" s="723"/>
      <c r="P85" s="873" t="s">
        <v>680</v>
      </c>
      <c r="R85" s="492"/>
      <c r="S85" s="875" t="str">
        <f>IF(M91&lt;0,"",S83-S84)</f>
        <v/>
      </c>
      <c r="T85" s="492"/>
      <c r="U85" s="723"/>
      <c r="X85" s="443"/>
      <c r="Y85" s="443"/>
    </row>
    <row r="86" spans="1:25">
      <c r="A86" s="460">
        <v>69</v>
      </c>
      <c r="B86" s="771" t="s">
        <v>478</v>
      </c>
      <c r="C86" s="771"/>
      <c r="D86" s="723"/>
      <c r="E86" s="723"/>
      <c r="F86" s="723"/>
      <c r="G86" s="723"/>
      <c r="H86" s="723"/>
      <c r="I86" s="723"/>
      <c r="J86" s="723"/>
      <c r="K86" s="723"/>
      <c r="L86" s="723"/>
      <c r="M86" s="723"/>
      <c r="P86" s="876"/>
      <c r="R86" s="492"/>
      <c r="S86" s="877"/>
      <c r="T86" s="492"/>
      <c r="U86" s="492"/>
      <c r="W86" s="868"/>
      <c r="X86" s="443"/>
      <c r="Y86" s="443"/>
    </row>
    <row r="87" spans="1:25">
      <c r="A87" s="460">
        <v>70</v>
      </c>
      <c r="B87" s="752" t="s">
        <v>479</v>
      </c>
      <c r="D87" s="762">
        <f>Input!$QU$6</f>
        <v>0</v>
      </c>
      <c r="E87" s="762">
        <f>Input!$QV$6</f>
        <v>-185758159</v>
      </c>
      <c r="F87" s="762">
        <f>Input!$QW$6</f>
        <v>-3088498</v>
      </c>
      <c r="G87" s="762">
        <f>Input!$QX$6</f>
        <v>-86921085</v>
      </c>
      <c r="H87" s="762">
        <f>Input!$QY$6</f>
        <v>-33991</v>
      </c>
      <c r="I87" s="762">
        <f>Input!$QZ$6</f>
        <v>-232870442</v>
      </c>
      <c r="J87" s="762">
        <f>Input!$RA$6</f>
        <v>0</v>
      </c>
      <c r="K87" s="762">
        <f>Input!$RB$6</f>
        <v>0</v>
      </c>
      <c r="L87" s="762">
        <f>Input!$RC$6</f>
        <v>0</v>
      </c>
      <c r="M87" s="723">
        <f>D87+E87+F87+G87+H87+I87+J87+K87+L87</f>
        <v>-508672175</v>
      </c>
      <c r="P87" s="873" t="s">
        <v>681</v>
      </c>
      <c r="R87" s="492"/>
      <c r="S87" s="878">
        <f>Input!$UZ$6</f>
        <v>0</v>
      </c>
      <c r="X87" s="443"/>
      <c r="Y87" s="443"/>
    </row>
    <row r="88" spans="1:25">
      <c r="A88" s="460">
        <v>71</v>
      </c>
      <c r="B88" s="752" t="s">
        <v>480</v>
      </c>
      <c r="D88" s="762">
        <f>Input!$RD$6</f>
        <v>0</v>
      </c>
      <c r="E88" s="762">
        <f>Input!$RE$6</f>
        <v>0</v>
      </c>
      <c r="F88" s="762">
        <f>Input!$RF$6</f>
        <v>0</v>
      </c>
      <c r="G88" s="762">
        <f>Input!$RG$6</f>
        <v>3073928</v>
      </c>
      <c r="H88" s="762">
        <f>Input!$RH$6</f>
        <v>0</v>
      </c>
      <c r="I88" s="762">
        <f>Input!$RI$6</f>
        <v>58224520</v>
      </c>
      <c r="J88" s="762">
        <f>Input!$RJ$6</f>
        <v>0</v>
      </c>
      <c r="K88" s="762">
        <f>Input!$RK$6</f>
        <v>0</v>
      </c>
      <c r="L88" s="762">
        <f>Input!$RL$6</f>
        <v>0</v>
      </c>
      <c r="M88" s="723">
        <f>D88+E88+F88+G88+H88+I88+J88+K88+L88</f>
        <v>61298448</v>
      </c>
      <c r="O88" s="406"/>
      <c r="P88" s="879" t="s">
        <v>682</v>
      </c>
      <c r="S88" s="880"/>
      <c r="X88" s="868"/>
      <c r="Y88" s="868"/>
    </row>
    <row r="89" spans="1:25">
      <c r="A89" s="460">
        <v>72</v>
      </c>
      <c r="B89" s="858" t="s">
        <v>155</v>
      </c>
      <c r="C89" s="858"/>
      <c r="D89" s="769">
        <f t="shared" ref="D89:L89" si="19">SUM(D87:D88)</f>
        <v>0</v>
      </c>
      <c r="E89" s="769">
        <f t="shared" si="19"/>
        <v>-185758159</v>
      </c>
      <c r="F89" s="769">
        <f t="shared" si="19"/>
        <v>-3088498</v>
      </c>
      <c r="G89" s="769">
        <f t="shared" si="19"/>
        <v>-83847157</v>
      </c>
      <c r="H89" s="769">
        <f t="shared" si="19"/>
        <v>-33991</v>
      </c>
      <c r="I89" s="769">
        <f t="shared" si="19"/>
        <v>-174645922</v>
      </c>
      <c r="J89" s="769">
        <f t="shared" si="19"/>
        <v>0</v>
      </c>
      <c r="K89" s="769">
        <f t="shared" si="19"/>
        <v>0</v>
      </c>
      <c r="L89" s="769">
        <f t="shared" si="19"/>
        <v>0</v>
      </c>
      <c r="M89" s="769">
        <f>D89+E89+F89+G89+H89+I89+J89+K89+L89</f>
        <v>-447373727</v>
      </c>
      <c r="P89" s="873" t="s">
        <v>683</v>
      </c>
      <c r="S89" s="875" t="str">
        <f>IFERROR(S85-S87,"")</f>
        <v/>
      </c>
    </row>
    <row r="90" spans="1:25">
      <c r="A90" s="460">
        <v>73</v>
      </c>
      <c r="D90" s="723"/>
      <c r="E90" s="723"/>
      <c r="F90" s="723"/>
      <c r="G90" s="723"/>
      <c r="H90" s="723"/>
      <c r="I90" s="723"/>
      <c r="J90" s="723"/>
      <c r="K90" s="723"/>
      <c r="L90" s="723"/>
      <c r="M90" s="723"/>
      <c r="P90" s="876"/>
      <c r="S90" s="880"/>
    </row>
    <row r="91" spans="1:25" ht="13.8" thickBot="1">
      <c r="A91" s="460">
        <v>74</v>
      </c>
      <c r="B91" s="858" t="s">
        <v>606</v>
      </c>
      <c r="C91" s="858"/>
      <c r="D91" s="769">
        <f t="shared" ref="D91:K91" si="20">D63-D77+D84+D89</f>
        <v>-496830</v>
      </c>
      <c r="E91" s="769">
        <f t="shared" si="20"/>
        <v>276130257</v>
      </c>
      <c r="F91" s="769">
        <f t="shared" si="20"/>
        <v>-8941471</v>
      </c>
      <c r="G91" s="769">
        <f t="shared" si="20"/>
        <v>-337115567</v>
      </c>
      <c r="H91" s="769">
        <f t="shared" si="20"/>
        <v>-555703</v>
      </c>
      <c r="I91" s="769">
        <f t="shared" si="20"/>
        <v>-122389701</v>
      </c>
      <c r="J91" s="769">
        <f t="shared" si="20"/>
        <v>14008880</v>
      </c>
      <c r="K91" s="769">
        <f t="shared" si="20"/>
        <v>0</v>
      </c>
      <c r="L91" s="769">
        <f>L63-L77+L84+L89</f>
        <v>12356443</v>
      </c>
      <c r="M91" s="769">
        <f>D91+E91+F91+G91+H91+I91+J91+K91+L91</f>
        <v>-167003692</v>
      </c>
      <c r="P91" s="881" t="s">
        <v>684</v>
      </c>
      <c r="Q91" s="882"/>
      <c r="R91" s="882"/>
      <c r="S91" s="883" t="str">
        <f>IFERROR((S89+S87)-S85,"")</f>
        <v/>
      </c>
    </row>
    <row r="92" spans="1:25" ht="13.8" thickTop="1">
      <c r="A92" s="460">
        <v>75</v>
      </c>
      <c r="D92" s="723"/>
      <c r="E92" s="723"/>
      <c r="F92" s="723"/>
      <c r="G92" s="723"/>
      <c r="H92" s="723"/>
      <c r="I92" s="723"/>
      <c r="J92" s="723"/>
      <c r="K92" s="723"/>
      <c r="L92" s="723"/>
      <c r="M92" s="723"/>
    </row>
    <row r="93" spans="1:25">
      <c r="A93" s="460">
        <v>77</v>
      </c>
      <c r="B93" s="320" t="s">
        <v>482</v>
      </c>
      <c r="C93" s="320"/>
      <c r="D93" s="762">
        <f>Input!$RM$6</f>
        <v>0</v>
      </c>
      <c r="E93" s="762">
        <f>Input!$RN$6</f>
        <v>0</v>
      </c>
      <c r="F93" s="762">
        <f>Input!$RO$6</f>
        <v>0</v>
      </c>
      <c r="G93" s="762">
        <f>Input!$RP$6</f>
        <v>0</v>
      </c>
      <c r="H93" s="762">
        <f>Input!$RQ$6</f>
        <v>0</v>
      </c>
      <c r="I93" s="762">
        <f>Input!$RR$6</f>
        <v>0</v>
      </c>
      <c r="J93" s="762">
        <f>Input!$RS$6</f>
        <v>0</v>
      </c>
      <c r="K93" s="762">
        <f>Input!$RT$6</f>
        <v>0</v>
      </c>
      <c r="L93" s="762">
        <f>Input!$RU$6</f>
        <v>-243738948</v>
      </c>
      <c r="M93" s="723">
        <f>D93+E93+F93+G93+H93+I93+J93+K93+L93</f>
        <v>-243738948</v>
      </c>
      <c r="O93" s="406"/>
    </row>
    <row r="94" spans="1:25">
      <c r="A94" s="460">
        <v>78</v>
      </c>
      <c r="B94" s="320" t="s">
        <v>483</v>
      </c>
      <c r="C94" s="320"/>
      <c r="D94" s="762">
        <f>Input!$RV$6</f>
        <v>0</v>
      </c>
      <c r="E94" s="762">
        <f>Input!$RW$6</f>
        <v>0</v>
      </c>
      <c r="F94" s="762">
        <f>Input!$RX$6</f>
        <v>0</v>
      </c>
      <c r="G94" s="762">
        <f>Input!$RY$6</f>
        <v>0</v>
      </c>
      <c r="H94" s="762">
        <f>Input!$RZ$6</f>
        <v>0</v>
      </c>
      <c r="I94" s="762">
        <f>Input!$SA$6</f>
        <v>0</v>
      </c>
      <c r="J94" s="762">
        <f>Input!$SB$6</f>
        <v>0</v>
      </c>
      <c r="K94" s="762">
        <f>Input!$SC$6</f>
        <v>0</v>
      </c>
      <c r="L94" s="762">
        <f>Input!$SD$6</f>
        <v>0</v>
      </c>
      <c r="M94" s="723">
        <f>D94+E94+F94+G94+H94+I94+J94+K94+L94</f>
        <v>0</v>
      </c>
      <c r="O94" s="884"/>
      <c r="P94" s="406"/>
    </row>
    <row r="95" spans="1:25">
      <c r="B95" s="320" t="s">
        <v>484</v>
      </c>
      <c r="C95" s="320"/>
      <c r="D95" s="762">
        <f>Input!$SE$6</f>
        <v>0</v>
      </c>
      <c r="E95" s="762">
        <f>Input!$SF$6</f>
        <v>0</v>
      </c>
      <c r="F95" s="762">
        <f>Input!$SG$6</f>
        <v>0</v>
      </c>
      <c r="G95" s="762">
        <f>Input!$SH$6</f>
        <v>0</v>
      </c>
      <c r="H95" s="762">
        <f>Input!$SI$6</f>
        <v>0</v>
      </c>
      <c r="I95" s="762">
        <f>Input!$SJ$6</f>
        <v>0</v>
      </c>
      <c r="J95" s="762">
        <f>Input!$SK$6</f>
        <v>0</v>
      </c>
      <c r="K95" s="762">
        <f>Input!$SL$6</f>
        <v>0</v>
      </c>
      <c r="L95" s="762">
        <f>Input!$SM$6</f>
        <v>0</v>
      </c>
      <c r="M95" s="723">
        <f>D95+E95+F95+G95+H95+I95+J95+K95+L95</f>
        <v>0</v>
      </c>
      <c r="O95" s="884"/>
    </row>
    <row r="96" spans="1:25">
      <c r="B96" s="320" t="s">
        <v>485</v>
      </c>
      <c r="C96" s="320"/>
      <c r="D96" s="762">
        <f>Input!$SN$6</f>
        <v>0</v>
      </c>
      <c r="E96" s="762">
        <f>Input!$SO$6</f>
        <v>0</v>
      </c>
      <c r="F96" s="762">
        <f>Input!$SP$6</f>
        <v>0</v>
      </c>
      <c r="G96" s="762">
        <f>Input!$SQ$6</f>
        <v>0</v>
      </c>
      <c r="H96" s="762">
        <f>Input!$SR$6</f>
        <v>0</v>
      </c>
      <c r="I96" s="762">
        <f>Input!$SS$6</f>
        <v>0</v>
      </c>
      <c r="J96" s="762">
        <f>Input!$ST$6</f>
        <v>0</v>
      </c>
      <c r="K96" s="762">
        <f>Input!$SU$6</f>
        <v>0</v>
      </c>
      <c r="L96" s="762">
        <f>Input!$SV$6</f>
        <v>319729</v>
      </c>
      <c r="M96" s="723">
        <f>D96+E96+F96+G96+H96+I96+J96+K96+L96</f>
        <v>319729</v>
      </c>
      <c r="O96" s="884"/>
      <c r="T96" s="752"/>
      <c r="U96" s="752"/>
      <c r="V96" s="752"/>
      <c r="W96" s="752"/>
      <c r="X96" s="752"/>
    </row>
    <row r="97" spans="1:22">
      <c r="A97" s="460">
        <v>79</v>
      </c>
      <c r="B97" s="320" t="s">
        <v>486</v>
      </c>
      <c r="C97" s="320"/>
      <c r="D97" s="762">
        <f>Input!$SW$6</f>
        <v>0</v>
      </c>
      <c r="E97" s="762">
        <f>Input!$SX$6</f>
        <v>0</v>
      </c>
      <c r="F97" s="762">
        <f>Input!$SY$6</f>
        <v>0</v>
      </c>
      <c r="G97" s="762">
        <f>Input!$SZ$6</f>
        <v>0</v>
      </c>
      <c r="H97" s="762">
        <f>Input!$TA$6</f>
        <v>0</v>
      </c>
      <c r="I97" s="762">
        <f>Input!$TB$6</f>
        <v>0</v>
      </c>
      <c r="J97" s="762">
        <f>Input!$TC$6</f>
        <v>0</v>
      </c>
      <c r="K97" s="762">
        <f>Input!$TD$6</f>
        <v>0</v>
      </c>
      <c r="L97" s="762">
        <f>Input!$TE$6</f>
        <v>378044529</v>
      </c>
      <c r="M97" s="723">
        <f>D97+E97+F97+G97+H97+I97+J97+K97+L97</f>
        <v>378044529</v>
      </c>
      <c r="O97" s="884"/>
    </row>
    <row r="98" spans="1:22" ht="13.8" thickBot="1">
      <c r="B98" s="885" t="s">
        <v>487</v>
      </c>
      <c r="C98" s="885"/>
      <c r="D98" s="886">
        <f t="shared" ref="D98:L98" si="21">SUM(D91:D97)</f>
        <v>-496830</v>
      </c>
      <c r="E98" s="886">
        <f t="shared" si="21"/>
        <v>276130257</v>
      </c>
      <c r="F98" s="886">
        <f t="shared" si="21"/>
        <v>-8941471</v>
      </c>
      <c r="G98" s="886">
        <f t="shared" si="21"/>
        <v>-337115567</v>
      </c>
      <c r="H98" s="886">
        <f t="shared" si="21"/>
        <v>-555703</v>
      </c>
      <c r="I98" s="886">
        <f t="shared" si="21"/>
        <v>-122389701</v>
      </c>
      <c r="J98" s="886">
        <f t="shared" si="21"/>
        <v>14008880</v>
      </c>
      <c r="K98" s="886">
        <f t="shared" si="21"/>
        <v>0</v>
      </c>
      <c r="L98" s="886">
        <f t="shared" si="21"/>
        <v>146981753</v>
      </c>
      <c r="M98" s="886">
        <f>SUM(M91:M97)</f>
        <v>-32378382</v>
      </c>
      <c r="R98" s="887">
        <f>M98-INT(M98)</f>
        <v>0</v>
      </c>
      <c r="U98" s="733"/>
    </row>
    <row r="99" spans="1:22" ht="13.8" thickTop="1">
      <c r="A99" s="460">
        <v>80</v>
      </c>
      <c r="D99" s="888"/>
      <c r="E99" s="888"/>
      <c r="F99" s="888"/>
      <c r="G99" s="888"/>
      <c r="H99" s="888"/>
      <c r="I99" s="888"/>
      <c r="J99" s="888"/>
      <c r="K99" s="888"/>
      <c r="L99" s="888"/>
      <c r="M99" s="888"/>
      <c r="O99" s="322"/>
      <c r="P99" s="889"/>
    </row>
    <row r="100" spans="1:22">
      <c r="A100" s="460">
        <v>81</v>
      </c>
      <c r="B100" s="823" t="s">
        <v>607</v>
      </c>
      <c r="C100" s="890"/>
      <c r="I100" s="763"/>
      <c r="O100" s="406"/>
      <c r="P100" s="1221" t="s">
        <v>685</v>
      </c>
      <c r="Q100" s="1222"/>
      <c r="R100" s="1222"/>
      <c r="S100" s="1222"/>
      <c r="T100" s="1222"/>
      <c r="U100" s="1222"/>
      <c r="V100" s="1223"/>
    </row>
    <row r="101" spans="1:22">
      <c r="A101" s="460">
        <v>82</v>
      </c>
      <c r="B101" s="890" t="s">
        <v>608</v>
      </c>
      <c r="O101" s="406"/>
      <c r="P101" s="891" t="s">
        <v>686</v>
      </c>
      <c r="Q101" s="892"/>
      <c r="R101" s="891" t="s">
        <v>687</v>
      </c>
      <c r="S101" s="892"/>
      <c r="T101" s="789"/>
      <c r="U101" s="891" t="s">
        <v>688</v>
      </c>
      <c r="V101" s="892"/>
    </row>
    <row r="102" spans="1:22">
      <c r="A102" s="460">
        <v>83</v>
      </c>
      <c r="B102" s="320" t="s">
        <v>609</v>
      </c>
      <c r="P102" s="776"/>
      <c r="Q102" s="721"/>
      <c r="R102" s="776"/>
      <c r="S102" s="721"/>
      <c r="U102" s="776"/>
      <c r="V102" s="721"/>
    </row>
    <row r="103" spans="1:22">
      <c r="A103" s="460">
        <v>84</v>
      </c>
      <c r="P103" s="1224" t="str">
        <f>Input!$VC$6</f>
        <v>John Schmidt</v>
      </c>
      <c r="Q103" s="1225"/>
      <c r="R103" s="1224" t="str">
        <f>Input!$VD$6</f>
        <v>214-648-0888</v>
      </c>
      <c r="S103" s="1225"/>
      <c r="U103" s="1226" t="str">
        <f>HYPERLINK("Mailto:"&amp;Input!$VE$6,Input!$VE$6)</f>
        <v>john.schmidt@utsouthwestern.edu</v>
      </c>
      <c r="V103" s="1225" t="e">
        <f>Input!#REF!</f>
        <v>#REF!</v>
      </c>
    </row>
    <row r="104" spans="1:22">
      <c r="M104" s="893" t="s">
        <v>625</v>
      </c>
      <c r="P104" s="776"/>
      <c r="V104" s="721"/>
    </row>
    <row r="105" spans="1:22">
      <c r="B105" s="320" t="s">
        <v>610</v>
      </c>
      <c r="M105" s="762">
        <f>Input!$TF$6</f>
        <v>-32378382</v>
      </c>
      <c r="O105" s="277"/>
      <c r="P105" s="1215" t="s">
        <v>689</v>
      </c>
      <c r="Q105" s="1216"/>
      <c r="R105" s="1216"/>
      <c r="S105" s="1216"/>
      <c r="T105" s="1216"/>
      <c r="U105" s="1216"/>
      <c r="V105" s="1217"/>
    </row>
    <row r="106" spans="1:22">
      <c r="B106" s="752" t="s">
        <v>611</v>
      </c>
      <c r="M106" s="894">
        <f>M98-M105</f>
        <v>0</v>
      </c>
      <c r="O106" s="895"/>
      <c r="P106" s="1215"/>
      <c r="Q106" s="1216"/>
      <c r="R106" s="1216"/>
      <c r="S106" s="1216"/>
      <c r="T106" s="1216"/>
      <c r="U106" s="1216"/>
      <c r="V106" s="1217"/>
    </row>
    <row r="107" spans="1:22">
      <c r="L107" s="896" t="str">
        <f>IF($L$123&lt;&gt;Input!$F$6,"Out of Balance","Balanced")</f>
        <v>Balanced</v>
      </c>
      <c r="M107" s="344" t="str">
        <f>IF(M106&lt;&gt;0,"Out of Balance","Balanced")</f>
        <v>Balanced</v>
      </c>
      <c r="O107" s="895"/>
      <c r="P107" s="800"/>
      <c r="Q107" s="801"/>
      <c r="R107" s="801"/>
      <c r="S107" s="801"/>
      <c r="T107" s="801"/>
      <c r="U107" s="801"/>
      <c r="V107" s="897"/>
    </row>
    <row r="108" spans="1:22">
      <c r="O108" s="895"/>
    </row>
    <row r="110" spans="1:22" s="320" customFormat="1">
      <c r="A110" s="322"/>
      <c r="D110" s="723">
        <f>SUM($D$10:$D$14)+SUM($D$19:$D$28)+SUM($D$50)+$D$53+SUM($D$56:$D$61)+SUM($D$65:$D$76)+SUM($D$80:$D$83)+SUM($D$87:$D$88)+SUM($D$93:$D$97)+SUM($D$32:$D$41)+$D$47</f>
        <v>419017425</v>
      </c>
      <c r="E110" s="723">
        <f>SUM($E$10:$E$14)+SUM($E$19:$E$28)+SUM($E$50)+$E$53+SUM($E$56:$E$61)+SUM($E$65:$E$76)+SUM($E$80:$E$83)+SUM($E$87:$E$88)+SUM($E$93:$E$97)+SUM($E$32:$E$41)+$E$47</f>
        <v>7003945257</v>
      </c>
      <c r="F110" s="723">
        <f>SUM($F$10:$F$14)+SUM($F$19:$F$28)+SUM($F$50)+$F$53+SUM($F$56:$F$61)+SUM($F$65:$F$76)+SUM($F$80:$F$83)+SUM($F$87:$F$88)+SUM($F$93:$F$97)+SUM($F$32:$F$41)+$F$47</f>
        <v>63252705</v>
      </c>
      <c r="G110" s="723">
        <f>SUM($G$10:$G$14)+SUM($G$19:$G$28)+SUM($G$50)+$G$53+SUM($G$56:$G$61)+SUM($G$65:$G$76)+SUM($G$80:$G$83)+SUM($G$87:$G$88)+SUM($G$93:$G$97)+SUM($G$32:$G$41)+$G$47</f>
        <v>566346993</v>
      </c>
      <c r="H110" s="723">
        <f>SUM($H$10:$H$14)+SUM($H$19:$H$28)+SUM($H$50)+$H$53+SUM($H$56:$H$61)+SUM($H$65:$H$76)+SUM($H$80:$H$83)+SUM($H$87:$H$88)+SUM($H$93:$H$97)+SUM($H$32:$H$41)+$H$47</f>
        <v>123877</v>
      </c>
      <c r="I110" s="723">
        <f>SUM($I$10:$I$14)+SUM($I$19:$I$28)+SUM($I$50)+$I$53+SUM($I$56:$I$61)+SUM($I$65:$I$76)+SUM($I$80:$I$83)+SUM($I$87:$I$88)+SUM($I$93:$I$97)+SUM($I$32:$I$41)+$I$47</f>
        <v>-122389701</v>
      </c>
      <c r="J110" s="723">
        <f>SUM($J$10:$J$14)+SUM($J$19:$J$28)+SUM($J$50)+$J$53+SUM($J$56:$J$61)+SUM($J$65:$J$76)+SUM($J$80:$J$83)+SUM($J$87:$J$88)+SUM($J$93:$J$97)+SUM($J$32:$J$41)+$J$47</f>
        <v>106886378</v>
      </c>
      <c r="K110" s="723">
        <f>SUM($K$10:$K$14)+SUM($K$19:$K$28)+SUM($K$50)+$K$53+SUM($K$56:$K$61)+SUM($K$65:$K$76)+SUM($K$80:$K$83)+SUM($K$87:$K$88)+SUM($K$93:$K$97)+SUM($K$32:$K$41)+$K$47</f>
        <v>0</v>
      </c>
      <c r="L110" s="723">
        <f>SUM($L$10:$L$14)+SUM($L$19:$L$28)+SUM($L$50)+$L$53+SUM($L$56:$L$61)+SUM($L$65:$L$76)+SUM($L$80:$L$83)+SUM($L$87:$L$88)+SUM($L$93:$L$97)+SUM($L$32:$L$41)+$L$47</f>
        <v>146981753</v>
      </c>
    </row>
    <row r="111" spans="1:22" s="320" customFormat="1">
      <c r="A111" s="322"/>
      <c r="L111" s="723">
        <f>SUM($D$110:$L$110)</f>
        <v>8184164687</v>
      </c>
    </row>
    <row r="112" spans="1:22" s="320" customFormat="1">
      <c r="A112" s="322"/>
      <c r="J112" s="320" t="s">
        <v>690</v>
      </c>
      <c r="L112" s="723">
        <f>$M$105</f>
        <v>-32378382</v>
      </c>
    </row>
    <row r="113" spans="1:13" s="320" customFormat="1">
      <c r="A113" s="322"/>
      <c r="J113" s="320" t="s">
        <v>691</v>
      </c>
      <c r="L113" s="492">
        <f>$Q$32</f>
        <v>30863116</v>
      </c>
    </row>
    <row r="114" spans="1:13" s="320" customFormat="1">
      <c r="A114" s="322"/>
      <c r="J114" s="320" t="s">
        <v>691</v>
      </c>
      <c r="L114" s="492">
        <f>$R$34</f>
        <v>-2603253</v>
      </c>
    </row>
    <row r="115" spans="1:13" s="320" customFormat="1">
      <c r="A115" s="322"/>
      <c r="J115" s="320" t="s">
        <v>521</v>
      </c>
      <c r="L115" s="492">
        <f>SUM($P$65:$P$74)</f>
        <v>4601955</v>
      </c>
    </row>
    <row r="116" spans="1:13" s="320" customFormat="1">
      <c r="A116" s="322"/>
      <c r="J116" s="320" t="s">
        <v>692</v>
      </c>
      <c r="L116" s="492">
        <f>$S$76+$S$77</f>
        <v>9231500981</v>
      </c>
    </row>
    <row r="117" spans="1:13" s="320" customFormat="1">
      <c r="A117" s="322"/>
      <c r="J117" s="320" t="s">
        <v>693</v>
      </c>
      <c r="L117" s="492">
        <f>SUM($Q$65:$Q$73)</f>
        <v>3180586</v>
      </c>
    </row>
    <row r="118" spans="1:13" s="320" customFormat="1">
      <c r="A118" s="322"/>
      <c r="J118" s="320" t="s">
        <v>694</v>
      </c>
      <c r="L118" s="492">
        <f>SUM($R$65:$R$73)</f>
        <v>1532948</v>
      </c>
    </row>
    <row r="119" spans="1:13" s="320" customFormat="1">
      <c r="A119" s="322"/>
      <c r="J119" s="320" t="s">
        <v>695</v>
      </c>
      <c r="L119" s="492">
        <f>SUM($X$65:$X$74)</f>
        <v>4095009160</v>
      </c>
    </row>
    <row r="120" spans="1:13" s="320" customFormat="1">
      <c r="A120" s="322"/>
      <c r="J120" s="320" t="s">
        <v>696</v>
      </c>
      <c r="L120" s="492">
        <f>$S$84</f>
        <v>0</v>
      </c>
    </row>
    <row r="121" spans="1:13" s="320" customFormat="1">
      <c r="A121" s="322"/>
      <c r="J121" s="320" t="s">
        <v>696</v>
      </c>
      <c r="L121" s="492">
        <f>$S$87</f>
        <v>0</v>
      </c>
    </row>
    <row r="122" spans="1:13" s="320" customFormat="1">
      <c r="A122" s="322"/>
      <c r="J122" s="320" t="s">
        <v>697</v>
      </c>
      <c r="L122" s="443">
        <f>VLOOKUP(B2,Names!$B$10:$C$90,2,FALSE)</f>
        <v>30</v>
      </c>
    </row>
    <row r="123" spans="1:13">
      <c r="L123" s="898">
        <f>SUM($L$111:$L$122)</f>
        <v>21515871828</v>
      </c>
    </row>
    <row r="125" spans="1:13" s="320" customFormat="1">
      <c r="A125" s="322"/>
      <c r="D125" s="322"/>
      <c r="E125" s="322"/>
      <c r="F125" s="322"/>
      <c r="G125" s="720"/>
      <c r="H125" s="322"/>
      <c r="I125" s="322"/>
      <c r="J125" s="282"/>
      <c r="K125" s="322"/>
      <c r="L125" s="322"/>
      <c r="M125" s="277"/>
    </row>
    <row r="126" spans="1:13">
      <c r="D126" s="669"/>
      <c r="E126" s="669"/>
      <c r="F126" s="669"/>
      <c r="G126" s="669"/>
      <c r="H126" s="669"/>
      <c r="I126" s="669"/>
      <c r="J126" s="669"/>
      <c r="K126" s="669"/>
      <c r="L126" s="669"/>
      <c r="M126" s="669"/>
    </row>
  </sheetData>
  <mergeCells count="27">
    <mergeCell ref="Q76:R76"/>
    <mergeCell ref="P105:V106"/>
    <mergeCell ref="P82:S82"/>
    <mergeCell ref="P100:V100"/>
    <mergeCell ref="P103:Q103"/>
    <mergeCell ref="R103:S103"/>
    <mergeCell ref="U103:V103"/>
    <mergeCell ref="B2:G2"/>
    <mergeCell ref="O61:O64"/>
    <mergeCell ref="P61:P64"/>
    <mergeCell ref="Q61:Q64"/>
    <mergeCell ref="R61:R64"/>
    <mergeCell ref="P10:P11"/>
    <mergeCell ref="B3:F3"/>
    <mergeCell ref="B4:F4"/>
    <mergeCell ref="O19:S19"/>
    <mergeCell ref="B6:M6"/>
    <mergeCell ref="P4:Q4"/>
    <mergeCell ref="O60:S60"/>
    <mergeCell ref="G64:K64"/>
    <mergeCell ref="S61:S64"/>
    <mergeCell ref="U61:U64"/>
    <mergeCell ref="W60:Y60"/>
    <mergeCell ref="X61:X64"/>
    <mergeCell ref="Y61:Y64"/>
    <mergeCell ref="U19:Y19"/>
    <mergeCell ref="W61:W64"/>
  </mergeCells>
  <phoneticPr fontId="0" type="noConversion"/>
  <conditionalFormatting sqref="D98:L98">
    <cfRule type="cellIs" dxfId="388" priority="35" stopIfTrue="1" operator="notEqual">
      <formula>#REF!</formula>
    </cfRule>
  </conditionalFormatting>
  <conditionalFormatting sqref="D99:M99">
    <cfRule type="cellIs" dxfId="387" priority="41" stopIfTrue="1" operator="notEqual">
      <formula>#REF!</formula>
    </cfRule>
  </conditionalFormatting>
  <conditionalFormatting sqref="G64:K64">
    <cfRule type="expression" dxfId="386" priority="21">
      <formula>$R$98&lt;&gt;0</formula>
    </cfRule>
  </conditionalFormatting>
  <conditionalFormatting sqref="M15">
    <cfRule type="cellIs" dxfId="385" priority="49" stopIfTrue="1" operator="notEqual">
      <formula>SUM($M$10:$M$14)</formula>
    </cfRule>
  </conditionalFormatting>
  <conditionalFormatting sqref="M62">
    <cfRule type="cellIs" dxfId="384" priority="48" stopIfTrue="1" operator="notEqual">
      <formula>SUM($M$56:$M$61)</formula>
    </cfRule>
  </conditionalFormatting>
  <conditionalFormatting sqref="M77">
    <cfRule type="cellIs" dxfId="383" priority="42" stopIfTrue="1" operator="notEqual">
      <formula>SUM($M$65:$M$76)</formula>
    </cfRule>
  </conditionalFormatting>
  <conditionalFormatting sqref="M84">
    <cfRule type="cellIs" dxfId="382" priority="44" stopIfTrue="1" operator="notEqual">
      <formula>SUM($M$80:$M$83)</formula>
    </cfRule>
  </conditionalFormatting>
  <conditionalFormatting sqref="M89">
    <cfRule type="cellIs" dxfId="381" priority="43" stopIfTrue="1" operator="notEqual">
      <formula>SUM($M$87:$M$88)</formula>
    </cfRule>
  </conditionalFormatting>
  <conditionalFormatting sqref="O12">
    <cfRule type="expression" dxfId="380" priority="18">
      <formula>$Q$12&lt;&gt;$N$12</formula>
    </cfRule>
  </conditionalFormatting>
  <conditionalFormatting sqref="O13">
    <cfRule type="expression" dxfId="379" priority="19">
      <formula>$Q$13&lt;&gt;$N$13</formula>
    </cfRule>
  </conditionalFormatting>
  <conditionalFormatting sqref="O11:P11">
    <cfRule type="expression" dxfId="378" priority="20">
      <formula>#REF!&lt;&gt;$N$11</formula>
    </cfRule>
  </conditionalFormatting>
  <conditionalFormatting sqref="P76">
    <cfRule type="expression" dxfId="377" priority="11">
      <formula>$P$75&lt;&gt;$M$75</formula>
    </cfRule>
  </conditionalFormatting>
  <conditionalFormatting sqref="Q35">
    <cfRule type="expression" dxfId="376" priority="3">
      <formula>#REF!&lt;&gt;0</formula>
    </cfRule>
  </conditionalFormatting>
  <conditionalFormatting sqref="Q36:R36">
    <cfRule type="expression" dxfId="375" priority="5">
      <formula>#REF!&lt;&gt;#REF!</formula>
    </cfRule>
  </conditionalFormatting>
  <conditionalFormatting sqref="Q100:R100 U100:V100 P100:P101 S100:T102 U101 R102 S105:U106">
    <cfRule type="cellIs" dxfId="374" priority="13" stopIfTrue="1" operator="notEqual">
      <formula>#REF!</formula>
    </cfRule>
  </conditionalFormatting>
  <conditionalFormatting sqref="R35">
    <cfRule type="expression" dxfId="373" priority="4">
      <formula>#REF!&lt;&gt;0</formula>
    </cfRule>
  </conditionalFormatting>
  <conditionalFormatting sqref="S84 S87">
    <cfRule type="expression" dxfId="372" priority="14" stopIfTrue="1">
      <formula>$M$91&gt;=0</formula>
    </cfRule>
    <cfRule type="expression" priority="15">
      <formula>$M$91&lt;0</formula>
    </cfRule>
  </conditionalFormatting>
  <conditionalFormatting sqref="S91">
    <cfRule type="expression" priority="16" stopIfTrue="1">
      <formula>$N$91&lt;0</formula>
    </cfRule>
    <cfRule type="expression" dxfId="371" priority="17">
      <formula>$T$91&lt;&gt;0</formula>
    </cfRule>
  </conditionalFormatting>
  <conditionalFormatting sqref="Y78">
    <cfRule type="expression" dxfId="370" priority="10">
      <formula>$Y$77&lt;&gt;0</formula>
    </cfRule>
  </conditionalFormatting>
  <hyperlinks>
    <hyperlink ref="O2" location="Index!A1" display="Return to Index" xr:uid="{00000000-0004-0000-1800-000000000000}"/>
  </hyperlinks>
  <printOptions horizontalCentered="1"/>
  <pageMargins left="0.25" right="0.25" top="0.25" bottom="0.2" header="0.5" footer="0.2"/>
  <pageSetup scale="43" pageOrder="overThenDown" orientation="landscape" r:id="rId1"/>
  <headerFooter alignWithMargins="0"/>
  <rowBreaks count="1" manualBreakCount="1">
    <brk id="107"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
  <dimension ref="A1:F24"/>
  <sheetViews>
    <sheetView showGridLines="0" zoomScale="90" zoomScaleNormal="90" workbookViewId="0">
      <selection activeCell="B4" sqref="A1:XFD1048576"/>
    </sheetView>
  </sheetViews>
  <sheetFormatPr defaultRowHeight="13.2"/>
  <cols>
    <col min="1" max="1" width="7" style="320" customWidth="1"/>
    <col min="2" max="2" width="93.44140625" style="320" customWidth="1"/>
    <col min="3" max="9" width="8.88671875" style="320"/>
    <col min="10" max="10" width="11.88671875" style="320" customWidth="1"/>
    <col min="11" max="16384" width="8.88671875" style="320"/>
  </cols>
  <sheetData>
    <row r="1" spans="1:6">
      <c r="B1" s="742" t="str">
        <f>'SWM Chts'!$A$1</f>
        <v>The University of Texas Southwestern Medical Center</v>
      </c>
      <c r="D1" s="321" t="s">
        <v>51</v>
      </c>
    </row>
    <row r="2" spans="1:6">
      <c r="B2" s="742" t="str">
        <f>'Smmy Chts'!$A$2</f>
        <v>For the Year Ended August 31, 2022</v>
      </c>
    </row>
    <row r="3" spans="1:6">
      <c r="B3" s="742" t="str">
        <f>'SWM Chts'!$A$3</f>
        <v>Source: FY 2022 Annual Financial Report</v>
      </c>
    </row>
    <row r="5" spans="1:6">
      <c r="B5" s="743" t="s">
        <v>619</v>
      </c>
    </row>
    <row r="6" spans="1:6">
      <c r="B6" s="744"/>
    </row>
    <row r="7" spans="1:6" ht="226.5" customHeight="1">
      <c r="B7" s="745" t="s">
        <v>620</v>
      </c>
      <c r="C7" s="746"/>
    </row>
    <row r="8" spans="1:6" ht="263.25" customHeight="1">
      <c r="B8" s="745" t="s">
        <v>621</v>
      </c>
    </row>
    <row r="9" spans="1:6" s="277" customFormat="1" ht="64.5" customHeight="1">
      <c r="B9" s="747" t="str">
        <f>IF('SWM FGD'!$S$83="N/A","FN11.  N/A",$B$14&amp;$B$15&amp;$B$16&amp;$B$17&amp;$B$18&amp;$B$19&amp;$B$20&amp;$B$21&amp;$B$22&amp;$B$23&amp;$B$24)</f>
        <v>FN11.  N/A</v>
      </c>
      <c r="E9" s="669"/>
    </row>
    <row r="14" spans="1:6" s="277" customFormat="1">
      <c r="B14" s="277" t="s">
        <v>698</v>
      </c>
    </row>
    <row r="15" spans="1:6" s="277" customFormat="1">
      <c r="A15" s="277">
        <v>75</v>
      </c>
      <c r="B15" s="669" t="str">
        <f>TEXT(IF('SWM FGD'!$M$91&lt;0,"N/A",'SWM FGD'!$M$91),"$* #,##0;$* (#,##0)")</f>
        <v>N/A</v>
      </c>
      <c r="C15" s="282"/>
      <c r="F15" s="282"/>
    </row>
    <row r="16" spans="1:6" s="277" customFormat="1">
      <c r="B16" s="277" t="s">
        <v>699</v>
      </c>
    </row>
    <row r="17" spans="1:6" s="277" customFormat="1">
      <c r="A17" s="277">
        <v>68</v>
      </c>
      <c r="B17" s="748" t="str">
        <f>IF(ABS('SWM FGD'!$S$84)&gt;=1000000,TEXT('SWM FGD'!$S$84/1000000,"$* #,##0.0;$* (#,##0.0)")&amp;" million",IF(ABS('SWM FGD'!$S$84)&lt;1000,TEXT('SWM FGD'!$S$84,"$* #,##0;$* (#,##0)"),TEXT('SWM FGD'!$S$84/1000,"$* #,##0;$* (#,##0)")&amp;" thousand"))</f>
        <v>$0</v>
      </c>
      <c r="C17" s="748"/>
      <c r="F17" s="748"/>
    </row>
    <row r="18" spans="1:6" s="277" customFormat="1">
      <c r="B18" s="277" t="s">
        <v>700</v>
      </c>
    </row>
    <row r="19" spans="1:6" s="277" customFormat="1">
      <c r="A19" s="277">
        <v>69</v>
      </c>
      <c r="B19" s="277" t="e">
        <f>IF(ABS('SWM FGD'!$S$85)&gt;=1000000,TEXT('SWM FGD'!$S$85/1000000,"$* #,##0.0;$* (#,##0.0)")&amp;" million",IF(ABS('SWM FGD'!$S$85)&lt;1000,TEXT('SWM FGD'!$S$85,"$* #,##0;$* (#,##0)"),TEXT('SWM FGD'!$S$85/1000,"$* #,##0;$* (#,##0)")&amp;" thousand"))</f>
        <v>#VALUE!</v>
      </c>
    </row>
    <row r="20" spans="1:6" s="277" customFormat="1">
      <c r="B20" s="277" t="s">
        <v>701</v>
      </c>
    </row>
    <row r="21" spans="1:6" s="277" customFormat="1">
      <c r="A21" s="277">
        <v>71</v>
      </c>
      <c r="B21" s="277" t="str">
        <f>IF(ABS('SWM FGD'!$S$87)&gt;=1000000,TEXT('SWM FGD'!$S$87/1000000,"$* #,##0.0;$* (#,##0.0)")&amp;" million",IF(ABS('SWM FGD'!$S$87)&lt;1000,TEXT('SWM FGD'!$S$87,"$* #,##0;$* (#,##0)"),TEXT('SWM FGD'!$S$87/1000,"$* #,##0;$* (#,##0)")&amp;" thousand"))</f>
        <v>$0</v>
      </c>
    </row>
    <row r="22" spans="1:6" s="277" customFormat="1">
      <c r="B22" s="277" t="s">
        <v>702</v>
      </c>
    </row>
    <row r="23" spans="1:6" s="277" customFormat="1">
      <c r="A23" s="277">
        <v>73</v>
      </c>
      <c r="B23" s="277" t="e">
        <f>IF(ABS('SWM FGD'!$S$89)&gt;=1000000,TEXT('SWM FGD'!$S$89/1000000,"$* #,##0.0;$* (#,##0.0)")&amp;" million",IF(ABS('SWM FGD'!$S$89)&lt;1000,TEXT('SWM FGD'!$S$89,"$* #,##0;$* (#,##0)"),TEXT('SWM FGD'!$S$89/1000,"$* #,##0;$* (#,##0)")&amp;" thousand"))</f>
        <v>#VALUE!</v>
      </c>
    </row>
    <row r="24" spans="1:6" s="277" customFormat="1">
      <c r="B24" s="277" t="s">
        <v>703</v>
      </c>
    </row>
  </sheetData>
  <phoneticPr fontId="13" type="noConversion"/>
  <hyperlinks>
    <hyperlink ref="D1" location="Index!A1" display="Return to Index" xr:uid="{00000000-0004-0000-1900-000000000000}"/>
  </hyperlinks>
  <pageMargins left="0.25" right="0.25" top="0.5" bottom="0.25"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47"/>
    <pageSetUpPr fitToPage="1"/>
  </sheetPr>
  <dimension ref="A1:E154"/>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16.6640625" style="277" customWidth="1"/>
    <col min="3" max="3" width="55" style="277" customWidth="1"/>
    <col min="4" max="4" width="23.44140625" style="277" customWidth="1"/>
    <col min="5" max="16384" width="9.109375" style="277"/>
  </cols>
  <sheetData>
    <row r="1" spans="1:5" ht="27.75" customHeight="1">
      <c r="A1" s="990" t="s">
        <v>20</v>
      </c>
      <c r="C1" s="321" t="s">
        <v>51</v>
      </c>
    </row>
    <row r="2" spans="1:5" ht="27.75" customHeight="1">
      <c r="A2" s="990" t="str">
        <f>'Smmy Chts'!$A$2</f>
        <v>For the Year Ended August 31, 2022</v>
      </c>
    </row>
    <row r="3" spans="1:5" ht="27.75" customHeight="1">
      <c r="A3" s="990" t="str">
        <f>'Smmy Chts'!$A$3</f>
        <v>Source: FY 2022 Annual Financial Report</v>
      </c>
      <c r="C3" s="991" t="s">
        <v>493</v>
      </c>
    </row>
    <row r="4" spans="1:5" ht="12.9" customHeight="1">
      <c r="C4" s="991" t="s">
        <v>494</v>
      </c>
    </row>
    <row r="5" spans="1:5" ht="12.9" customHeight="1">
      <c r="C5" s="991" t="s">
        <v>495</v>
      </c>
    </row>
    <row r="6" spans="1:5" ht="12.9" customHeight="1">
      <c r="C6" s="991"/>
    </row>
    <row r="7" spans="1:5" ht="12.9" customHeight="1"/>
    <row r="8" spans="1:5" ht="12.9" customHeight="1"/>
    <row r="9" spans="1:5" ht="12.9" customHeight="1">
      <c r="C9" s="1138" t="s">
        <v>496</v>
      </c>
      <c r="D9" s="1138"/>
    </row>
    <row r="10" spans="1:5" ht="12.9" customHeight="1">
      <c r="C10" s="991"/>
      <c r="D10" s="992"/>
    </row>
    <row r="11" spans="1:5" ht="12.9" customHeight="1">
      <c r="C11" s="993" t="str">
        <f>'MBG Sum'!A9</f>
        <v>State of Texas</v>
      </c>
      <c r="D11" s="994">
        <f>'MBG Sum'!B15</f>
        <v>392636564</v>
      </c>
      <c r="E11" s="995">
        <f>ROUND(D11/$D$17,3)</f>
        <v>0.14199999999999999</v>
      </c>
    </row>
    <row r="12" spans="1:5" ht="12.9" customHeight="1">
      <c r="C12" s="993" t="str">
        <f>'MBG Sum'!A17</f>
        <v>Student &amp; Parent</v>
      </c>
      <c r="D12" s="994">
        <f>'MBG Sum'!B20</f>
        <v>51191427</v>
      </c>
      <c r="E12" s="995">
        <f t="shared" ref="E12:E15" si="0">ROUND(D12/$D$17,3)</f>
        <v>1.9E-2</v>
      </c>
    </row>
    <row r="13" spans="1:5" ht="12.9" customHeight="1">
      <c r="C13" s="993" t="str">
        <f>'MBG Sum'!A22</f>
        <v>Federal Government</v>
      </c>
      <c r="D13" s="994">
        <f>'MBG Sum'!B23</f>
        <v>179173759</v>
      </c>
      <c r="E13" s="995">
        <f t="shared" si="0"/>
        <v>6.5000000000000002E-2</v>
      </c>
    </row>
    <row r="14" spans="1:5" ht="12.9" customHeight="1">
      <c r="C14" s="993" t="str">
        <f>'MBG Sum'!A31</f>
        <v>Institutional Resources</v>
      </c>
      <c r="D14" s="994">
        <f>'MBG Sum'!B38</f>
        <v>338860128</v>
      </c>
      <c r="E14" s="995">
        <f t="shared" si="0"/>
        <v>0.123</v>
      </c>
    </row>
    <row r="15" spans="1:5" ht="12.9" customHeight="1">
      <c r="C15" s="996" t="s">
        <v>497</v>
      </c>
      <c r="D15" s="994">
        <f>'MBG Sum'!B29+'MBG Sum'!B26</f>
        <v>1795592701</v>
      </c>
      <c r="E15" s="995">
        <f t="shared" si="0"/>
        <v>0.65100000000000002</v>
      </c>
    </row>
    <row r="16" spans="1:5" ht="12.9" customHeight="1">
      <c r="C16" s="991"/>
      <c r="D16" s="992"/>
    </row>
    <row r="17" spans="3:5" ht="12.9" customHeight="1">
      <c r="C17" s="997" t="s">
        <v>201</v>
      </c>
      <c r="D17" s="998">
        <f>SUM(D11:D16)</f>
        <v>2757454579</v>
      </c>
      <c r="E17" s="999">
        <f>SUM(E11:E15)</f>
        <v>1</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71" t="str">
        <f>C17&amp;" "&amp;TEXT(D17,"$#,###")</f>
        <v>Total Operating Sources $2,757,454,579</v>
      </c>
    </row>
    <row r="48" spans="1:1" ht="12.9" customHeight="1">
      <c r="A48" s="1171"/>
    </row>
    <row r="49" spans="1:5" ht="12.9" customHeight="1">
      <c r="A49" s="282"/>
    </row>
    <row r="50" spans="1:5" ht="12.9" customHeight="1">
      <c r="C50" s="1000" t="s">
        <v>496</v>
      </c>
      <c r="D50" s="1000"/>
    </row>
    <row r="51" spans="1:5" ht="12.9" customHeight="1">
      <c r="C51" s="991"/>
      <c r="D51" s="992"/>
    </row>
    <row r="52" spans="1:5" ht="12.9" customHeight="1">
      <c r="C52" s="991"/>
      <c r="D52" s="991"/>
    </row>
    <row r="53" spans="1:5" ht="12.9" customHeight="1">
      <c r="C53" s="993" t="s">
        <v>101</v>
      </c>
      <c r="D53" s="994">
        <f>'MBG Sum'!B10</f>
        <v>379544163</v>
      </c>
      <c r="E53" s="995">
        <f>ROUND(D53/$D$68,3)</f>
        <v>0.13800000000000001</v>
      </c>
    </row>
    <row r="54" spans="1:5" ht="12.9" customHeight="1">
      <c r="C54" s="993" t="s">
        <v>510</v>
      </c>
      <c r="D54" s="994">
        <f>'MBG Sum'!B11</f>
        <v>13092401</v>
      </c>
      <c r="E54" s="995">
        <f t="shared" ref="E54:E67" si="1">ROUND(D54/$D$68,3)</f>
        <v>5.0000000000000001E-3</v>
      </c>
    </row>
    <row r="55" spans="1:5" ht="12.9" customHeight="1">
      <c r="C55" s="1001"/>
      <c r="D55" s="994"/>
      <c r="E55" s="995"/>
    </row>
    <row r="56" spans="1:5" ht="12.9" customHeight="1">
      <c r="C56" s="1001" t="str">
        <f>'MBG Sum'!A13</f>
        <v>Higher Education Fund</v>
      </c>
      <c r="D56" s="994">
        <f>'MBG Sum'!B13</f>
        <v>0</v>
      </c>
      <c r="E56" s="995">
        <f t="shared" si="1"/>
        <v>0</v>
      </c>
    </row>
    <row r="57" spans="1:5" ht="12.9" customHeight="1">
      <c r="C57" s="1001" t="s">
        <v>511</v>
      </c>
      <c r="D57" s="994">
        <f>'MBG Sum'!B14</f>
        <v>0</v>
      </c>
      <c r="E57" s="995">
        <f t="shared" si="1"/>
        <v>0</v>
      </c>
    </row>
    <row r="58" spans="1:5" ht="12.9" customHeight="1">
      <c r="C58" s="993" t="s">
        <v>460</v>
      </c>
      <c r="D58" s="994">
        <f>'MBG Sum'!B20</f>
        <v>51191427</v>
      </c>
      <c r="E58" s="995">
        <f t="shared" si="1"/>
        <v>1.9E-2</v>
      </c>
    </row>
    <row r="59" spans="1:5" ht="12.9" customHeight="1">
      <c r="C59" s="993" t="s">
        <v>512</v>
      </c>
      <c r="D59" s="994">
        <f>'MBG Sum'!B23</f>
        <v>179173759</v>
      </c>
      <c r="E59" s="995">
        <f t="shared" si="1"/>
        <v>6.5000000000000002E-2</v>
      </c>
    </row>
    <row r="60" spans="1:5" ht="12.9" customHeight="1">
      <c r="C60" s="993" t="s">
        <v>513</v>
      </c>
      <c r="D60" s="994">
        <f>'MBG Sum'!B32</f>
        <v>70672961</v>
      </c>
      <c r="E60" s="995">
        <f t="shared" si="1"/>
        <v>2.5999999999999999E-2</v>
      </c>
    </row>
    <row r="61" spans="1:5" ht="12.9" customHeight="1">
      <c r="C61" s="993" t="s">
        <v>514</v>
      </c>
      <c r="D61" s="994">
        <f>'MBG Sum'!B33</f>
        <v>740330</v>
      </c>
      <c r="E61" s="995">
        <f t="shared" si="1"/>
        <v>0</v>
      </c>
    </row>
    <row r="62" spans="1:5" ht="12.9" customHeight="1">
      <c r="C62" s="993" t="s">
        <v>515</v>
      </c>
      <c r="D62" s="994">
        <f>'MBG Sum'!B34</f>
        <v>128646634</v>
      </c>
      <c r="E62" s="995">
        <f t="shared" si="1"/>
        <v>4.7E-2</v>
      </c>
    </row>
    <row r="63" spans="1:5" ht="12.9" customHeight="1">
      <c r="C63" s="993" t="s">
        <v>516</v>
      </c>
      <c r="D63" s="994">
        <f>'MBG Sum'!B35</f>
        <v>11810769</v>
      </c>
      <c r="E63" s="995">
        <f t="shared" si="1"/>
        <v>4.0000000000000001E-3</v>
      </c>
    </row>
    <row r="64" spans="1:5" ht="12.9" customHeight="1">
      <c r="C64" s="993" t="s">
        <v>176</v>
      </c>
      <c r="D64" s="994">
        <f>'MBG Sum'!B36</f>
        <v>13321025</v>
      </c>
      <c r="E64" s="995">
        <f t="shared" si="1"/>
        <v>5.0000000000000001E-3</v>
      </c>
    </row>
    <row r="65" spans="3:5" ht="12.9" customHeight="1">
      <c r="C65" s="993" t="s">
        <v>517</v>
      </c>
      <c r="D65" s="994">
        <f>'MBG Sum'!B37</f>
        <v>113668409</v>
      </c>
      <c r="E65" s="995">
        <f t="shared" si="1"/>
        <v>4.1000000000000002E-2</v>
      </c>
    </row>
    <row r="66" spans="3:5" ht="12.9" customHeight="1">
      <c r="C66" s="993" t="s">
        <v>163</v>
      </c>
      <c r="D66" s="994">
        <f>'MBG Sum'!B26</f>
        <v>256863176</v>
      </c>
      <c r="E66" s="995">
        <f t="shared" si="1"/>
        <v>9.2999999999999999E-2</v>
      </c>
    </row>
    <row r="67" spans="3:5" ht="12.9" customHeight="1">
      <c r="C67" s="996" t="s">
        <v>497</v>
      </c>
      <c r="D67" s="994">
        <f>'MBG Sum'!B29</f>
        <v>1538729525</v>
      </c>
      <c r="E67" s="995">
        <f t="shared" si="1"/>
        <v>0.55800000000000005</v>
      </c>
    </row>
    <row r="68" spans="3:5" ht="12.9" customHeight="1">
      <c r="C68" s="997" t="s">
        <v>201</v>
      </c>
      <c r="D68" s="998">
        <f>SUM(D53:D67)</f>
        <v>2757454579</v>
      </c>
      <c r="E68" s="999">
        <f>SUM(E53:E67)</f>
        <v>1.0009999999999999</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71" t="str">
        <f>C68&amp;" "&amp;TEXT(D68,"$#,###")</f>
        <v>Total Operating Sources $2,757,454,579</v>
      </c>
    </row>
    <row r="93" spans="1:1" ht="12.9" customHeight="1">
      <c r="A93" s="1171"/>
    </row>
    <row r="94" spans="1:1" ht="12.9" customHeight="1">
      <c r="A94" s="1018"/>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1019">
        <f>'MBG Sum'!B42</f>
        <v>430094314</v>
      </c>
      <c r="E102" s="995">
        <f>ROUND(D102/$D$115,3)</f>
        <v>0.17499999999999999</v>
      </c>
    </row>
    <row r="103" spans="1:5" ht="12.9" customHeight="1">
      <c r="C103" s="1004" t="s">
        <v>179</v>
      </c>
      <c r="D103" s="1019">
        <f>'MBG Sum'!B43</f>
        <v>127926683</v>
      </c>
      <c r="E103" s="995">
        <f t="shared" ref="E103:E113" si="2">ROUND(D103/$D$115,3)</f>
        <v>5.1999999999999998E-2</v>
      </c>
    </row>
    <row r="104" spans="1:5" ht="12.9" customHeight="1">
      <c r="C104" s="1004" t="s">
        <v>180</v>
      </c>
      <c r="D104" s="1019">
        <f>'MBG Sum'!B44</f>
        <v>23661247</v>
      </c>
      <c r="E104" s="995">
        <f t="shared" si="2"/>
        <v>0.01</v>
      </c>
    </row>
    <row r="105" spans="1:5" ht="12.9" customHeight="1">
      <c r="C105" s="1004" t="s">
        <v>181</v>
      </c>
      <c r="D105" s="1019">
        <f>'MBG Sum'!B46</f>
        <v>40298926</v>
      </c>
      <c r="E105" s="995">
        <f t="shared" si="2"/>
        <v>1.6E-2</v>
      </c>
    </row>
    <row r="106" spans="1:5" ht="12.9" customHeight="1">
      <c r="C106" s="1004" t="s">
        <v>182</v>
      </c>
      <c r="D106" s="1019">
        <f>'MBG Sum'!B47</f>
        <v>7233707</v>
      </c>
      <c r="E106" s="995">
        <f t="shared" si="2"/>
        <v>3.0000000000000001E-3</v>
      </c>
    </row>
    <row r="107" spans="1:5" ht="12.9" customHeight="1">
      <c r="C107" s="1004" t="s">
        <v>183</v>
      </c>
      <c r="D107" s="1019">
        <f>'MBG Sum'!B48</f>
        <v>102842448</v>
      </c>
      <c r="E107" s="995">
        <f t="shared" si="2"/>
        <v>4.2000000000000003E-2</v>
      </c>
    </row>
    <row r="108" spans="1:5" ht="12.9" customHeight="1">
      <c r="C108" s="1004" t="s">
        <v>519</v>
      </c>
      <c r="D108" s="1019">
        <f>'MBG Sum'!B49</f>
        <v>68279938</v>
      </c>
      <c r="E108" s="995">
        <f t="shared" si="2"/>
        <v>2.8000000000000001E-2</v>
      </c>
    </row>
    <row r="109" spans="1:5" ht="12.9" customHeight="1">
      <c r="C109" s="1004" t="s">
        <v>520</v>
      </c>
      <c r="D109" s="1019">
        <f>'MBG Sum'!B50</f>
        <v>11477605</v>
      </c>
      <c r="E109" s="995">
        <f t="shared" si="2"/>
        <v>5.0000000000000001E-3</v>
      </c>
    </row>
    <row r="110" spans="1:5" ht="12.9" customHeight="1">
      <c r="C110" s="1004" t="s">
        <v>186</v>
      </c>
      <c r="D110" s="1019">
        <f>'MBG Sum'!B51</f>
        <v>10792867</v>
      </c>
      <c r="E110" s="995">
        <f t="shared" si="2"/>
        <v>4.0000000000000001E-3</v>
      </c>
    </row>
    <row r="111" spans="1:5" ht="12.9" customHeight="1">
      <c r="C111" s="1015" t="s">
        <v>521</v>
      </c>
      <c r="D111" s="1019">
        <f>'MBG Sum'!B52</f>
        <v>15092746</v>
      </c>
      <c r="E111" s="995">
        <f t="shared" si="2"/>
        <v>6.0000000000000001E-3</v>
      </c>
    </row>
    <row r="112" spans="1:5" ht="12.9" customHeight="1">
      <c r="C112" s="993" t="s">
        <v>522</v>
      </c>
      <c r="D112" s="1019">
        <f>'MBG Sum'!B53</f>
        <v>4086792</v>
      </c>
      <c r="E112" s="995">
        <f t="shared" si="2"/>
        <v>2E-3</v>
      </c>
    </row>
    <row r="113" spans="3:5" ht="12.9" customHeight="1">
      <c r="C113" s="996" t="s">
        <v>523</v>
      </c>
      <c r="D113" s="1019">
        <f>'MBG Sum'!B45</f>
        <v>1620876652</v>
      </c>
      <c r="E113" s="995">
        <f t="shared" si="2"/>
        <v>0.65800000000000003</v>
      </c>
    </row>
    <row r="114" spans="3:5" ht="12.9" customHeight="1">
      <c r="C114" s="991"/>
      <c r="D114" s="991"/>
      <c r="E114" s="999"/>
    </row>
    <row r="115" spans="3:5" ht="12.9" customHeight="1">
      <c r="C115" s="1005" t="s">
        <v>189</v>
      </c>
      <c r="D115" s="998">
        <f>SUM(D102:D114)</f>
        <v>2462663925</v>
      </c>
      <c r="E115" s="999">
        <f>SUM(E102:E113)</f>
        <v>1.0010000000000001</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71" t="str">
        <f>C115&amp;" "&amp;TEXT(D115,"$#,###")</f>
        <v>Total Operating Uses $2,462,663,925</v>
      </c>
    </row>
    <row r="137" spans="1:1" ht="12.9" customHeight="1">
      <c r="A137" s="1171"/>
    </row>
    <row r="138" spans="1:1" ht="12.9" customHeight="1">
      <c r="A138" s="282"/>
    </row>
    <row r="139" spans="1:1" ht="12.9" customHeight="1">
      <c r="A139" s="1006" t="s">
        <v>524</v>
      </c>
    </row>
    <row r="140" spans="1:1" ht="12.9"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row r="154" spans="1:1" ht="12.9" customHeight="1"/>
  </sheetData>
  <mergeCells count="6">
    <mergeCell ref="C101:D101"/>
    <mergeCell ref="A136:A137"/>
    <mergeCell ref="C9:D9"/>
    <mergeCell ref="A47:A48"/>
    <mergeCell ref="A92:A93"/>
    <mergeCell ref="C100:D100"/>
  </mergeCells>
  <hyperlinks>
    <hyperlink ref="C1" location="Index!A1" display="Return to Index" xr:uid="{00000000-0004-0000-1A00-000000000000}"/>
  </hyperlinks>
  <printOptions horizontalCentered="1"/>
  <pageMargins left="0.5" right="0.5" top="0.25" bottom="0.25" header="0.25" footer="0.25"/>
  <pageSetup scale="4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5"/>
  <sheetViews>
    <sheetView showGridLines="0" topLeftCell="A3" workbookViewId="0">
      <selection activeCell="D4" sqref="D4"/>
    </sheetView>
  </sheetViews>
  <sheetFormatPr defaultRowHeight="13.2"/>
  <cols>
    <col min="1" max="1" width="3.5546875" customWidth="1"/>
    <col min="2" max="2" width="5" customWidth="1"/>
    <col min="3" max="3" width="56.6640625" customWidth="1"/>
    <col min="4" max="4" width="20.109375" customWidth="1"/>
    <col min="5" max="5" width="19.44140625" customWidth="1"/>
  </cols>
  <sheetData>
    <row r="1" spans="2:8" ht="13.8" thickBot="1">
      <c r="D1" s="16" t="s">
        <v>82</v>
      </c>
      <c r="H1" s="162" t="s">
        <v>51</v>
      </c>
    </row>
    <row r="2" spans="2:8">
      <c r="D2" s="16" t="s">
        <v>83</v>
      </c>
    </row>
    <row r="3" spans="2:8">
      <c r="D3" s="16" t="s">
        <v>84</v>
      </c>
    </row>
    <row r="5" spans="2:8">
      <c r="C5" s="1" t="s">
        <v>85</v>
      </c>
    </row>
    <row r="7" spans="2:8" ht="26.4">
      <c r="C7" s="130" t="s">
        <v>57</v>
      </c>
      <c r="D7" s="134" t="s">
        <v>86</v>
      </c>
      <c r="E7" s="134" t="s">
        <v>87</v>
      </c>
    </row>
    <row r="8" spans="2:8">
      <c r="B8" s="133">
        <v>390</v>
      </c>
      <c r="C8" s="133" t="s">
        <v>19</v>
      </c>
      <c r="D8" s="132">
        <f>'SWM FGD'!S66</f>
        <v>493240571</v>
      </c>
      <c r="E8" s="132">
        <f>'SWM FGD'!S78</f>
        <v>1915796429</v>
      </c>
    </row>
    <row r="9" spans="2:8">
      <c r="B9" s="133">
        <v>400</v>
      </c>
      <c r="C9" s="133" t="s">
        <v>20</v>
      </c>
      <c r="D9" s="136">
        <f>'MBG FGD'!S66</f>
        <v>131329437</v>
      </c>
      <c r="E9" s="136">
        <f>'MBG FGD'!S78</f>
        <v>889066107</v>
      </c>
    </row>
    <row r="10" spans="2:8">
      <c r="B10" s="133">
        <v>410</v>
      </c>
      <c r="C10" s="133" t="s">
        <v>21</v>
      </c>
      <c r="D10" s="136">
        <f>'HSH FGD'!S66</f>
        <v>251501873</v>
      </c>
      <c r="E10" s="136">
        <f>'HSH FGD'!S78</f>
        <v>1905119649</v>
      </c>
    </row>
    <row r="11" spans="2:8">
      <c r="B11" s="133">
        <v>420</v>
      </c>
      <c r="C11" s="133" t="s">
        <v>22</v>
      </c>
      <c r="D11" s="136">
        <f>'HSSA FGD'!S66</f>
        <v>178561198</v>
      </c>
      <c r="E11" s="136">
        <f>'HSSA FGD'!S78</f>
        <v>1116040174</v>
      </c>
    </row>
    <row r="12" spans="2:8">
      <c r="B12" s="133">
        <v>430</v>
      </c>
      <c r="C12" s="133" t="s">
        <v>23</v>
      </c>
      <c r="D12" s="136">
        <f>'MDA FGD'!S66</f>
        <v>959948709</v>
      </c>
      <c r="E12" s="136">
        <f>'MDA FGD'!S78</f>
        <v>695352359</v>
      </c>
    </row>
    <row r="13" spans="2:8">
      <c r="B13" s="133">
        <v>440</v>
      </c>
      <c r="C13" s="133" t="s">
        <v>88</v>
      </c>
      <c r="D13" s="136">
        <f>'THC FGD'!S66</f>
        <v>23849359</v>
      </c>
      <c r="E13" s="136">
        <f>'THC FGD'!S78</f>
        <v>191452852</v>
      </c>
    </row>
    <row r="14" spans="2:8">
      <c r="B14" s="133">
        <v>450</v>
      </c>
      <c r="C14" s="133" t="s">
        <v>25</v>
      </c>
      <c r="D14" s="136">
        <f>'TAMHSC FGD'!S66</f>
        <v>103346629</v>
      </c>
      <c r="E14" s="136">
        <f>'TAMHSC FGD'!S78</f>
        <v>334148981</v>
      </c>
    </row>
    <row r="15" spans="2:8">
      <c r="B15" s="133">
        <v>460</v>
      </c>
      <c r="C15" s="133" t="s">
        <v>89</v>
      </c>
      <c r="D15" s="136">
        <f>'UNTHSC1 FGD'!S66</f>
        <v>47664647</v>
      </c>
      <c r="E15" s="136">
        <f>'UNTHSC1 FGD'!S78</f>
        <v>260089931</v>
      </c>
    </row>
    <row r="16" spans="2:8">
      <c r="B16" s="133">
        <v>470</v>
      </c>
      <c r="C16" s="133" t="s">
        <v>27</v>
      </c>
      <c r="D16" s="136">
        <f>'TTUHSC FGD'!S66</f>
        <v>41345385</v>
      </c>
      <c r="E16" s="136">
        <f>'TTUHSC FGD'!S78</f>
        <v>617575539</v>
      </c>
    </row>
    <row r="17" spans="3:5" ht="13.8" thickBot="1">
      <c r="C17" s="133" t="s">
        <v>90</v>
      </c>
      <c r="D17" s="135">
        <f>SUM(D8:D16)</f>
        <v>2230787808</v>
      </c>
      <c r="E17" s="135">
        <f>SUM(E8:E16)</f>
        <v>7924642021</v>
      </c>
    </row>
    <row r="18" spans="3:5" ht="13.8" thickTop="1"/>
    <row r="24" spans="3:5">
      <c r="C24" t="s">
        <v>91</v>
      </c>
    </row>
    <row r="25" spans="3:5">
      <c r="D25" s="130" t="s">
        <v>92</v>
      </c>
    </row>
    <row r="26" spans="3:5">
      <c r="C26" s="133" t="s">
        <v>19</v>
      </c>
      <c r="D26" s="132">
        <f>'SWM FGD'!M65</f>
        <v>1242718341</v>
      </c>
    </row>
    <row r="27" spans="3:5">
      <c r="C27" s="133" t="s">
        <v>20</v>
      </c>
      <c r="D27" s="136">
        <f>'MBG FGD'!M65</f>
        <v>430094314</v>
      </c>
    </row>
    <row r="28" spans="3:5">
      <c r="C28" s="133" t="s">
        <v>21</v>
      </c>
      <c r="D28" s="136">
        <f>'HSH FGD'!M65</f>
        <v>920890016</v>
      </c>
    </row>
    <row r="29" spans="3:5">
      <c r="C29" s="133" t="s">
        <v>22</v>
      </c>
      <c r="D29" s="136">
        <f>'HSSA FGD'!M65</f>
        <v>447297039</v>
      </c>
    </row>
    <row r="30" spans="3:5">
      <c r="C30" s="133" t="s">
        <v>23</v>
      </c>
      <c r="D30" s="136">
        <f>'MDA FGD'!M65</f>
        <v>99944089</v>
      </c>
    </row>
    <row r="31" spans="3:5">
      <c r="C31" s="133" t="s">
        <v>88</v>
      </c>
      <c r="D31" s="136">
        <f>'THC FGD'!M65</f>
        <v>80102466</v>
      </c>
    </row>
    <row r="32" spans="3:5">
      <c r="C32" s="133" t="s">
        <v>25</v>
      </c>
      <c r="D32" s="136">
        <f>'TAMHSC FGD'!M65</f>
        <v>125746504</v>
      </c>
    </row>
    <row r="33" spans="3:5">
      <c r="C33" s="133" t="s">
        <v>89</v>
      </c>
      <c r="D33" s="136">
        <f>'UNTHSC1 FGD'!M65</f>
        <v>79538736</v>
      </c>
    </row>
    <row r="34" spans="3:5">
      <c r="C34" s="133" t="s">
        <v>27</v>
      </c>
      <c r="D34" s="136">
        <f>'TTUHSC FGD'!M65</f>
        <v>227430702</v>
      </c>
    </row>
    <row r="35" spans="3:5" ht="13.8" thickBot="1">
      <c r="C35" s="133" t="s">
        <v>90</v>
      </c>
      <c r="D35" s="135">
        <f>SUM(D26:D34)</f>
        <v>3653762207</v>
      </c>
    </row>
    <row r="36" spans="3:5" ht="13.8" thickTop="1"/>
    <row r="43" spans="3:5" ht="13.8" thickBot="1">
      <c r="C43" s="6" t="s">
        <v>93</v>
      </c>
      <c r="D43" s="135">
        <v>1497141081</v>
      </c>
      <c r="E43" s="135">
        <v>4849386791</v>
      </c>
    </row>
    <row r="44" spans="3:5" ht="14.4" thickTop="1" thickBot="1">
      <c r="D44" s="135">
        <v>2022546884</v>
      </c>
    </row>
    <row r="45" spans="3:5" ht="13.8" thickTop="1"/>
  </sheetData>
  <hyperlinks>
    <hyperlink ref="H1" location="Index!A1" display="Return to Index" xr:uid="{00000000-0004-0000-0200-000000000000}"/>
  </hyperlinks>
  <pageMargins left="0.2" right="0.2" top="0.5" bottom="0.25" header="0.3" footer="0.3"/>
  <pageSetup scale="9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ransitionEvaluation="1" transitionEntry="1">
    <tabColor indexed="13"/>
  </sheetPr>
  <dimension ref="A1:AD83"/>
  <sheetViews>
    <sheetView showGridLines="0" zoomScale="85" zoomScaleNormal="85"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2.109375" style="277" customWidth="1"/>
    <col min="16" max="16384" width="9.109375" style="277"/>
  </cols>
  <sheetData>
    <row r="1" spans="1:15" ht="16.8" thickTop="1" thickBot="1">
      <c r="A1" s="900" t="str">
        <f>'MBG Chts'!$A$1</f>
        <v>The University of Texas Medical Branch at Galveston</v>
      </c>
      <c r="B1" s="754"/>
      <c r="C1" s="754"/>
      <c r="D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1007">
        <f>VLOOKUP(A1,NamesLU,2,FALSE)</f>
        <v>104952</v>
      </c>
      <c r="J2" s="901"/>
      <c r="K2" s="901"/>
      <c r="L2" s="901"/>
      <c r="M2" s="901"/>
      <c r="O2" s="320"/>
    </row>
    <row r="3" spans="1:15" ht="15.75" customHeight="1">
      <c r="A3" s="900" t="str">
        <f>'Smmy Chts'!$A$3</f>
        <v>Source: FY 2022 Annual Financial Report</v>
      </c>
      <c r="B3" s="754"/>
      <c r="C3" s="754"/>
      <c r="O3" s="320"/>
    </row>
    <row r="4" spans="1:15" ht="13.5" customHeight="1">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909"/>
      <c r="C6" s="427">
        <f>VLOOKUP($G$2,FTSELU,10,FALSE)</f>
        <v>3859.84</v>
      </c>
      <c r="J6" s="910"/>
      <c r="O6" s="320"/>
    </row>
    <row r="7" spans="1:15">
      <c r="B7" s="909"/>
      <c r="C7" s="909"/>
      <c r="I7" s="446" t="s">
        <v>533</v>
      </c>
      <c r="J7" s="911"/>
      <c r="O7" s="320"/>
    </row>
    <row r="8" spans="1:15">
      <c r="A8" s="912" t="s">
        <v>151</v>
      </c>
      <c r="B8" s="912"/>
      <c r="C8" s="913"/>
      <c r="I8" s="914">
        <f>VLOOKUP($G$2,FTSELU,11,FALSE)</f>
        <v>1419.99</v>
      </c>
      <c r="J8" s="910"/>
      <c r="O8" s="320"/>
    </row>
    <row r="9" spans="1:15" ht="12.75" customHeight="1" thickBot="1">
      <c r="A9" s="279" t="s">
        <v>152</v>
      </c>
      <c r="B9" s="915"/>
      <c r="C9" s="915"/>
      <c r="J9" s="910"/>
      <c r="O9" s="320"/>
    </row>
    <row r="10" spans="1:15" ht="12.75" customHeight="1" thickTop="1">
      <c r="A10" s="277" t="s">
        <v>535</v>
      </c>
      <c r="B10" s="501">
        <f>'MBG FGD'!M10</f>
        <v>379544163</v>
      </c>
      <c r="C10" s="501">
        <f>ROUND(B10/$C$6,0)</f>
        <v>98332</v>
      </c>
      <c r="D10" s="492">
        <f>'MBG FGD'!F10</f>
        <v>0</v>
      </c>
      <c r="E10" s="492"/>
      <c r="F10" s="916">
        <f>B10-(SUM(D10:E10))</f>
        <v>379544163</v>
      </c>
      <c r="G10" s="917" t="s">
        <v>101</v>
      </c>
      <c r="H10" s="918"/>
      <c r="I10" s="919" t="s">
        <v>536</v>
      </c>
      <c r="J10" s="920">
        <f>ROUND(F10/$C$6,0)</f>
        <v>98332</v>
      </c>
      <c r="O10" s="320"/>
    </row>
    <row r="11" spans="1:15" ht="12.75" customHeight="1" thickBot="1">
      <c r="A11" s="277" t="s">
        <v>134</v>
      </c>
      <c r="B11" s="669">
        <f>'MBG FGD'!M11</f>
        <v>13092401</v>
      </c>
      <c r="C11" s="669">
        <f t="shared" ref="C11:C14" si="0">ROUND(B11/$C$6,0)</f>
        <v>3392</v>
      </c>
      <c r="D11" s="921">
        <f>'MBG FGD'!F11</f>
        <v>0</v>
      </c>
      <c r="E11" s="754"/>
      <c r="F11" s="922">
        <f t="shared" ref="F11:F14" si="1">B11-(SUM(D11:E11))</f>
        <v>13092401</v>
      </c>
      <c r="G11" s="923">
        <f>SUM(F10:F11)</f>
        <v>392636564</v>
      </c>
      <c r="H11" s="924"/>
      <c r="I11" s="925">
        <f>ROUND($G$11/$C$6,0)</f>
        <v>101724</v>
      </c>
      <c r="J11" s="926">
        <f t="shared" ref="J11:J14" si="2">ROUND(F11/$C$6,0)</f>
        <v>3392</v>
      </c>
      <c r="O11" s="320"/>
    </row>
    <row r="12" spans="1:15" ht="12.75" hidden="1" customHeight="1" thickTop="1" thickBot="1">
      <c r="A12" s="277" t="s">
        <v>537</v>
      </c>
      <c r="B12" s="669"/>
      <c r="C12" s="669"/>
      <c r="D12" s="921"/>
      <c r="E12" s="754"/>
      <c r="F12" s="927"/>
      <c r="J12" s="926"/>
      <c r="O12" s="928"/>
    </row>
    <row r="13" spans="1:15" ht="12.75" customHeight="1" thickTop="1">
      <c r="A13" s="277" t="s">
        <v>468</v>
      </c>
      <c r="B13" s="669">
        <f>'MBG FGD'!M13</f>
        <v>0</v>
      </c>
      <c r="C13" s="669">
        <f t="shared" si="0"/>
        <v>0</v>
      </c>
      <c r="D13" s="921">
        <f>'MBG FGD'!F13</f>
        <v>0</v>
      </c>
      <c r="E13" s="754"/>
      <c r="F13" s="929">
        <f t="shared" si="1"/>
        <v>0</v>
      </c>
      <c r="G13" s="930" t="s">
        <v>102</v>
      </c>
      <c r="H13" s="931"/>
      <c r="I13" s="417" t="s">
        <v>538</v>
      </c>
      <c r="J13" s="926">
        <f t="shared" si="2"/>
        <v>0</v>
      </c>
      <c r="O13" s="320"/>
    </row>
    <row r="14" spans="1:15" ht="12.75" customHeight="1" thickBot="1">
      <c r="A14" s="277" t="s">
        <v>135</v>
      </c>
      <c r="B14" s="669">
        <f>'MBG FGD'!M14</f>
        <v>0</v>
      </c>
      <c r="C14" s="669">
        <f t="shared" si="0"/>
        <v>0</v>
      </c>
      <c r="D14" s="921">
        <f>'MBG FGD'!F14</f>
        <v>0</v>
      </c>
      <c r="E14" s="754"/>
      <c r="F14" s="927">
        <f t="shared" si="1"/>
        <v>0</v>
      </c>
      <c r="G14" s="932">
        <f>SUM(F13:F14)</f>
        <v>0</v>
      </c>
      <c r="H14" s="933"/>
      <c r="I14" s="934">
        <f>ROUND($G$11/$I$8,0)</f>
        <v>276507</v>
      </c>
      <c r="J14" s="935">
        <f t="shared" si="2"/>
        <v>0</v>
      </c>
      <c r="O14" s="320"/>
    </row>
    <row r="15" spans="1:15" ht="12.75" customHeight="1" thickTop="1">
      <c r="A15" s="936" t="s">
        <v>155</v>
      </c>
      <c r="B15" s="937">
        <f>SUM(B10:B14)</f>
        <v>392636564</v>
      </c>
      <c r="C15" s="937">
        <f>SUM(C10:C14)</f>
        <v>101724</v>
      </c>
      <c r="D15" s="937">
        <f>SUM(D10:D14)</f>
        <v>0</v>
      </c>
      <c r="E15" s="937">
        <f>SUM(E10:E14)</f>
        <v>0</v>
      </c>
      <c r="F15" s="938">
        <f>SUM(F10:F14)</f>
        <v>392636564</v>
      </c>
      <c r="I15" s="345"/>
      <c r="J15" s="939">
        <f>SUM(J10:J14)</f>
        <v>101724</v>
      </c>
      <c r="O15" s="320"/>
    </row>
    <row r="16" spans="1:15">
      <c r="C16" s="277"/>
      <c r="J16" s="910"/>
      <c r="O16" s="320"/>
    </row>
    <row r="17" spans="1:15" ht="12.75" customHeight="1">
      <c r="A17" s="279" t="s">
        <v>161</v>
      </c>
      <c r="C17" s="277"/>
      <c r="J17" s="910"/>
      <c r="O17" s="320"/>
    </row>
    <row r="18" spans="1:15">
      <c r="A18" s="277" t="s">
        <v>165</v>
      </c>
      <c r="B18" s="501">
        <f>'MBG FGD'!M29</f>
        <v>37114623</v>
      </c>
      <c r="C18" s="501">
        <f t="shared" ref="C18:C19" si="3">ROUND(B18/$C$6,0)</f>
        <v>9616</v>
      </c>
      <c r="D18" s="492">
        <f>'MBG FGD'!$F$29</f>
        <v>0</v>
      </c>
      <c r="E18" s="492"/>
      <c r="F18" s="492">
        <f t="shared" ref="F18:F19" si="4">B18-(SUM(D18:E18))</f>
        <v>37114623</v>
      </c>
      <c r="J18" s="920">
        <f>ROUND(F18/$C$6,0)</f>
        <v>9616</v>
      </c>
      <c r="O18" s="320"/>
    </row>
    <row r="19" spans="1:15" ht="13.8" thickBot="1">
      <c r="A19" s="277" t="s">
        <v>166</v>
      </c>
      <c r="B19" s="669">
        <f>'MBG FGD'!M42</f>
        <v>14076804</v>
      </c>
      <c r="C19" s="669">
        <f t="shared" si="3"/>
        <v>3647</v>
      </c>
      <c r="D19" s="754">
        <f>'MBG FGD'!$F$42</f>
        <v>799159</v>
      </c>
      <c r="E19" s="754"/>
      <c r="F19" s="754">
        <f t="shared" si="4"/>
        <v>13277645</v>
      </c>
      <c r="J19" s="926">
        <f>ROUND(F19/$C$6,0)</f>
        <v>3440</v>
      </c>
      <c r="O19" s="320"/>
    </row>
    <row r="20" spans="1:15" ht="14.4" thickTop="1" thickBot="1">
      <c r="A20" s="936" t="s">
        <v>167</v>
      </c>
      <c r="B20" s="937">
        <f>SUM(B18:B19)</f>
        <v>51191427</v>
      </c>
      <c r="C20" s="937">
        <f>SUM(C18:C19)</f>
        <v>13263</v>
      </c>
      <c r="D20" s="798">
        <f>SUM(D18:D19)</f>
        <v>799159</v>
      </c>
      <c r="E20" s="940">
        <f>SUM(E18:E19)</f>
        <v>0</v>
      </c>
      <c r="F20" s="941">
        <f>SUM(F18:F19)</f>
        <v>50392268</v>
      </c>
      <c r="G20" s="942" t="s">
        <v>539</v>
      </c>
      <c r="H20" s="943"/>
      <c r="J20" s="944">
        <f>SUM(J18:J19)</f>
        <v>13056</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'MBG FGD'!M47</f>
        <v>179173759</v>
      </c>
      <c r="C23" s="937"/>
      <c r="D23" s="798">
        <f>'MBG FGD'!F47</f>
        <v>0</v>
      </c>
      <c r="E23" s="940"/>
      <c r="F23" s="941">
        <f>B23-(SUM(D23:E23))</f>
        <v>179173759</v>
      </c>
      <c r="G23" s="946" t="s">
        <v>540</v>
      </c>
      <c r="H23" s="943"/>
      <c r="J23" s="947">
        <f>ROUND(F23/$C$6,0)</f>
        <v>46420</v>
      </c>
      <c r="O23" s="320"/>
    </row>
    <row r="24" spans="1:15" ht="13.8" thickTop="1">
      <c r="C24" s="277"/>
      <c r="J24" s="910"/>
      <c r="O24" s="320"/>
    </row>
    <row r="25" spans="1:15">
      <c r="A25" s="279" t="s">
        <v>163</v>
      </c>
      <c r="C25" s="277"/>
      <c r="D25" s="754"/>
      <c r="J25" s="910"/>
      <c r="O25" s="320"/>
    </row>
    <row r="26" spans="1:15">
      <c r="A26" s="936" t="s">
        <v>200</v>
      </c>
      <c r="B26" s="937">
        <f>'MBG FGD'!M50</f>
        <v>256863176</v>
      </c>
      <c r="C26" s="937"/>
      <c r="D26" s="937">
        <f>'MBG FGD'!F50</f>
        <v>0</v>
      </c>
      <c r="E26" s="937">
        <f>B26-D26</f>
        <v>256863176</v>
      </c>
      <c r="F26" s="937">
        <f t="shared" ref="F26" si="5">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'MBG FGD'!M53</f>
        <v>1538729525</v>
      </c>
      <c r="C29" s="937"/>
      <c r="D29" s="937">
        <f>'MBG FGD'!F53</f>
        <v>0</v>
      </c>
      <c r="E29" s="937">
        <f>B29-D29</f>
        <v>1538729525</v>
      </c>
      <c r="F29" s="937">
        <f t="shared" ref="F29" si="6">B29-(SUM(D29:E29))</f>
        <v>0</v>
      </c>
      <c r="J29" s="926"/>
      <c r="O29" s="320"/>
    </row>
    <row r="30" spans="1:15">
      <c r="C30" s="277"/>
      <c r="E30" s="754"/>
      <c r="F30" s="754"/>
      <c r="J30" s="926"/>
      <c r="O30" s="320"/>
    </row>
    <row r="31" spans="1:15" ht="12" customHeight="1">
      <c r="A31" s="279" t="s">
        <v>171</v>
      </c>
      <c r="C31" s="277"/>
      <c r="E31" s="754"/>
      <c r="F31" s="754"/>
      <c r="G31" s="400"/>
      <c r="H31" s="400"/>
      <c r="I31" s="400"/>
      <c r="J31" s="926"/>
      <c r="O31" s="320"/>
    </row>
    <row r="32" spans="1:15">
      <c r="A32" s="277" t="s">
        <v>172</v>
      </c>
      <c r="B32" s="501">
        <f>'MBG FGD'!M56</f>
        <v>70672961</v>
      </c>
      <c r="C32" s="501"/>
      <c r="D32" s="492">
        <f>'MBG FGD'!F56</f>
        <v>0</v>
      </c>
      <c r="E32" s="492"/>
      <c r="F32" s="492">
        <f t="shared" ref="F32:F37" si="7">B32-(SUM(D32:E32))</f>
        <v>70672961</v>
      </c>
      <c r="J32" s="920">
        <f>ROUND(F32/$C$6,0)</f>
        <v>18310</v>
      </c>
      <c r="O32" s="320"/>
    </row>
    <row r="33" spans="1:30">
      <c r="A33" s="277" t="s">
        <v>173</v>
      </c>
      <c r="B33" s="669">
        <f>'MBG FGD'!M57</f>
        <v>740330</v>
      </c>
      <c r="C33" s="669"/>
      <c r="D33" s="921">
        <f>'MBG FGD'!F57</f>
        <v>0</v>
      </c>
      <c r="E33" s="754"/>
      <c r="F33" s="754">
        <f t="shared" si="7"/>
        <v>740330</v>
      </c>
      <c r="J33" s="926">
        <f t="shared" ref="J33:J37" si="8">ROUND(F33/$C$6,0)</f>
        <v>192</v>
      </c>
      <c r="O33" s="320"/>
    </row>
    <row r="34" spans="1:30" ht="13.8" thickBot="1">
      <c r="A34" s="277" t="s">
        <v>174</v>
      </c>
      <c r="B34" s="669">
        <f>'MBG FGD'!M58</f>
        <v>128646634</v>
      </c>
      <c r="C34" s="669"/>
      <c r="D34" s="921">
        <f>'MBG FGD'!F58</f>
        <v>367510</v>
      </c>
      <c r="E34" s="754"/>
      <c r="F34" s="754">
        <f t="shared" si="7"/>
        <v>128279124</v>
      </c>
      <c r="J34" s="926">
        <f t="shared" si="8"/>
        <v>33234</v>
      </c>
      <c r="O34" s="320"/>
    </row>
    <row r="35" spans="1:30" ht="13.8" thickBot="1">
      <c r="A35" s="277" t="s">
        <v>175</v>
      </c>
      <c r="B35" s="669">
        <f>'MBG FGD'!M59</f>
        <v>11810769</v>
      </c>
      <c r="C35" s="669"/>
      <c r="D35" s="921">
        <f>'MBG FGD'!F59</f>
        <v>0</v>
      </c>
      <c r="E35" s="754"/>
      <c r="F35" s="754">
        <f t="shared" si="7"/>
        <v>11810769</v>
      </c>
      <c r="J35" s="926">
        <f t="shared" si="8"/>
        <v>3060</v>
      </c>
      <c r="K35" s="1157"/>
      <c r="L35" s="1140"/>
      <c r="M35" s="1140"/>
      <c r="N35" s="1140"/>
      <c r="O35" s="1141"/>
    </row>
    <row r="36" spans="1:30" ht="13.8" thickBot="1">
      <c r="A36" s="277" t="s">
        <v>471</v>
      </c>
      <c r="B36" s="669">
        <f>'MBG FGD'!M60</f>
        <v>13321025</v>
      </c>
      <c r="C36" s="669"/>
      <c r="D36" s="921">
        <f>'MBG FGD'!F60</f>
        <v>13321025</v>
      </c>
      <c r="E36" s="754"/>
      <c r="F36" s="754">
        <f t="shared" si="7"/>
        <v>0</v>
      </c>
      <c r="J36" s="926">
        <f t="shared" si="8"/>
        <v>0</v>
      </c>
      <c r="K36" s="1157" t="s">
        <v>268</v>
      </c>
      <c r="L36" s="1140"/>
      <c r="M36" s="1140"/>
      <c r="N36" s="1140"/>
      <c r="O36" s="1141"/>
    </row>
    <row r="37" spans="1:30" ht="13.5" customHeight="1" thickBot="1">
      <c r="A37" s="538" t="s">
        <v>177</v>
      </c>
      <c r="B37" s="669">
        <f>'MBG FGD'!M61</f>
        <v>113668409</v>
      </c>
      <c r="C37" s="669"/>
      <c r="D37" s="921">
        <f>'MBG FGD'!F61</f>
        <v>0</v>
      </c>
      <c r="E37" s="754"/>
      <c r="F37" s="754">
        <f t="shared" si="7"/>
        <v>113668409</v>
      </c>
      <c r="G37" s="400"/>
      <c r="H37" s="400"/>
      <c r="I37" s="400"/>
      <c r="J37" s="926">
        <f t="shared" si="8"/>
        <v>29449</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338860128</v>
      </c>
      <c r="C38" s="937"/>
      <c r="D38" s="949">
        <f>SUM(D32:D37)</f>
        <v>13688535</v>
      </c>
      <c r="E38" s="949">
        <f>SUM(E32:E37)</f>
        <v>0</v>
      </c>
      <c r="F38" s="950">
        <f>SUM(F32:F37)</f>
        <v>325171593</v>
      </c>
      <c r="G38" s="1154" t="s">
        <v>171</v>
      </c>
      <c r="H38" s="1155"/>
      <c r="I38" s="951" t="s">
        <v>542</v>
      </c>
      <c r="J38" s="952">
        <f>SUM(J32:J37)</f>
        <v>84245</v>
      </c>
      <c r="K38" s="1159"/>
      <c r="L38" s="1159"/>
      <c r="M38" s="1159"/>
      <c r="N38" s="1159" t="s">
        <v>543</v>
      </c>
      <c r="O38" s="1159" t="s">
        <v>280</v>
      </c>
    </row>
    <row r="39" spans="1:30" ht="13.8" thickTop="1">
      <c r="A39" s="953" t="s">
        <v>201</v>
      </c>
      <c r="B39" s="954">
        <f>B15+B20+B23+B26+B29+B38</f>
        <v>2757454579</v>
      </c>
      <c r="C39" s="955"/>
      <c r="D39" s="954">
        <f>D15+D20+D23+D26+D29+D38</f>
        <v>14487694</v>
      </c>
      <c r="E39" s="954">
        <f>E15+E20+E23+E26+E29+E38</f>
        <v>1795592701</v>
      </c>
      <c r="F39" s="956">
        <f>F38+F23+F20+F15</f>
        <v>947374184</v>
      </c>
      <c r="G39" s="1156" t="s">
        <v>271</v>
      </c>
      <c r="H39" s="1156"/>
      <c r="I39" s="957">
        <f>ROUND($G$41/$C$6,0)</f>
        <v>245444</v>
      </c>
      <c r="J39" s="958">
        <f>J15+J20+J23+J38</f>
        <v>245445</v>
      </c>
      <c r="K39" s="1159"/>
      <c r="L39" s="1159"/>
      <c r="M39" s="1159"/>
      <c r="N39" s="1159"/>
      <c r="O39" s="1159"/>
    </row>
    <row r="40" spans="1:30" ht="13.8" thickBot="1">
      <c r="C40" s="277"/>
      <c r="F40" s="320" t="s">
        <v>544</v>
      </c>
      <c r="G40" s="959">
        <f>G14*-1</f>
        <v>0</v>
      </c>
      <c r="I40" s="951" t="s">
        <v>545</v>
      </c>
      <c r="J40" s="960"/>
      <c r="K40" s="1160"/>
      <c r="L40" s="1160"/>
      <c r="M40" s="1160"/>
      <c r="N40" s="1160"/>
      <c r="O40" s="1160"/>
    </row>
    <row r="41" spans="1:30" ht="14.4" thickTop="1" thickBot="1">
      <c r="A41" s="912" t="s">
        <v>178</v>
      </c>
      <c r="B41" s="912"/>
      <c r="C41" s="912"/>
      <c r="D41" s="344"/>
      <c r="E41" s="344"/>
      <c r="F41" s="961" t="s">
        <v>546</v>
      </c>
      <c r="G41" s="962">
        <f>F39+G40</f>
        <v>947374184</v>
      </c>
      <c r="I41" s="963">
        <f>ROUND($G$41/$I$8,0)</f>
        <v>667170</v>
      </c>
      <c r="K41" s="964"/>
      <c r="L41" s="964"/>
      <c r="M41" s="964"/>
      <c r="N41" s="964"/>
      <c r="O41" s="964"/>
    </row>
    <row r="42" spans="1:30" ht="13.8" thickTop="1">
      <c r="A42" s="490" t="s">
        <v>92</v>
      </c>
      <c r="B42" s="501">
        <f>'MBG FGD'!M65</f>
        <v>430094314</v>
      </c>
      <c r="C42" s="501">
        <f t="shared" ref="C42:C52" si="9">ROUND(B42/$C$6,0)</f>
        <v>111428</v>
      </c>
      <c r="D42" s="492">
        <f>'MBG FGD'!F65</f>
        <v>0</v>
      </c>
      <c r="E42" s="492"/>
      <c r="F42" s="492">
        <f t="shared" ref="F42" si="10">B42-(SUM(D42:E42))</f>
        <v>430094314</v>
      </c>
      <c r="H42" s="965" t="s">
        <v>547</v>
      </c>
      <c r="I42" s="966">
        <f>ROUND(F42/$C$6,0)</f>
        <v>111428</v>
      </c>
      <c r="J42" s="320" t="s">
        <v>548</v>
      </c>
      <c r="K42" s="492">
        <f>F42</f>
        <v>430094314</v>
      </c>
      <c r="L42" s="492">
        <f>K42</f>
        <v>430094314</v>
      </c>
      <c r="M42" s="492"/>
      <c r="N42" s="492"/>
      <c r="O42" s="492"/>
    </row>
    <row r="43" spans="1:30">
      <c r="A43" s="490" t="s">
        <v>179</v>
      </c>
      <c r="B43" s="669">
        <f>'MBG FGD'!M66</f>
        <v>127926683</v>
      </c>
      <c r="C43" s="669">
        <f t="shared" si="9"/>
        <v>33143</v>
      </c>
      <c r="D43" s="723">
        <f>'MBG FGD'!F66</f>
        <v>0</v>
      </c>
      <c r="E43" s="754"/>
      <c r="F43" s="754">
        <f t="shared" ref="F43:F44" si="11">B43-(SUM(D43:E43))</f>
        <v>127926683</v>
      </c>
      <c r="J43" s="320" t="s">
        <v>549</v>
      </c>
      <c r="K43" s="723">
        <f>F43</f>
        <v>127926683</v>
      </c>
      <c r="L43" s="723">
        <f>K43</f>
        <v>127926683</v>
      </c>
      <c r="M43" s="723"/>
      <c r="N43" s="723"/>
      <c r="O43" s="723"/>
    </row>
    <row r="44" spans="1:30">
      <c r="A44" s="490" t="s">
        <v>180</v>
      </c>
      <c r="B44" s="669">
        <f>'MBG FGD'!M67</f>
        <v>23661247</v>
      </c>
      <c r="C44" s="669"/>
      <c r="D44" s="723">
        <f>'MBG FGD'!F67</f>
        <v>0</v>
      </c>
      <c r="E44" s="921">
        <f>B44-D44</f>
        <v>23661247</v>
      </c>
      <c r="F44" s="754">
        <f t="shared" si="11"/>
        <v>0</v>
      </c>
      <c r="J44" s="320" t="s">
        <v>550</v>
      </c>
      <c r="K44" s="967"/>
      <c r="L44" s="769"/>
      <c r="M44" s="769" t="s">
        <v>551</v>
      </c>
      <c r="N44" s="769"/>
      <c r="O44" s="968"/>
    </row>
    <row r="45" spans="1:30">
      <c r="A45" s="300" t="s">
        <v>164</v>
      </c>
      <c r="B45" s="669">
        <f>'MBG FGD'!M68</f>
        <v>1620876652</v>
      </c>
      <c r="C45" s="669"/>
      <c r="D45" s="723">
        <f>'MBG FGD'!F68</f>
        <v>0</v>
      </c>
      <c r="E45" s="921">
        <f>B45-D45</f>
        <v>1620876652</v>
      </c>
      <c r="F45" s="754">
        <f t="shared" ref="F45" si="12">B45-(SUM(D45:E45))</f>
        <v>0</v>
      </c>
      <c r="G45" s="492"/>
      <c r="J45" s="320" t="s">
        <v>552</v>
      </c>
      <c r="K45" s="1161" t="s">
        <v>551</v>
      </c>
      <c r="L45" s="1162"/>
      <c r="M45" s="1162"/>
      <c r="N45" s="1162"/>
      <c r="O45" s="1163"/>
    </row>
    <row r="46" spans="1:30">
      <c r="A46" s="490" t="s">
        <v>181</v>
      </c>
      <c r="B46" s="669">
        <f>'MBG FGD'!M69</f>
        <v>40298926</v>
      </c>
      <c r="C46" s="669">
        <f t="shared" si="9"/>
        <v>10441</v>
      </c>
      <c r="D46" s="723">
        <f>'MBG FGD'!F69</f>
        <v>0</v>
      </c>
      <c r="E46" s="754"/>
      <c r="F46" s="754">
        <f t="shared" ref="F46:F53" si="13">B46-(SUM(D46:E46))</f>
        <v>40298926</v>
      </c>
      <c r="H46" s="965" t="s">
        <v>553</v>
      </c>
      <c r="I46" s="966">
        <f>ROUND(F46/$C$6,0)</f>
        <v>10441</v>
      </c>
      <c r="J46" s="320" t="s">
        <v>554</v>
      </c>
      <c r="K46" s="723">
        <f t="shared" ref="K46:K50" si="14">F46</f>
        <v>40298926</v>
      </c>
      <c r="L46" s="723">
        <f>K46</f>
        <v>40298926</v>
      </c>
      <c r="M46" s="723"/>
      <c r="N46" s="723"/>
      <c r="O46" s="723"/>
    </row>
    <row r="47" spans="1:30">
      <c r="A47" s="490" t="s">
        <v>182</v>
      </c>
      <c r="B47" s="669">
        <f>'MBG FGD'!M70</f>
        <v>7233707</v>
      </c>
      <c r="C47" s="669">
        <f t="shared" si="9"/>
        <v>1874</v>
      </c>
      <c r="D47" s="723">
        <f>'MBG FGD'!F70</f>
        <v>0</v>
      </c>
      <c r="E47" s="754"/>
      <c r="F47" s="754">
        <f t="shared" si="13"/>
        <v>7233707</v>
      </c>
      <c r="J47" s="320" t="s">
        <v>555</v>
      </c>
      <c r="K47" s="723">
        <f t="shared" si="14"/>
        <v>7233707</v>
      </c>
      <c r="L47" s="723"/>
      <c r="M47" s="723">
        <f>K47</f>
        <v>7233707</v>
      </c>
      <c r="N47" s="723"/>
      <c r="O47" s="723"/>
    </row>
    <row r="48" spans="1:30">
      <c r="A48" s="490" t="s">
        <v>183</v>
      </c>
      <c r="B48" s="669">
        <f>'MBG FGD'!M71</f>
        <v>102842448</v>
      </c>
      <c r="C48" s="669">
        <f t="shared" si="9"/>
        <v>26644</v>
      </c>
      <c r="D48" s="723">
        <f>'MBG FGD'!F71</f>
        <v>0</v>
      </c>
      <c r="E48" s="754"/>
      <c r="F48" s="754">
        <f t="shared" si="13"/>
        <v>102842448</v>
      </c>
      <c r="H48" s="965" t="s">
        <v>556</v>
      </c>
      <c r="I48" s="966">
        <f>ROUND(F48/$C$6,0)</f>
        <v>26644</v>
      </c>
      <c r="J48" s="320" t="s">
        <v>557</v>
      </c>
      <c r="K48" s="723">
        <f t="shared" si="14"/>
        <v>102842448</v>
      </c>
      <c r="L48" s="723"/>
      <c r="M48" s="723"/>
      <c r="N48" s="723">
        <f>K48</f>
        <v>102842448</v>
      </c>
      <c r="O48" s="723"/>
    </row>
    <row r="49" spans="1:30">
      <c r="A49" s="490" t="s">
        <v>184</v>
      </c>
      <c r="B49" s="669">
        <f>'MBG FGD'!M72</f>
        <v>68279938</v>
      </c>
      <c r="C49" s="669"/>
      <c r="D49" s="723">
        <f>'MBG FGD'!F72</f>
        <v>0</v>
      </c>
      <c r="E49" s="754"/>
      <c r="F49" s="754">
        <f t="shared" si="13"/>
        <v>68279938</v>
      </c>
      <c r="J49" s="320" t="s">
        <v>558</v>
      </c>
      <c r="K49" s="723">
        <f t="shared" si="14"/>
        <v>68279938</v>
      </c>
      <c r="L49" s="723"/>
      <c r="M49" s="723"/>
      <c r="N49" s="723">
        <f>K49</f>
        <v>68279938</v>
      </c>
      <c r="O49" s="723"/>
    </row>
    <row r="50" spans="1:30">
      <c r="A50" s="490" t="s">
        <v>185</v>
      </c>
      <c r="B50" s="669">
        <f>'MBG FGD'!M73</f>
        <v>11477605</v>
      </c>
      <c r="C50" s="669">
        <f t="shared" si="9"/>
        <v>2974</v>
      </c>
      <c r="D50" s="723">
        <f>'MBG FGD'!F73</f>
        <v>0</v>
      </c>
      <c r="E50" s="754"/>
      <c r="F50" s="754">
        <f t="shared" si="13"/>
        <v>11477605</v>
      </c>
      <c r="J50" s="320" t="s">
        <v>559</v>
      </c>
      <c r="K50" s="723">
        <f t="shared" si="14"/>
        <v>11477605</v>
      </c>
      <c r="L50" s="723"/>
      <c r="M50" s="723">
        <f>K50</f>
        <v>11477605</v>
      </c>
      <c r="N50" s="723"/>
      <c r="O50" s="723"/>
    </row>
    <row r="51" spans="1:30">
      <c r="A51" s="490" t="s">
        <v>472</v>
      </c>
      <c r="B51" s="669">
        <f>'MBG FGD'!M74</f>
        <v>10792867</v>
      </c>
      <c r="C51" s="669"/>
      <c r="D51" s="969">
        <f>B51</f>
        <v>10792867</v>
      </c>
      <c r="E51" s="754"/>
      <c r="F51" s="754">
        <f t="shared" si="13"/>
        <v>0</v>
      </c>
      <c r="J51" s="320" t="s">
        <v>560</v>
      </c>
      <c r="K51" s="967"/>
      <c r="L51" s="769"/>
      <c r="M51" s="769" t="s">
        <v>551</v>
      </c>
      <c r="N51" s="769"/>
      <c r="O51" s="968"/>
    </row>
    <row r="52" spans="1:30">
      <c r="A52" s="490" t="s">
        <v>187</v>
      </c>
      <c r="B52" s="669">
        <f>'MBG FGD'!M75</f>
        <v>15092746</v>
      </c>
      <c r="C52" s="669">
        <f t="shared" si="9"/>
        <v>3910</v>
      </c>
      <c r="D52" s="723">
        <f>'MBG FGD'!F75</f>
        <v>16960</v>
      </c>
      <c r="E52" s="754"/>
      <c r="F52" s="754">
        <f t="shared" si="13"/>
        <v>15075786</v>
      </c>
      <c r="J52" s="320" t="s">
        <v>561</v>
      </c>
      <c r="K52" s="723">
        <f t="shared" ref="K52:K53" si="15">F52</f>
        <v>15075786</v>
      </c>
      <c r="L52" s="723"/>
      <c r="M52" s="723"/>
      <c r="N52" s="723"/>
      <c r="O52" s="723">
        <f>K52</f>
        <v>15075786</v>
      </c>
    </row>
    <row r="53" spans="1:30" ht="13.8" thickBot="1">
      <c r="A53" s="277" t="s">
        <v>1713</v>
      </c>
      <c r="B53" s="669">
        <f>'MBG FGD'!M76</f>
        <v>4086792</v>
      </c>
      <c r="C53" s="669"/>
      <c r="D53" s="723">
        <f>'MBG FGD'!F76</f>
        <v>0</v>
      </c>
      <c r="E53" s="754"/>
      <c r="F53" s="754">
        <f t="shared" si="13"/>
        <v>4086792</v>
      </c>
      <c r="G53" s="400"/>
      <c r="H53" s="965" t="s">
        <v>562</v>
      </c>
      <c r="I53" s="966">
        <f>ROUND(SUM(F43+F47+F49+F50+F52+F53)/$C$6,0)</f>
        <v>60645</v>
      </c>
      <c r="J53" s="400" t="s">
        <v>280</v>
      </c>
      <c r="K53" s="723">
        <f t="shared" si="15"/>
        <v>4086792</v>
      </c>
      <c r="L53" s="970"/>
      <c r="M53" s="970"/>
      <c r="N53" s="970"/>
      <c r="O53" s="723">
        <f>K53</f>
        <v>4086792</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2462663925</v>
      </c>
      <c r="C54" s="972">
        <f>SUM(C42:C53)</f>
        <v>190414</v>
      </c>
      <c r="D54" s="972">
        <f>SUM(D42:D53)</f>
        <v>10809827</v>
      </c>
      <c r="E54" s="973">
        <f>SUM(E43:E53)</f>
        <v>1644537899</v>
      </c>
      <c r="F54" s="974">
        <f>SUM(F42:F53)</f>
        <v>807316199</v>
      </c>
      <c r="G54" s="1174" t="s">
        <v>563</v>
      </c>
      <c r="H54" s="1175"/>
      <c r="I54" s="975" t="s">
        <v>623</v>
      </c>
      <c r="J54" s="400" t="s">
        <v>564</v>
      </c>
      <c r="K54" s="976">
        <f>SUM(K42:K53)</f>
        <v>807316199</v>
      </c>
      <c r="L54" s="976">
        <f t="shared" ref="L54:O54" si="16">SUM(L42:L53)</f>
        <v>598319923</v>
      </c>
      <c r="M54" s="976">
        <f t="shared" si="16"/>
        <v>18711312</v>
      </c>
      <c r="N54" s="976">
        <f t="shared" si="16"/>
        <v>171122386</v>
      </c>
      <c r="O54" s="976">
        <f t="shared" si="16"/>
        <v>19162578</v>
      </c>
    </row>
    <row r="55" spans="1:30" ht="14.25" customHeight="1" thickTop="1" thickBot="1">
      <c r="C55" s="277"/>
      <c r="F55" s="931"/>
      <c r="G55" s="1176"/>
      <c r="H55" s="1177"/>
      <c r="I55" s="977">
        <f>ROUND(F54/C6,0)</f>
        <v>209158</v>
      </c>
      <c r="J55" s="1153" t="s">
        <v>565</v>
      </c>
      <c r="K55" s="970"/>
      <c r="L55" s="970"/>
      <c r="M55" s="970"/>
      <c r="N55" s="970"/>
      <c r="O55" s="970"/>
    </row>
    <row r="56" spans="1:30" ht="16.5" customHeight="1" thickBot="1">
      <c r="A56" s="279" t="s">
        <v>473</v>
      </c>
      <c r="C56" s="277"/>
      <c r="F56" s="978"/>
      <c r="G56" s="1178"/>
      <c r="H56" s="1179"/>
      <c r="I56" s="951" t="s">
        <v>624</v>
      </c>
      <c r="J56" s="1153"/>
      <c r="K56" s="979">
        <f>ROUND(K54/$C$6,2)</f>
        <v>209157.94</v>
      </c>
      <c r="L56" s="979">
        <f t="shared" ref="L56:O56" si="17">ROUND(L54/$C$6,2)</f>
        <v>155011.59</v>
      </c>
      <c r="M56" s="979">
        <f t="shared" si="17"/>
        <v>4847.6899999999996</v>
      </c>
      <c r="N56" s="979">
        <f t="shared" si="17"/>
        <v>44334.06</v>
      </c>
      <c r="O56" s="979">
        <f t="shared" si="17"/>
        <v>4964.6000000000004</v>
      </c>
      <c r="P56" s="333"/>
      <c r="Q56" s="333"/>
      <c r="R56" s="333"/>
      <c r="S56" s="333"/>
      <c r="T56" s="333"/>
      <c r="U56" s="333"/>
      <c r="V56" s="333"/>
      <c r="W56" s="333"/>
      <c r="X56" s="333"/>
      <c r="Y56" s="333"/>
      <c r="Z56" s="333"/>
      <c r="AA56" s="333"/>
      <c r="AB56" s="333"/>
      <c r="AC56" s="333"/>
      <c r="AD56" s="333"/>
    </row>
    <row r="57" spans="1:30" ht="13.8" thickTop="1">
      <c r="A57" s="277" t="s">
        <v>474</v>
      </c>
      <c r="B57" s="669">
        <f>'MBG FGD'!M80</f>
        <v>-123650106</v>
      </c>
      <c r="C57" s="669"/>
      <c r="D57" s="492">
        <f>'MBG FGD'!F80</f>
        <v>0</v>
      </c>
      <c r="E57" s="492"/>
      <c r="F57" s="980">
        <f t="shared" ref="F57:F60" si="18">B57-(SUM(D57:E57))</f>
        <v>-123650106</v>
      </c>
      <c r="G57" s="930"/>
      <c r="I57" s="981">
        <f>ROUND($F$54/$I$8,0)</f>
        <v>568537</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'MBG FGD'!M81</f>
        <v>773266</v>
      </c>
      <c r="C58" s="669"/>
      <c r="D58" s="982">
        <f>'MBG FGD'!F81</f>
        <v>0</v>
      </c>
      <c r="E58" s="915"/>
      <c r="F58" s="754">
        <f t="shared" si="18"/>
        <v>773266</v>
      </c>
      <c r="K58" s="980"/>
      <c r="L58" s="980"/>
      <c r="M58" s="980"/>
      <c r="N58" s="980"/>
      <c r="O58" s="980"/>
    </row>
    <row r="59" spans="1:30">
      <c r="A59" s="983" t="s">
        <v>567</v>
      </c>
      <c r="B59" s="669">
        <f>'MBG FGD'!M82</f>
        <v>40016429</v>
      </c>
      <c r="C59" s="669"/>
      <c r="D59" s="982">
        <f>'MBG FGD'!F82</f>
        <v>0</v>
      </c>
      <c r="E59" s="915"/>
      <c r="F59" s="754">
        <f t="shared" si="18"/>
        <v>40016429</v>
      </c>
      <c r="G59" s="400"/>
      <c r="J59" s="400"/>
      <c r="K59" s="400"/>
      <c r="L59" s="400"/>
      <c r="M59" s="400"/>
      <c r="N59" s="400"/>
      <c r="O59" s="400"/>
    </row>
    <row r="60" spans="1:30" ht="12" customHeight="1">
      <c r="A60" s="277" t="s">
        <v>477</v>
      </c>
      <c r="B60" s="669">
        <f>'MBG FGD'!M83</f>
        <v>-103537397</v>
      </c>
      <c r="C60" s="669"/>
      <c r="D60" s="982">
        <f>'MBG FGD'!F83</f>
        <v>-1765417</v>
      </c>
      <c r="E60" s="915"/>
      <c r="F60" s="754">
        <f t="shared" si="18"/>
        <v>-101771980</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-186397808</v>
      </c>
      <c r="C61" s="937"/>
      <c r="D61" s="937">
        <f>SUM(D57:D60)</f>
        <v>-1765417</v>
      </c>
      <c r="E61" s="937">
        <f>SUM(E57:E60)</f>
        <v>0</v>
      </c>
      <c r="F61" s="984">
        <f>SUM(F57:F60)</f>
        <v>-184632391</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'MBG FGD'!M87</f>
        <v>-188688435</v>
      </c>
      <c r="C64" s="669"/>
      <c r="D64" s="492">
        <f>'MBG FGD'!F87</f>
        <v>0</v>
      </c>
      <c r="E64" s="492"/>
      <c r="F64" s="492">
        <f t="shared" ref="F64:F65" si="19">B64-(SUM(D64:E64))</f>
        <v>-188688435</v>
      </c>
      <c r="O64" s="320"/>
    </row>
    <row r="65" spans="1:30">
      <c r="A65" s="277" t="s">
        <v>480</v>
      </c>
      <c r="B65" s="669">
        <f>'MBG FGD'!M88</f>
        <v>9884009</v>
      </c>
      <c r="C65" s="669"/>
      <c r="D65" s="982">
        <f>'MBG FGD'!F88</f>
        <v>0</v>
      </c>
      <c r="E65" s="915"/>
      <c r="F65" s="754">
        <f t="shared" si="19"/>
        <v>9884009</v>
      </c>
      <c r="O65" s="320"/>
      <c r="P65" s="333"/>
      <c r="Q65" s="333"/>
      <c r="R65" s="333"/>
      <c r="S65" s="333"/>
      <c r="T65" s="333"/>
      <c r="U65" s="333"/>
      <c r="V65" s="333"/>
      <c r="W65" s="333"/>
      <c r="X65" s="333"/>
      <c r="Y65" s="333"/>
      <c r="Z65" s="333"/>
      <c r="AA65" s="333"/>
      <c r="AB65" s="333"/>
      <c r="AC65" s="333"/>
      <c r="AD65" s="333"/>
    </row>
    <row r="66" spans="1:30">
      <c r="A66" s="936" t="s">
        <v>155</v>
      </c>
      <c r="B66" s="937">
        <f>SUM(B64:B65)</f>
        <v>-178804426</v>
      </c>
      <c r="C66" s="937"/>
      <c r="D66" s="937">
        <f>SUM(D64:D65)</f>
        <v>0</v>
      </c>
      <c r="E66" s="937">
        <f>SUM(E64:E65)</f>
        <v>0</v>
      </c>
      <c r="F66" s="937">
        <f>SUM(F64:F65)</f>
        <v>-178804426</v>
      </c>
      <c r="O66" s="320"/>
    </row>
    <row r="67" spans="1:30">
      <c r="C67" s="277"/>
      <c r="O67" s="320"/>
    </row>
    <row r="68" spans="1:30" ht="13.8" thickBot="1">
      <c r="A68" s="985" t="s">
        <v>572</v>
      </c>
      <c r="B68" s="590">
        <f>B39-B54+B61+B66</f>
        <v>-70411580</v>
      </c>
      <c r="C68" s="590"/>
      <c r="D68" s="590">
        <f>D39-D54+D61+D66</f>
        <v>1912450</v>
      </c>
      <c r="E68" s="590">
        <f>E39-E54+E61+E66</f>
        <v>151054802</v>
      </c>
      <c r="F68" s="590">
        <f>F39-F54+F61+F66</f>
        <v>-223378832</v>
      </c>
      <c r="O68" s="320"/>
    </row>
    <row r="69" spans="1:30" ht="13.8" thickTop="1"/>
    <row r="70" spans="1:30">
      <c r="A70" s="320" t="s">
        <v>573</v>
      </c>
      <c r="D70" s="492"/>
    </row>
    <row r="71" spans="1:30">
      <c r="A71" s="277" t="s">
        <v>7</v>
      </c>
    </row>
    <row r="72" spans="1:30">
      <c r="B72" s="986">
        <f>'MBG FGD'!$M$91</f>
        <v>-70411580</v>
      </c>
      <c r="C72" s="277"/>
      <c r="D72" s="986">
        <f>'MBG FGD'!F91</f>
        <v>2944181</v>
      </c>
      <c r="E72" s="986">
        <f>'MBG FGD'!M50</f>
        <v>256863176</v>
      </c>
      <c r="F72" s="277"/>
    </row>
    <row r="73" spans="1:30">
      <c r="B73" s="986"/>
      <c r="C73" s="277"/>
      <c r="D73" s="986">
        <f>'MBG FGD'!F74</f>
        <v>9761136</v>
      </c>
      <c r="E73" s="986">
        <f>'MBG FGD'!M53</f>
        <v>1538729525</v>
      </c>
      <c r="F73" s="986"/>
    </row>
    <row r="74" spans="1:30">
      <c r="B74" s="986"/>
      <c r="C74" s="277"/>
      <c r="D74" s="986">
        <f>-'MBG FGD'!M74</f>
        <v>-10792867</v>
      </c>
      <c r="E74" s="986">
        <f>-'MBG FGD'!M68</f>
        <v>-1620876652</v>
      </c>
      <c r="F74" s="986"/>
    </row>
    <row r="75" spans="1:30">
      <c r="B75" s="986"/>
      <c r="C75" s="277"/>
      <c r="D75" s="986"/>
      <c r="E75" s="986">
        <f>-'MBG FGD'!M67</f>
        <v>-23661247</v>
      </c>
      <c r="F75" s="986"/>
    </row>
    <row r="76" spans="1:30" ht="12.75" customHeight="1">
      <c r="B76" s="987"/>
      <c r="C76" s="277"/>
      <c r="D76" s="987"/>
      <c r="E76" s="987">
        <f>-D26</f>
        <v>0</v>
      </c>
      <c r="F76" s="986"/>
    </row>
    <row r="77" spans="1:30" ht="12.75" customHeight="1">
      <c r="B77" s="986">
        <f>SUM(B72:B76)</f>
        <v>-70411580</v>
      </c>
      <c r="C77" s="277"/>
      <c r="D77" s="986">
        <f>SUM(D72:D76)</f>
        <v>1912450</v>
      </c>
      <c r="E77" s="986">
        <f>SUM(E72:E76)</f>
        <v>151054802</v>
      </c>
      <c r="F77" s="986">
        <f>B77-D77-E77</f>
        <v>-223378832</v>
      </c>
    </row>
    <row r="78" spans="1:30" ht="12.75" customHeight="1">
      <c r="B78" s="986"/>
      <c r="C78" s="277"/>
      <c r="D78" s="986"/>
      <c r="E78" s="986"/>
      <c r="F78" s="986"/>
    </row>
    <row r="79" spans="1:30" ht="12.75" customHeight="1">
      <c r="B79" s="987"/>
      <c r="C79" s="538"/>
      <c r="D79" s="987"/>
      <c r="E79" s="987"/>
      <c r="F79" s="987"/>
    </row>
    <row r="80" spans="1:30" ht="12.75" customHeight="1">
      <c r="B80" s="986">
        <f>SUM(B77:B79)</f>
        <v>-70411580</v>
      </c>
      <c r="C80" s="277"/>
      <c r="D80" s="986">
        <f>SUM(D77:D79)</f>
        <v>1912450</v>
      </c>
      <c r="E80" s="986">
        <f>SUM(E77:E79)</f>
        <v>151054802</v>
      </c>
      <c r="F80" s="986">
        <f>SUM(F77:F79)</f>
        <v>-223378832</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1B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11"/>
    <pageSetUpPr fitToPage="1"/>
  </sheetPr>
  <dimension ref="A1:AB123"/>
  <sheetViews>
    <sheetView showGridLines="0" zoomScale="75" zoomScaleNormal="75" workbookViewId="0">
      <pane xSplit="2" ySplit="8" topLeftCell="L10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7.44140625" style="751" customWidth="1"/>
    <col min="13" max="13" width="18.33203125" style="751" customWidth="1"/>
    <col min="14" max="14" width="4.44140625" style="751" customWidth="1"/>
    <col min="15" max="15" width="16.8867187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N1" s="656">
        <v>12</v>
      </c>
      <c r="O1" s="322"/>
      <c r="P1" s="322"/>
      <c r="Q1" s="322"/>
      <c r="R1" s="322"/>
      <c r="S1" s="322"/>
      <c r="T1" s="322"/>
      <c r="U1" s="322"/>
      <c r="V1" s="322"/>
      <c r="W1" s="322"/>
      <c r="X1" s="322"/>
      <c r="Y1" s="322"/>
      <c r="Z1" s="322"/>
      <c r="AA1" s="322"/>
      <c r="AB1" s="322"/>
    </row>
    <row r="2" spans="1:28" ht="21">
      <c r="A2" s="656">
        <v>1</v>
      </c>
      <c r="B2" s="1168" t="str">
        <f>'MBG Chts'!$A$1</f>
        <v>The University of Texas Medical Branch at Galveston</v>
      </c>
      <c r="C2" s="1168"/>
      <c r="D2" s="1168"/>
      <c r="E2" s="1168"/>
      <c r="F2" s="1168"/>
      <c r="H2" s="750"/>
      <c r="I2" s="752" t="str">
        <f>IF($B$2&lt;&gt;Input!$H$7,"Name Mismatch","")</f>
        <v/>
      </c>
      <c r="K2" s="750"/>
      <c r="L2" s="750"/>
      <c r="M2" s="672"/>
      <c r="O2" s="321" t="s">
        <v>51</v>
      </c>
      <c r="P2" s="334"/>
    </row>
    <row r="3" spans="1:28" ht="21">
      <c r="A3" s="656">
        <v>2</v>
      </c>
      <c r="B3" s="1168" t="str">
        <f>'Smmy Chts'!$A$2</f>
        <v>For the Year Ended August 31, 2022</v>
      </c>
      <c r="C3" s="1168"/>
      <c r="D3" s="1168"/>
      <c r="E3" s="1168"/>
      <c r="F3" s="1168"/>
      <c r="G3" s="750"/>
      <c r="H3" s="750"/>
      <c r="K3" s="750"/>
      <c r="L3" s="750"/>
      <c r="M3" s="672"/>
      <c r="O3" s="754"/>
    </row>
    <row r="4" spans="1:28" ht="21">
      <c r="A4" s="656">
        <v>3</v>
      </c>
      <c r="B4" s="1168" t="str">
        <f>'Smmy Chts'!$A$3</f>
        <v>Source: FY 2022 Annual Financial Report</v>
      </c>
      <c r="C4" s="1168"/>
      <c r="D4" s="1168"/>
      <c r="E4" s="1168"/>
      <c r="F4" s="1168"/>
      <c r="G4" s="750"/>
      <c r="H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Input!$M$7</f>
        <v>379544163</v>
      </c>
      <c r="E10" s="762">
        <f>Input!$N$7</f>
        <v>0</v>
      </c>
      <c r="F10" s="762">
        <f>Input!$O$7</f>
        <v>0</v>
      </c>
      <c r="G10" s="762">
        <f>Input!$P$7</f>
        <v>0</v>
      </c>
      <c r="H10" s="762">
        <f>Input!$Q$7</f>
        <v>0</v>
      </c>
      <c r="I10" s="762">
        <f>Input!$R$7</f>
        <v>0</v>
      </c>
      <c r="J10" s="762">
        <f>Input!$S$7</f>
        <v>0</v>
      </c>
      <c r="K10" s="762">
        <f>Input!$T$7</f>
        <v>0</v>
      </c>
      <c r="L10" s="762">
        <f>Input!$U$7</f>
        <v>0</v>
      </c>
      <c r="M10" s="723">
        <f t="shared" ref="M10:M15" si="0">D10+E10+F10+G10+H10+I10+J10+K10+L10</f>
        <v>379544163</v>
      </c>
      <c r="O10" s="763"/>
      <c r="P10" s="1200" t="s">
        <v>627</v>
      </c>
      <c r="Q10" s="320"/>
      <c r="R10" s="320"/>
      <c r="S10" s="320"/>
      <c r="V10" s="320"/>
      <c r="W10" s="320"/>
      <c r="X10" s="320"/>
      <c r="Y10" s="320"/>
      <c r="Z10" s="320"/>
      <c r="AA10" s="320"/>
      <c r="AB10" s="320"/>
    </row>
    <row r="11" spans="1:28" s="752" customFormat="1">
      <c r="A11" s="460">
        <v>10</v>
      </c>
      <c r="B11" s="752" t="s">
        <v>134</v>
      </c>
      <c r="D11" s="762">
        <f>Input!$V$7</f>
        <v>29619</v>
      </c>
      <c r="E11" s="762">
        <f>Input!$W$7</f>
        <v>0</v>
      </c>
      <c r="F11" s="762">
        <f>Input!$X$7</f>
        <v>0</v>
      </c>
      <c r="G11" s="762">
        <f>Input!$Y$7</f>
        <v>13062782</v>
      </c>
      <c r="H11" s="762">
        <f>Input!$Z$7</f>
        <v>0</v>
      </c>
      <c r="I11" s="762">
        <f>Input!$AA$7</f>
        <v>0</v>
      </c>
      <c r="J11" s="762">
        <f>Input!$AB$7</f>
        <v>0</v>
      </c>
      <c r="K11" s="762">
        <f>Input!$AC$7</f>
        <v>0</v>
      </c>
      <c r="L11" s="762">
        <f>Input!$AD$7</f>
        <v>0</v>
      </c>
      <c r="M11" s="723">
        <f t="shared" si="0"/>
        <v>13092401</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Input!$AN$7</f>
        <v>0</v>
      </c>
      <c r="E13" s="762">
        <f>Input!$AO$7</f>
        <v>0</v>
      </c>
      <c r="F13" s="762">
        <f>Input!$AP$7</f>
        <v>0</v>
      </c>
      <c r="G13" s="762">
        <f>Input!$AQ$7</f>
        <v>0</v>
      </c>
      <c r="H13" s="762">
        <f>Input!$AR$7</f>
        <v>0</v>
      </c>
      <c r="I13" s="762">
        <f>Input!$AS$7</f>
        <v>0</v>
      </c>
      <c r="J13" s="762">
        <f>Input!$AT$7</f>
        <v>0</v>
      </c>
      <c r="K13" s="762">
        <f>Input!$AU$7</f>
        <v>0</v>
      </c>
      <c r="L13" s="762">
        <f>Input!$AV$7</f>
        <v>0</v>
      </c>
      <c r="M13" s="723">
        <f t="shared" si="0"/>
        <v>0</v>
      </c>
      <c r="O13" s="764" t="str">
        <f>IF(P13&lt;&gt;M13,"Out of Balance","Balanced")</f>
        <v>Balanced</v>
      </c>
      <c r="P13" s="767">
        <f>IFERROR(VLOOKUP($B$2,AMTLU,6,FALSE),0)</f>
        <v>0</v>
      </c>
      <c r="Q13" s="320"/>
      <c r="R13" s="320"/>
      <c r="S13" s="320"/>
      <c r="V13" s="320"/>
      <c r="W13" s="320"/>
      <c r="X13" s="320"/>
      <c r="Y13" s="320"/>
      <c r="Z13" s="320"/>
      <c r="AA13" s="320"/>
      <c r="AB13" s="320"/>
    </row>
    <row r="14" spans="1:28" s="752" customFormat="1" ht="15">
      <c r="A14" s="460">
        <v>13</v>
      </c>
      <c r="B14" s="752" t="s">
        <v>135</v>
      </c>
      <c r="D14" s="762">
        <f>Input!$AW$7</f>
        <v>0</v>
      </c>
      <c r="E14" s="762">
        <f>Input!$AX$7</f>
        <v>0</v>
      </c>
      <c r="F14" s="762">
        <f>Input!$AY$7</f>
        <v>0</v>
      </c>
      <c r="G14" s="762">
        <f>Input!$AZ$7</f>
        <v>0</v>
      </c>
      <c r="H14" s="762">
        <f>Input!$BA$7</f>
        <v>0</v>
      </c>
      <c r="I14" s="762">
        <f>Input!$BB$7</f>
        <v>0</v>
      </c>
      <c r="J14" s="762">
        <f>Input!$BC$7</f>
        <v>0</v>
      </c>
      <c r="K14" s="762">
        <f>Input!$BD$7</f>
        <v>0</v>
      </c>
      <c r="L14" s="762">
        <f>Input!$BE$7</f>
        <v>0</v>
      </c>
      <c r="M14" s="723">
        <f t="shared" si="0"/>
        <v>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379573782</v>
      </c>
      <c r="E15" s="769">
        <f t="shared" ref="E15:L15" si="1">SUM(E10:E14)</f>
        <v>0</v>
      </c>
      <c r="F15" s="769">
        <f t="shared" si="1"/>
        <v>0</v>
      </c>
      <c r="G15" s="769">
        <f t="shared" si="1"/>
        <v>13062782</v>
      </c>
      <c r="H15" s="769">
        <f t="shared" si="1"/>
        <v>0</v>
      </c>
      <c r="I15" s="769">
        <f t="shared" si="1"/>
        <v>0</v>
      </c>
      <c r="J15" s="769">
        <f t="shared" si="1"/>
        <v>0</v>
      </c>
      <c r="K15" s="769">
        <f t="shared" si="1"/>
        <v>0</v>
      </c>
      <c r="L15" s="769">
        <f t="shared" si="1"/>
        <v>0</v>
      </c>
      <c r="M15" s="769">
        <f t="shared" si="0"/>
        <v>392636564</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14807729</v>
      </c>
      <c r="E18" s="769">
        <f t="shared" si="2"/>
        <v>27861800</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42669529</v>
      </c>
      <c r="V18" s="723"/>
      <c r="X18" s="492"/>
    </row>
    <row r="19" spans="1:26" s="320" customFormat="1" ht="12.75" customHeight="1" thickTop="1" thickBot="1">
      <c r="A19" s="322"/>
      <c r="B19" s="320" t="s">
        <v>592</v>
      </c>
      <c r="D19" s="762">
        <f>Input!$BF$7</f>
        <v>-1250428</v>
      </c>
      <c r="E19" s="762">
        <f>Input!$BG$7</f>
        <v>-6474</v>
      </c>
      <c r="F19" s="762">
        <f>Input!$BH$7</f>
        <v>0</v>
      </c>
      <c r="G19" s="762">
        <f>Input!$BI$7</f>
        <v>0</v>
      </c>
      <c r="H19" s="762">
        <f>Input!$BJ$7</f>
        <v>0</v>
      </c>
      <c r="I19" s="762">
        <f>Input!BK6</f>
        <v>0</v>
      </c>
      <c r="J19" s="762">
        <f>Input!$BL$7</f>
        <v>0</v>
      </c>
      <c r="K19" s="762">
        <f>Input!BM6</f>
        <v>0</v>
      </c>
      <c r="L19" s="762">
        <f>Input!BN6</f>
        <v>0</v>
      </c>
      <c r="M19" s="723">
        <f t="shared" si="3"/>
        <v>-1256902</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Input!$BO$7</f>
        <v>0</v>
      </c>
      <c r="E20" s="762">
        <f>Input!$BP$7</f>
        <v>0</v>
      </c>
      <c r="F20" s="762">
        <f>Input!$BQ$7</f>
        <v>0</v>
      </c>
      <c r="G20" s="762">
        <f>Input!$BR$7</f>
        <v>0</v>
      </c>
      <c r="H20" s="762">
        <f>Input!$BS$7</f>
        <v>0</v>
      </c>
      <c r="I20" s="762">
        <f>Input!$BT$7</f>
        <v>0</v>
      </c>
      <c r="J20" s="762">
        <f>Input!BU6</f>
        <v>0</v>
      </c>
      <c r="K20" s="762">
        <f>Input!BV6</f>
        <v>0</v>
      </c>
      <c r="L20" s="762">
        <f>Input!$BW$7</f>
        <v>0</v>
      </c>
      <c r="M20" s="723">
        <f t="shared" si="3"/>
        <v>0</v>
      </c>
      <c r="O20" s="773" t="s">
        <v>631</v>
      </c>
      <c r="P20" s="774"/>
      <c r="Q20" s="774"/>
      <c r="R20" s="774"/>
      <c r="S20" s="775"/>
      <c r="U20" s="776" t="s">
        <v>252</v>
      </c>
      <c r="Y20" s="777"/>
    </row>
    <row r="21" spans="1:26" s="320" customFormat="1">
      <c r="A21" s="322"/>
      <c r="B21" s="320" t="s">
        <v>594</v>
      </c>
      <c r="D21" s="762">
        <f>Input!$BX$7</f>
        <v>0</v>
      </c>
      <c r="E21" s="762">
        <f>Input!$BY$7</f>
        <v>0</v>
      </c>
      <c r="F21" s="762">
        <f>Input!$BZ$7</f>
        <v>0</v>
      </c>
      <c r="G21" s="762">
        <f>Input!$CA$7</f>
        <v>0</v>
      </c>
      <c r="H21" s="762">
        <f>Input!$CB$7</f>
        <v>0</v>
      </c>
      <c r="I21" s="762">
        <f>Input!$CC$7</f>
        <v>0</v>
      </c>
      <c r="J21" s="762">
        <f>Input!$CD$7</f>
        <v>0</v>
      </c>
      <c r="K21" s="762">
        <f>Input!$CE$7</f>
        <v>0</v>
      </c>
      <c r="L21" s="762">
        <f>Input!$CF$7</f>
        <v>0</v>
      </c>
      <c r="M21" s="723">
        <f t="shared" si="3"/>
        <v>0</v>
      </c>
      <c r="O21" s="778"/>
      <c r="R21" s="492"/>
      <c r="S21" s="779"/>
      <c r="U21" s="780" t="s">
        <v>632</v>
      </c>
      <c r="X21" s="781">
        <f>M44</f>
        <v>51191427</v>
      </c>
      <c r="Y21" s="777"/>
      <c r="Z21" s="492"/>
    </row>
    <row r="22" spans="1:26" s="320" customFormat="1">
      <c r="A22" s="322"/>
      <c r="B22" s="320" t="s">
        <v>595</v>
      </c>
      <c r="D22" s="762">
        <f>Input!$CG$7</f>
        <v>0</v>
      </c>
      <c r="E22" s="762">
        <f>Input!$CH$7</f>
        <v>0</v>
      </c>
      <c r="F22" s="762">
        <f>Input!$CI$7</f>
        <v>0</v>
      </c>
      <c r="G22" s="762">
        <f>Input!$CJ$7</f>
        <v>0</v>
      </c>
      <c r="H22" s="762">
        <f>Input!$CK$7</f>
        <v>0</v>
      </c>
      <c r="I22" s="762">
        <f>Input!$CL$7</f>
        <v>0</v>
      </c>
      <c r="J22" s="762">
        <f>Input!$CM$7</f>
        <v>0</v>
      </c>
      <c r="K22" s="762">
        <f>Input!$CN$7</f>
        <v>0</v>
      </c>
      <c r="L22" s="762">
        <f>Input!$CO$7</f>
        <v>0</v>
      </c>
      <c r="M22" s="723">
        <f t="shared" si="3"/>
        <v>0</v>
      </c>
      <c r="N22" s="406"/>
      <c r="O22" s="778" t="s">
        <v>633</v>
      </c>
      <c r="Q22" s="492">
        <f>M23</f>
        <v>41412627</v>
      </c>
      <c r="S22" s="782"/>
      <c r="U22" s="780" t="s">
        <v>634</v>
      </c>
      <c r="X22" s="783">
        <f>R30*-1</f>
        <v>5311457</v>
      </c>
      <c r="Y22" s="777"/>
    </row>
    <row r="23" spans="1:26" s="320" customFormat="1" ht="12.75" customHeight="1">
      <c r="A23" s="322"/>
      <c r="B23" s="772" t="s">
        <v>233</v>
      </c>
      <c r="C23" s="784"/>
      <c r="D23" s="785">
        <f>Input!$CP$7</f>
        <v>13557301</v>
      </c>
      <c r="E23" s="785">
        <f>Input!$CQ$7</f>
        <v>27855326</v>
      </c>
      <c r="F23" s="785">
        <f>Input!$CR$7</f>
        <v>0</v>
      </c>
      <c r="G23" s="785">
        <f>Input!$CS$7</f>
        <v>0</v>
      </c>
      <c r="H23" s="785">
        <f>Input!$CT$7</f>
        <v>0</v>
      </c>
      <c r="I23" s="785">
        <f>Input!$CU$7</f>
        <v>0</v>
      </c>
      <c r="J23" s="785">
        <f>Input!$CV$7</f>
        <v>0</v>
      </c>
      <c r="K23" s="785">
        <f>Input!$CW$7</f>
        <v>0</v>
      </c>
      <c r="L23" s="785">
        <f>Input!$CX$7</f>
        <v>0</v>
      </c>
      <c r="M23" s="786">
        <f t="shared" si="3"/>
        <v>41412627</v>
      </c>
      <c r="O23" s="778"/>
      <c r="Q23" s="492"/>
      <c r="S23" s="782"/>
      <c r="U23" s="776" t="s">
        <v>635</v>
      </c>
      <c r="Y23" s="777">
        <f>SUM(X21:X22)</f>
        <v>56502884</v>
      </c>
      <c r="Z23" s="492"/>
    </row>
    <row r="24" spans="1:26" s="320" customFormat="1" ht="12.75" customHeight="1">
      <c r="A24" s="322"/>
      <c r="B24" s="320" t="s">
        <v>596</v>
      </c>
      <c r="C24" s="751"/>
      <c r="D24" s="762">
        <f>Input!$CY$7</f>
        <v>0</v>
      </c>
      <c r="E24" s="762">
        <f>Input!$CZ$7</f>
        <v>0</v>
      </c>
      <c r="F24" s="762">
        <f>Input!$DA$7</f>
        <v>0</v>
      </c>
      <c r="G24" s="762">
        <f>Input!$DB$7</f>
        <v>0</v>
      </c>
      <c r="H24" s="762">
        <f>Input!$DC$7</f>
        <v>0</v>
      </c>
      <c r="I24" s="762">
        <f>Input!$DD$7</f>
        <v>0</v>
      </c>
      <c r="J24" s="762">
        <f>Input!$DE$7</f>
        <v>0</v>
      </c>
      <c r="K24" s="762">
        <f>Input!$DF$7</f>
        <v>0</v>
      </c>
      <c r="L24" s="762">
        <f>Input!$DG$7</f>
        <v>0</v>
      </c>
      <c r="M24" s="650">
        <f t="shared" si="3"/>
        <v>0</v>
      </c>
      <c r="O24" s="787" t="s">
        <v>636</v>
      </c>
      <c r="Q24" s="723"/>
      <c r="R24" s="723">
        <f>SUM(M24:M28)</f>
        <v>-4298004</v>
      </c>
      <c r="S24" s="782"/>
      <c r="U24" s="776"/>
      <c r="Y24" s="777"/>
      <c r="Z24" s="492"/>
    </row>
    <row r="25" spans="1:26" s="320" customFormat="1" ht="12.75" customHeight="1">
      <c r="A25" s="322"/>
      <c r="B25" s="320" t="s">
        <v>597</v>
      </c>
      <c r="C25" s="751"/>
      <c r="D25" s="762">
        <f>Input!$DH$7</f>
        <v>0</v>
      </c>
      <c r="E25" s="762">
        <f>Input!$DI$7</f>
        <v>0</v>
      </c>
      <c r="F25" s="762">
        <f>Input!$DJ$7</f>
        <v>0</v>
      </c>
      <c r="G25" s="762">
        <f>Input!$DK$7</f>
        <v>0</v>
      </c>
      <c r="H25" s="762">
        <f>Input!$DL$7</f>
        <v>0</v>
      </c>
      <c r="I25" s="762">
        <f>Input!$DM$7</f>
        <v>0</v>
      </c>
      <c r="J25" s="762">
        <f>Input!$DN$7</f>
        <v>0</v>
      </c>
      <c r="K25" s="762">
        <f>Input!$DO$7</f>
        <v>0</v>
      </c>
      <c r="L25" s="762">
        <f>Input!$DP$7</f>
        <v>0</v>
      </c>
      <c r="M25" s="650">
        <f t="shared" si="3"/>
        <v>0</v>
      </c>
      <c r="O25" s="778"/>
      <c r="Q25" s="723"/>
      <c r="R25" s="723"/>
      <c r="S25" s="782"/>
      <c r="U25" s="788" t="s">
        <v>637</v>
      </c>
      <c r="V25" s="789"/>
      <c r="W25" s="789"/>
      <c r="X25" s="790">
        <f>(M26+M39)*-1</f>
        <v>871233</v>
      </c>
      <c r="Y25" s="777"/>
      <c r="Z25" s="492"/>
    </row>
    <row r="26" spans="1:26" s="320" customFormat="1" ht="12.75" customHeight="1">
      <c r="A26" s="322"/>
      <c r="B26" s="320" t="s">
        <v>598</v>
      </c>
      <c r="C26" s="751"/>
      <c r="D26" s="762">
        <f>Input!$DQ$7</f>
        <v>-229337</v>
      </c>
      <c r="E26" s="762">
        <f>Input!$DR$7</f>
        <v>-641896</v>
      </c>
      <c r="F26" s="762">
        <f>Input!$DS$7</f>
        <v>0</v>
      </c>
      <c r="G26" s="762">
        <f>Input!$DT$7</f>
        <v>0</v>
      </c>
      <c r="H26" s="762">
        <f>Input!$DU$7</f>
        <v>0</v>
      </c>
      <c r="I26" s="762">
        <f>Input!$DV$7</f>
        <v>0</v>
      </c>
      <c r="J26" s="762">
        <f>Input!$DW$7</f>
        <v>0</v>
      </c>
      <c r="K26" s="762">
        <f>Input!$DX$7</f>
        <v>0</v>
      </c>
      <c r="L26" s="762">
        <f>Input!$DY$7</f>
        <v>0</v>
      </c>
      <c r="M26" s="650">
        <f t="shared" si="3"/>
        <v>-871233</v>
      </c>
      <c r="O26" s="778" t="s">
        <v>638</v>
      </c>
      <c r="Q26" s="723">
        <f>M36</f>
        <v>15090257</v>
      </c>
      <c r="R26" s="791"/>
      <c r="S26" s="792"/>
      <c r="U26" s="776" t="s">
        <v>639</v>
      </c>
      <c r="X26" s="793">
        <f>(M21+M34)*-1</f>
        <v>0</v>
      </c>
      <c r="Y26" s="777"/>
      <c r="Z26" s="492"/>
    </row>
    <row r="27" spans="1:26" s="320" customFormat="1">
      <c r="A27" s="322"/>
      <c r="B27" s="320" t="s">
        <v>599</v>
      </c>
      <c r="C27" s="751"/>
      <c r="D27" s="762">
        <f>Input!$DZ$7</f>
        <v>0</v>
      </c>
      <c r="E27" s="762">
        <f>Input!$EA$7</f>
        <v>0</v>
      </c>
      <c r="F27" s="762">
        <f>Input!$EB$7</f>
        <v>0</v>
      </c>
      <c r="G27" s="762">
        <f>Input!$EC$7</f>
        <v>0</v>
      </c>
      <c r="H27" s="762">
        <f>Input!$ED$7</f>
        <v>0</v>
      </c>
      <c r="I27" s="762">
        <f>Input!$EE$7</f>
        <v>0</v>
      </c>
      <c r="J27" s="762">
        <f>Input!$EF$7</f>
        <v>0</v>
      </c>
      <c r="K27" s="762">
        <f>Input!$EG$7</f>
        <v>0</v>
      </c>
      <c r="L27" s="762">
        <f>Input!$EH$7</f>
        <v>0</v>
      </c>
      <c r="M27" s="650">
        <f t="shared" si="3"/>
        <v>0</v>
      </c>
      <c r="O27" s="778"/>
      <c r="Q27" s="723"/>
      <c r="R27" s="791"/>
      <c r="S27" s="792"/>
      <c r="U27" s="780" t="s">
        <v>640</v>
      </c>
      <c r="V27" s="314"/>
      <c r="W27" s="314"/>
      <c r="X27" s="794">
        <f>SUM(X25:X26)</f>
        <v>871233</v>
      </c>
      <c r="Y27" s="721"/>
    </row>
    <row r="28" spans="1:26" s="320" customFormat="1">
      <c r="A28" s="322"/>
      <c r="B28" s="320" t="s">
        <v>600</v>
      </c>
      <c r="C28" s="751"/>
      <c r="D28" s="762">
        <f>Input!$EI$7</f>
        <v>-1733931</v>
      </c>
      <c r="E28" s="762">
        <f>Input!$EJ$7</f>
        <v>-1692840</v>
      </c>
      <c r="F28" s="762">
        <f>Input!$EK$7</f>
        <v>0</v>
      </c>
      <c r="G28" s="762">
        <f>Input!$EL$7</f>
        <v>0</v>
      </c>
      <c r="H28" s="762">
        <f>Input!$EM$7</f>
        <v>0</v>
      </c>
      <c r="I28" s="762">
        <f>Input!$EN$7</f>
        <v>0</v>
      </c>
      <c r="J28" s="762">
        <f>Input!$EO$7</f>
        <v>0</v>
      </c>
      <c r="K28" s="762">
        <f>Input!$EP$7</f>
        <v>0</v>
      </c>
      <c r="L28" s="762">
        <f>Input!$EQ$7</f>
        <v>0</v>
      </c>
      <c r="M28" s="650">
        <f t="shared" si="3"/>
        <v>-3426771</v>
      </c>
      <c r="O28" s="787" t="s">
        <v>641</v>
      </c>
      <c r="Q28" s="723"/>
      <c r="R28" s="723">
        <f>SUM(M37:M41)</f>
        <v>-1013453</v>
      </c>
      <c r="S28" s="782"/>
      <c r="U28" s="776" t="s">
        <v>642</v>
      </c>
      <c r="X28" s="777">
        <f>(M27+M40)*-1</f>
        <v>0</v>
      </c>
      <c r="Y28" s="721"/>
      <c r="Z28" s="492"/>
    </row>
    <row r="29" spans="1:26" s="320" customFormat="1" ht="12" customHeight="1">
      <c r="A29" s="322"/>
      <c r="B29" s="795" t="s">
        <v>165</v>
      </c>
      <c r="C29" s="784"/>
      <c r="D29" s="769">
        <f t="shared" ref="D29:L29" si="4">SUM(D23:D28)</f>
        <v>11594033</v>
      </c>
      <c r="E29" s="769">
        <f t="shared" si="4"/>
        <v>25520590</v>
      </c>
      <c r="F29" s="769">
        <f t="shared" si="4"/>
        <v>0</v>
      </c>
      <c r="G29" s="769">
        <f t="shared" si="4"/>
        <v>0</v>
      </c>
      <c r="H29" s="769">
        <f t="shared" si="4"/>
        <v>0</v>
      </c>
      <c r="I29" s="769">
        <f t="shared" si="4"/>
        <v>0</v>
      </c>
      <c r="J29" s="769">
        <f t="shared" si="4"/>
        <v>0</v>
      </c>
      <c r="K29" s="769">
        <f t="shared" si="4"/>
        <v>0</v>
      </c>
      <c r="L29" s="769">
        <f t="shared" si="4"/>
        <v>0</v>
      </c>
      <c r="M29" s="769">
        <f t="shared" si="3"/>
        <v>37114623</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56502884</v>
      </c>
      <c r="R30" s="798">
        <f>R28+R24</f>
        <v>-5311457</v>
      </c>
      <c r="S30" s="799"/>
      <c r="U30" s="780" t="s">
        <v>645</v>
      </c>
      <c r="V30" s="314"/>
      <c r="W30" s="314"/>
      <c r="X30" s="794">
        <f>SUM(X28:X29)</f>
        <v>0</v>
      </c>
      <c r="Y30" s="721"/>
    </row>
    <row r="31" spans="1:26" s="320" customFormat="1" ht="12.75" customHeight="1">
      <c r="A31" s="322"/>
      <c r="B31" s="772" t="s">
        <v>238</v>
      </c>
      <c r="C31" s="772"/>
      <c r="D31" s="769">
        <f t="shared" ref="D31:L31" si="5">D36-SUM(D32:D35)</f>
        <v>3463674</v>
      </c>
      <c r="E31" s="769">
        <f t="shared" si="5"/>
        <v>10814376</v>
      </c>
      <c r="F31" s="769">
        <f t="shared" si="5"/>
        <v>812207</v>
      </c>
      <c r="G31" s="769">
        <f t="shared" si="5"/>
        <v>0</v>
      </c>
      <c r="H31" s="769">
        <f t="shared" si="5"/>
        <v>0</v>
      </c>
      <c r="I31" s="769">
        <f t="shared" si="5"/>
        <v>0</v>
      </c>
      <c r="J31" s="769">
        <f t="shared" si="5"/>
        <v>0</v>
      </c>
      <c r="K31" s="769">
        <f t="shared" si="5"/>
        <v>0</v>
      </c>
      <c r="L31" s="769">
        <f t="shared" si="5"/>
        <v>0</v>
      </c>
      <c r="M31" s="769">
        <f t="shared" ref="M31:M42" si="6">D31+E31+F31+G31+H31+I31+J31+K31+L31</f>
        <v>15090257</v>
      </c>
      <c r="O31" s="778" t="s">
        <v>646</v>
      </c>
      <c r="Q31" s="406"/>
      <c r="S31" s="782"/>
      <c r="U31" s="800" t="s">
        <v>647</v>
      </c>
      <c r="V31" s="801"/>
      <c r="W31" s="801"/>
      <c r="X31" s="802">
        <f>X27+X30</f>
        <v>871233</v>
      </c>
      <c r="Y31" s="777"/>
      <c r="Z31" s="492"/>
    </row>
    <row r="32" spans="1:26" s="320" customFormat="1" ht="12.75" customHeight="1">
      <c r="A32" s="322"/>
      <c r="B32" s="320" t="s">
        <v>592</v>
      </c>
      <c r="D32" s="762">
        <f>Input!$ER$7</f>
        <v>0</v>
      </c>
      <c r="E32" s="762">
        <f>Input!$ES$7</f>
        <v>0</v>
      </c>
      <c r="F32" s="762">
        <f>Input!$ET$7</f>
        <v>0</v>
      </c>
      <c r="G32" s="762">
        <f>Input!$EU$7</f>
        <v>0</v>
      </c>
      <c r="H32" s="762">
        <f>Input!$EV$7</f>
        <v>0</v>
      </c>
      <c r="I32" s="762">
        <f>Input!$EW$7</f>
        <v>0</v>
      </c>
      <c r="J32" s="762">
        <f>Input!$EX$7</f>
        <v>0</v>
      </c>
      <c r="K32" s="762">
        <f>Input!$EY$7</f>
        <v>0</v>
      </c>
      <c r="L32" s="762">
        <f>Input!$EZ$7</f>
        <v>0</v>
      </c>
      <c r="M32" s="650">
        <f t="shared" si="6"/>
        <v>0</v>
      </c>
      <c r="O32" s="803" t="s">
        <v>648</v>
      </c>
      <c r="P32" s="804"/>
      <c r="Q32" s="805">
        <f>Input!$TI$7</f>
        <v>56502884</v>
      </c>
      <c r="R32" s="804"/>
      <c r="S32" s="806"/>
      <c r="U32" s="776"/>
      <c r="Y32" s="777"/>
      <c r="Z32" s="492"/>
    </row>
    <row r="33" spans="1:28" s="320" customFormat="1">
      <c r="A33" s="322"/>
      <c r="B33" s="320" t="s">
        <v>593</v>
      </c>
      <c r="D33" s="762">
        <f>Input!$FA$7</f>
        <v>0</v>
      </c>
      <c r="E33" s="762">
        <f>Input!$FB$7</f>
        <v>0</v>
      </c>
      <c r="F33" s="762">
        <f>Input!$FC$7</f>
        <v>0</v>
      </c>
      <c r="G33" s="762">
        <f>Input!$FD$7</f>
        <v>0</v>
      </c>
      <c r="H33" s="762">
        <f>Input!$FE$7</f>
        <v>0</v>
      </c>
      <c r="I33" s="762">
        <f>Input!$FF$7</f>
        <v>0</v>
      </c>
      <c r="J33" s="762">
        <f>Input!$FG$7</f>
        <v>0</v>
      </c>
      <c r="K33" s="762">
        <f>Input!$FH$7</f>
        <v>0</v>
      </c>
      <c r="L33" s="762">
        <f>Input!$FI$7</f>
        <v>0</v>
      </c>
      <c r="M33" s="650">
        <f t="shared" si="6"/>
        <v>0</v>
      </c>
      <c r="O33" s="803"/>
      <c r="P33" s="804"/>
      <c r="Q33" s="723"/>
      <c r="R33" s="804"/>
      <c r="S33" s="806"/>
      <c r="U33" s="776" t="s">
        <v>649</v>
      </c>
      <c r="X33" s="492">
        <f>(M19+M32)*-1</f>
        <v>1256902</v>
      </c>
      <c r="Y33" s="777"/>
    </row>
    <row r="34" spans="1:28" s="320" customFormat="1">
      <c r="A34" s="322"/>
      <c r="B34" s="320" t="s">
        <v>594</v>
      </c>
      <c r="D34" s="762">
        <f>Input!$FJ$7</f>
        <v>0</v>
      </c>
      <c r="E34" s="762">
        <f>Input!$FK$7</f>
        <v>0</v>
      </c>
      <c r="F34" s="762">
        <f>Input!$FL$7</f>
        <v>0</v>
      </c>
      <c r="G34" s="762">
        <f>Input!$FM$7</f>
        <v>0</v>
      </c>
      <c r="H34" s="762">
        <f>Input!$FN$7</f>
        <v>0</v>
      </c>
      <c r="I34" s="762">
        <f>Input!$FO$7</f>
        <v>0</v>
      </c>
      <c r="J34" s="762">
        <f>Input!$FP$7</f>
        <v>0</v>
      </c>
      <c r="K34" s="762">
        <f>Input!$FQ$7</f>
        <v>0</v>
      </c>
      <c r="L34" s="762">
        <f>Input!$FR$7</f>
        <v>0</v>
      </c>
      <c r="M34" s="650">
        <f t="shared" si="6"/>
        <v>0</v>
      </c>
      <c r="O34" s="807" t="s">
        <v>650</v>
      </c>
      <c r="P34" s="808"/>
      <c r="Q34" s="320" t="s">
        <v>651</v>
      </c>
      <c r="R34" s="805">
        <f>Input!$TJ$7</f>
        <v>-5311457</v>
      </c>
      <c r="S34" s="809"/>
      <c r="U34" s="776" t="s">
        <v>652</v>
      </c>
      <c r="X34" s="739">
        <f>(M24+M37)*-1</f>
        <v>0</v>
      </c>
      <c r="Y34" s="777"/>
    </row>
    <row r="35" spans="1:28" s="320" customFormat="1" ht="13.8" thickBot="1">
      <c r="A35" s="322"/>
      <c r="B35" s="320" t="s">
        <v>595</v>
      </c>
      <c r="D35" s="762">
        <f>Input!$FS$7</f>
        <v>0</v>
      </c>
      <c r="E35" s="762">
        <f>Input!$FT$7</f>
        <v>0</v>
      </c>
      <c r="F35" s="762">
        <f>Input!$FU$7</f>
        <v>0</v>
      </c>
      <c r="G35" s="762">
        <f>Input!$FV$7</f>
        <v>0</v>
      </c>
      <c r="H35" s="762">
        <f>Input!$FW$7</f>
        <v>0</v>
      </c>
      <c r="I35" s="762">
        <f>Input!$FX$7</f>
        <v>0</v>
      </c>
      <c r="J35" s="762">
        <f>Input!$FY$7</f>
        <v>0</v>
      </c>
      <c r="K35" s="762">
        <f>Input!$FZ$7</f>
        <v>0</v>
      </c>
      <c r="L35" s="762">
        <f>Input!$GA$7</f>
        <v>0</v>
      </c>
      <c r="M35" s="650">
        <f t="shared" si="6"/>
        <v>0</v>
      </c>
      <c r="O35" s="810" t="s">
        <v>653</v>
      </c>
      <c r="P35" s="811"/>
      <c r="Q35" s="812">
        <f>Q30-Q32</f>
        <v>0</v>
      </c>
      <c r="R35" s="813">
        <f>R30-R34</f>
        <v>0</v>
      </c>
      <c r="S35" s="814"/>
      <c r="U35" s="780" t="s">
        <v>654</v>
      </c>
      <c r="V35" s="314"/>
      <c r="W35" s="314"/>
      <c r="X35" s="781">
        <f>SUM(X33:X34)</f>
        <v>1256902</v>
      </c>
      <c r="Y35" s="721"/>
    </row>
    <row r="36" spans="1:28" s="320" customFormat="1" ht="13.8" thickTop="1">
      <c r="A36" s="322"/>
      <c r="B36" s="772" t="s">
        <v>239</v>
      </c>
      <c r="C36" s="784"/>
      <c r="D36" s="785">
        <f>Input!$GB$7</f>
        <v>3463674</v>
      </c>
      <c r="E36" s="785">
        <f>Input!$GC$7</f>
        <v>10814376</v>
      </c>
      <c r="F36" s="785">
        <f>Input!$GD$7</f>
        <v>812207</v>
      </c>
      <c r="G36" s="785">
        <f>Input!$GE$7</f>
        <v>0</v>
      </c>
      <c r="H36" s="785">
        <f>Input!$GF$7</f>
        <v>0</v>
      </c>
      <c r="I36" s="785">
        <f>Input!$GG$7</f>
        <v>0</v>
      </c>
      <c r="J36" s="785">
        <f>Input!$GH$7</f>
        <v>0</v>
      </c>
      <c r="K36" s="785">
        <f>Input!$GI$7</f>
        <v>0</v>
      </c>
      <c r="L36" s="785">
        <f>Input!$GJ$7</f>
        <v>0</v>
      </c>
      <c r="M36" s="786">
        <f t="shared" si="6"/>
        <v>15090257</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Input!$GK$7</f>
        <v>0</v>
      </c>
      <c r="E37" s="762">
        <f>Input!$GL$7</f>
        <v>0</v>
      </c>
      <c r="F37" s="762">
        <f>Input!$GM$7</f>
        <v>0</v>
      </c>
      <c r="G37" s="762">
        <f>Input!$GN$7</f>
        <v>0</v>
      </c>
      <c r="H37" s="762">
        <f>Input!$GO$7</f>
        <v>0</v>
      </c>
      <c r="I37" s="762">
        <f>Input!$GP$7</f>
        <v>0</v>
      </c>
      <c r="J37" s="762">
        <f>Input!$GQ$7</f>
        <v>0</v>
      </c>
      <c r="K37" s="762">
        <f>Input!$GR$7</f>
        <v>0</v>
      </c>
      <c r="L37" s="762">
        <f>Input!$GS$7</f>
        <v>0</v>
      </c>
      <c r="M37" s="650">
        <f t="shared" si="6"/>
        <v>0</v>
      </c>
      <c r="U37" s="776" t="s">
        <v>656</v>
      </c>
      <c r="X37" s="739">
        <f>(M25+M38)*-1</f>
        <v>0</v>
      </c>
      <c r="Y37" s="721"/>
    </row>
    <row r="38" spans="1:28" s="320" customFormat="1">
      <c r="A38" s="322"/>
      <c r="B38" s="320" t="s">
        <v>597</v>
      </c>
      <c r="C38" s="751"/>
      <c r="D38" s="762">
        <f>Input!$GT$7</f>
        <v>0</v>
      </c>
      <c r="E38" s="762">
        <f>Input!$GU$7</f>
        <v>0</v>
      </c>
      <c r="F38" s="762">
        <f>Input!$GV$7</f>
        <v>0</v>
      </c>
      <c r="G38" s="762">
        <f>Input!$GW$7</f>
        <v>0</v>
      </c>
      <c r="H38" s="762">
        <f>Input!$GX$7</f>
        <v>0</v>
      </c>
      <c r="I38" s="762">
        <f>Input!$GY$7</f>
        <v>0</v>
      </c>
      <c r="J38" s="762">
        <f>Input!$GZ$7</f>
        <v>0</v>
      </c>
      <c r="K38" s="762">
        <f>Input!$HA$7</f>
        <v>0</v>
      </c>
      <c r="L38" s="762">
        <f>Input!$HB$7</f>
        <v>0</v>
      </c>
      <c r="M38" s="650">
        <f t="shared" si="6"/>
        <v>0</v>
      </c>
      <c r="U38" s="780" t="s">
        <v>657</v>
      </c>
      <c r="V38" s="314"/>
      <c r="W38" s="314"/>
      <c r="X38" s="781">
        <f>SUM(X36:X37)</f>
        <v>0</v>
      </c>
      <c r="Y38" s="777"/>
    </row>
    <row r="39" spans="1:28" s="320" customFormat="1">
      <c r="A39" s="322"/>
      <c r="B39" s="320" t="s">
        <v>598</v>
      </c>
      <c r="C39" s="751"/>
      <c r="D39" s="762">
        <f>Input!$HC$7</f>
        <v>0</v>
      </c>
      <c r="E39" s="762">
        <f>Input!$HD$7</f>
        <v>0</v>
      </c>
      <c r="F39" s="762">
        <f>Input!$HE$7</f>
        <v>0</v>
      </c>
      <c r="G39" s="762">
        <f>Input!$HF$7</f>
        <v>0</v>
      </c>
      <c r="H39" s="762">
        <f>Input!$HG$7</f>
        <v>0</v>
      </c>
      <c r="I39" s="762">
        <f>Input!$HH$7</f>
        <v>0</v>
      </c>
      <c r="J39" s="762">
        <f>Input!$HI$7</f>
        <v>0</v>
      </c>
      <c r="K39" s="762">
        <f>Input!$HJ$7</f>
        <v>0</v>
      </c>
      <c r="L39" s="762">
        <f>Input!$HK$7</f>
        <v>0</v>
      </c>
      <c r="M39" s="650">
        <f t="shared" si="6"/>
        <v>0</v>
      </c>
      <c r="U39" s="776" t="s">
        <v>658</v>
      </c>
      <c r="X39" s="492"/>
      <c r="Y39" s="777">
        <f>X38+X35</f>
        <v>1256902</v>
      </c>
    </row>
    <row r="40" spans="1:28" s="320" customFormat="1">
      <c r="A40" s="322"/>
      <c r="B40" s="320" t="s">
        <v>599</v>
      </c>
      <c r="C40" s="751"/>
      <c r="D40" s="762">
        <f>Input!$HL$7</f>
        <v>0</v>
      </c>
      <c r="E40" s="762">
        <f>Input!$HM$7</f>
        <v>0</v>
      </c>
      <c r="F40" s="762">
        <f>Input!$HN$7</f>
        <v>0</v>
      </c>
      <c r="G40" s="762">
        <f>Input!$HO$7</f>
        <v>0</v>
      </c>
      <c r="H40" s="762">
        <f>Input!$HP$7</f>
        <v>0</v>
      </c>
      <c r="I40" s="762">
        <f>Input!$HQ$7</f>
        <v>0</v>
      </c>
      <c r="J40" s="762">
        <f>Input!$HR$7</f>
        <v>0</v>
      </c>
      <c r="K40" s="762">
        <f>Input!$HS$7</f>
        <v>0</v>
      </c>
      <c r="L40" s="762">
        <f>Input!$HT$7</f>
        <v>0</v>
      </c>
      <c r="M40" s="650">
        <f t="shared" si="6"/>
        <v>0</v>
      </c>
      <c r="U40" s="776"/>
      <c r="Y40" s="721"/>
    </row>
    <row r="41" spans="1:28" s="320" customFormat="1">
      <c r="A41" s="322"/>
      <c r="B41" s="320" t="s">
        <v>600</v>
      </c>
      <c r="C41" s="751"/>
      <c r="D41" s="762">
        <f>Input!$HU$7</f>
        <v>-343188</v>
      </c>
      <c r="E41" s="762">
        <f>Input!$HV$7</f>
        <v>-657217</v>
      </c>
      <c r="F41" s="762">
        <f>Input!$HW$7</f>
        <v>-13048</v>
      </c>
      <c r="G41" s="762">
        <f>Input!$HX$7</f>
        <v>0</v>
      </c>
      <c r="H41" s="762">
        <f>Input!$HY$7</f>
        <v>0</v>
      </c>
      <c r="I41" s="762">
        <f>Input!$HZ$7</f>
        <v>0</v>
      </c>
      <c r="J41" s="762">
        <f>Input!$IA$7</f>
        <v>0</v>
      </c>
      <c r="K41" s="762">
        <f>Input!$IB$7</f>
        <v>0</v>
      </c>
      <c r="L41" s="762">
        <f>Input!$IC$7</f>
        <v>0</v>
      </c>
      <c r="M41" s="650">
        <f t="shared" si="6"/>
        <v>-1013453</v>
      </c>
      <c r="U41" s="776" t="s">
        <v>639</v>
      </c>
      <c r="X41" s="492">
        <f>(M21+M34)*-1</f>
        <v>0</v>
      </c>
      <c r="Y41" s="777"/>
    </row>
    <row r="42" spans="1:28" s="320" customFormat="1">
      <c r="A42" s="322"/>
      <c r="B42" s="795" t="s">
        <v>166</v>
      </c>
      <c r="C42" s="784"/>
      <c r="D42" s="769">
        <f t="shared" ref="D42:L42" si="7">SUM(D36:D41)</f>
        <v>3120486</v>
      </c>
      <c r="E42" s="769">
        <f t="shared" si="7"/>
        <v>10157159</v>
      </c>
      <c r="F42" s="769">
        <f t="shared" si="7"/>
        <v>799159</v>
      </c>
      <c r="G42" s="769">
        <f t="shared" si="7"/>
        <v>0</v>
      </c>
      <c r="H42" s="769">
        <f t="shared" si="7"/>
        <v>0</v>
      </c>
      <c r="I42" s="769">
        <f t="shared" si="7"/>
        <v>0</v>
      </c>
      <c r="J42" s="769">
        <f t="shared" si="7"/>
        <v>0</v>
      </c>
      <c r="K42" s="769">
        <f t="shared" si="7"/>
        <v>0</v>
      </c>
      <c r="L42" s="769">
        <f t="shared" si="7"/>
        <v>0</v>
      </c>
      <c r="M42" s="769">
        <f t="shared" si="6"/>
        <v>14076804</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14714519</v>
      </c>
      <c r="E44" s="769">
        <f t="shared" si="8"/>
        <v>35677749</v>
      </c>
      <c r="F44" s="769">
        <f t="shared" si="8"/>
        <v>799159</v>
      </c>
      <c r="G44" s="769">
        <f t="shared" si="8"/>
        <v>0</v>
      </c>
      <c r="H44" s="769">
        <f t="shared" si="8"/>
        <v>0</v>
      </c>
      <c r="I44" s="769">
        <f t="shared" si="8"/>
        <v>0</v>
      </c>
      <c r="J44" s="769">
        <f t="shared" si="8"/>
        <v>0</v>
      </c>
      <c r="K44" s="769">
        <f t="shared" si="8"/>
        <v>0</v>
      </c>
      <c r="L44" s="769">
        <f t="shared" si="8"/>
        <v>0</v>
      </c>
      <c r="M44" s="769">
        <f>D44+E44+F44+G44+H44+I44+J44+K44+L44</f>
        <v>51191427</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Input!$ID$7</f>
        <v>305060</v>
      </c>
      <c r="E47" s="815">
        <f>Input!$IE$7</f>
        <v>52886270</v>
      </c>
      <c r="F47" s="815">
        <f>Input!$IF$7</f>
        <v>0</v>
      </c>
      <c r="G47" s="815">
        <f>Input!$IG$7</f>
        <v>118165667</v>
      </c>
      <c r="H47" s="815">
        <f>Input!$IH$7</f>
        <v>0</v>
      </c>
      <c r="I47" s="815">
        <f>Input!$II$7</f>
        <v>0</v>
      </c>
      <c r="J47" s="815">
        <f>Input!$IJ$7</f>
        <v>7816762</v>
      </c>
      <c r="K47" s="815">
        <f>Input!$IK$7</f>
        <v>0</v>
      </c>
      <c r="L47" s="815">
        <f>Input!$IL$7</f>
        <v>0</v>
      </c>
      <c r="M47" s="769">
        <f>D47+E47+F47+G47+H47+I47+J47+K47+L47</f>
        <v>179173759</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57759786</v>
      </c>
      <c r="Z49" s="320"/>
      <c r="AA49" s="320"/>
      <c r="AB49" s="320"/>
    </row>
    <row r="50" spans="1:28" s="752" customFormat="1">
      <c r="A50" s="460">
        <v>33</v>
      </c>
      <c r="B50" s="768" t="s">
        <v>200</v>
      </c>
      <c r="C50" s="768"/>
      <c r="D50" s="815">
        <f>Input!$IM$7</f>
        <v>0</v>
      </c>
      <c r="E50" s="815">
        <f>Input!$IN$7</f>
        <v>256863176</v>
      </c>
      <c r="F50" s="815">
        <f>Input!$IO$7</f>
        <v>0</v>
      </c>
      <c r="G50" s="815">
        <f>Input!$IP$7</f>
        <v>0</v>
      </c>
      <c r="H50" s="815">
        <f>Input!$IQ$7</f>
        <v>0</v>
      </c>
      <c r="I50" s="815">
        <f>Input!$IR$7</f>
        <v>0</v>
      </c>
      <c r="J50" s="815">
        <f>Input!$IS$7</f>
        <v>0</v>
      </c>
      <c r="K50" s="815">
        <f>Input!$IT$7</f>
        <v>0</v>
      </c>
      <c r="L50" s="815">
        <f>Input!$IU$7</f>
        <v>0</v>
      </c>
      <c r="M50" s="769">
        <f>D50+E50+F50+G50+H50+I50+J50+K50+L50</f>
        <v>256863176</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Input!$IV$7</f>
        <v>760562421</v>
      </c>
      <c r="E53" s="815">
        <f>Input!$IW$7</f>
        <v>778167104</v>
      </c>
      <c r="F53" s="815">
        <f>Input!$IX$7</f>
        <v>0</v>
      </c>
      <c r="G53" s="815">
        <f>Input!$IY$7</f>
        <v>0</v>
      </c>
      <c r="H53" s="815">
        <f>Input!$IZ$7</f>
        <v>0</v>
      </c>
      <c r="I53" s="815">
        <f>Input!$JA$7</f>
        <v>0</v>
      </c>
      <c r="J53" s="815">
        <f>Input!$JB$7</f>
        <v>0</v>
      </c>
      <c r="K53" s="815">
        <f>Input!$JC$7</f>
        <v>0</v>
      </c>
      <c r="L53" s="815">
        <f>Input!$JD$7</f>
        <v>0</v>
      </c>
      <c r="M53" s="769">
        <f>D53+E53+F53+G53+H53+I53+J53+K53+L53</f>
        <v>1538729525</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Input!$JE$7</f>
        <v>2170551</v>
      </c>
      <c r="E56" s="762">
        <f>Input!$JF$7</f>
        <v>36870193</v>
      </c>
      <c r="F56" s="762">
        <f>Input!$JG$7</f>
        <v>0</v>
      </c>
      <c r="G56" s="762">
        <f>Input!$JH$7</f>
        <v>29642139</v>
      </c>
      <c r="H56" s="762">
        <f>Input!$JI$7</f>
        <v>27884</v>
      </c>
      <c r="I56" s="762">
        <f>Input!$JJ$7</f>
        <v>1962194</v>
      </c>
      <c r="J56" s="762">
        <f>Input!$JK$7</f>
        <v>0</v>
      </c>
      <c r="K56" s="762">
        <f>Input!$JL$7</f>
        <v>0</v>
      </c>
      <c r="L56" s="762">
        <f>Input!$JM$7</f>
        <v>0</v>
      </c>
      <c r="M56" s="723">
        <f t="shared" ref="M56:M62" si="9">D56+E56+F56+G56+H56+I56+J56+K56+L56</f>
        <v>70672961</v>
      </c>
      <c r="O56" s="320"/>
      <c r="P56" s="320"/>
      <c r="Q56" s="320"/>
      <c r="R56" s="320"/>
      <c r="S56" s="320"/>
      <c r="T56" s="320"/>
      <c r="U56" s="320"/>
      <c r="V56" s="320"/>
      <c r="W56" s="320"/>
      <c r="X56" s="322"/>
      <c r="Y56" s="320"/>
      <c r="Z56" s="320"/>
      <c r="AA56" s="320"/>
      <c r="AB56" s="320"/>
    </row>
    <row r="57" spans="1:28" s="752" customFormat="1">
      <c r="A57" s="460">
        <v>40</v>
      </c>
      <c r="B57" s="752" t="s">
        <v>173</v>
      </c>
      <c r="D57" s="762">
        <f>Input!$JN$7</f>
        <v>15000</v>
      </c>
      <c r="E57" s="762">
        <f>Input!$JO$7</f>
        <v>165723</v>
      </c>
      <c r="F57" s="762">
        <f>Input!$JP$7</f>
        <v>0</v>
      </c>
      <c r="G57" s="762">
        <f>Input!$JQ$7</f>
        <v>559607</v>
      </c>
      <c r="H57" s="762">
        <f>Input!$JR$7</f>
        <v>0</v>
      </c>
      <c r="I57" s="762">
        <f>Input!$JS$7</f>
        <v>0</v>
      </c>
      <c r="J57" s="762">
        <f>Input!$JT$7</f>
        <v>0</v>
      </c>
      <c r="K57" s="762">
        <f>Input!$JU$7</f>
        <v>0</v>
      </c>
      <c r="L57" s="762">
        <f>Input!$JV$7</f>
        <v>0</v>
      </c>
      <c r="M57" s="723">
        <f t="shared" si="9"/>
        <v>740330</v>
      </c>
      <c r="O57" s="320"/>
      <c r="P57" s="819"/>
      <c r="Q57" s="320"/>
      <c r="R57" s="320"/>
      <c r="S57" s="320"/>
      <c r="T57" s="320"/>
      <c r="U57" s="320"/>
      <c r="V57" s="320"/>
      <c r="W57" s="320"/>
      <c r="X57" s="320"/>
      <c r="Y57" s="320"/>
      <c r="Z57" s="320"/>
      <c r="AA57" s="320"/>
      <c r="AB57" s="320"/>
    </row>
    <row r="58" spans="1:28" s="752" customFormat="1">
      <c r="A58" s="460">
        <v>41</v>
      </c>
      <c r="B58" s="752" t="s">
        <v>174</v>
      </c>
      <c r="D58" s="762">
        <f>Input!$JW$7</f>
        <v>1825153</v>
      </c>
      <c r="E58" s="762">
        <f>Input!$JX$7</f>
        <v>41766957</v>
      </c>
      <c r="F58" s="762">
        <f>Input!$JY$7</f>
        <v>367510</v>
      </c>
      <c r="G58" s="762">
        <f>Input!$JZ$7</f>
        <v>31608379</v>
      </c>
      <c r="H58" s="762">
        <f>Input!$KA$7</f>
        <v>0</v>
      </c>
      <c r="I58" s="762">
        <f>Input!$KB$7</f>
        <v>0</v>
      </c>
      <c r="J58" s="762">
        <f>Input!$KC$7</f>
        <v>53078635</v>
      </c>
      <c r="K58" s="762">
        <f>Input!$KD$7</f>
        <v>0</v>
      </c>
      <c r="L58" s="762">
        <f>Input!$KE$7</f>
        <v>0</v>
      </c>
      <c r="M58" s="723">
        <f t="shared" si="9"/>
        <v>128646634</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Input!$KF$7</f>
        <v>0</v>
      </c>
      <c r="E59" s="762">
        <f>Input!$KG$7</f>
        <v>1653066</v>
      </c>
      <c r="F59" s="762">
        <f>Input!$KH$7</f>
        <v>0</v>
      </c>
      <c r="G59" s="762">
        <f>Input!$KI$7</f>
        <v>10157703</v>
      </c>
      <c r="H59" s="762">
        <f>Input!$KJ$7</f>
        <v>0</v>
      </c>
      <c r="I59" s="762">
        <f>Input!$KK$7</f>
        <v>0</v>
      </c>
      <c r="J59" s="762">
        <f>Input!$KL$7</f>
        <v>0</v>
      </c>
      <c r="K59" s="762">
        <f>Input!$KM$7</f>
        <v>0</v>
      </c>
      <c r="L59" s="762">
        <f>Input!$KN$7</f>
        <v>0</v>
      </c>
      <c r="M59" s="723">
        <f t="shared" si="9"/>
        <v>11810769</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Input!$KO$7</f>
        <v>0</v>
      </c>
      <c r="E60" s="762">
        <f>Input!$KP$7</f>
        <v>0</v>
      </c>
      <c r="F60" s="762">
        <f>Input!$KQ$7</f>
        <v>13321025</v>
      </c>
      <c r="G60" s="762">
        <f>Input!$KR$7</f>
        <v>0</v>
      </c>
      <c r="H60" s="762">
        <f>Input!$KS$7</f>
        <v>0</v>
      </c>
      <c r="I60" s="762">
        <f>Input!$KT$7</f>
        <v>0</v>
      </c>
      <c r="J60" s="762">
        <f>Input!$KU$7</f>
        <v>0</v>
      </c>
      <c r="K60" s="762">
        <f>Input!$KV$7</f>
        <v>0</v>
      </c>
      <c r="L60" s="762">
        <f>Input!$KW$7</f>
        <v>0</v>
      </c>
      <c r="M60" s="723">
        <f t="shared" si="9"/>
        <v>13321025</v>
      </c>
      <c r="O60" s="1206" t="s">
        <v>661</v>
      </c>
      <c r="P60" s="1207"/>
      <c r="Q60" s="1208"/>
      <c r="R60" s="1208"/>
      <c r="S60" s="1209"/>
      <c r="T60" s="720"/>
      <c r="U60" s="820"/>
      <c r="V60" s="720"/>
      <c r="W60" s="1139" t="s">
        <v>662</v>
      </c>
      <c r="X60" s="1140"/>
      <c r="Y60" s="1141"/>
      <c r="Z60" s="322"/>
      <c r="AA60" s="322"/>
      <c r="AB60" s="322"/>
    </row>
    <row r="61" spans="1:28" s="752" customFormat="1" ht="13.5" customHeight="1" thickTop="1">
      <c r="A61" s="460">
        <v>44</v>
      </c>
      <c r="B61" s="752" t="s">
        <v>177</v>
      </c>
      <c r="D61" s="762">
        <f>Input!$KX$7</f>
        <v>73859632</v>
      </c>
      <c r="E61" s="762">
        <f>Input!$KY$7</f>
        <v>39298223</v>
      </c>
      <c r="F61" s="762">
        <f>Input!$KZ$7</f>
        <v>0</v>
      </c>
      <c r="G61" s="762">
        <f>Input!$LA$7</f>
        <v>837991</v>
      </c>
      <c r="H61" s="762">
        <f>Input!$LB$7</f>
        <v>209679</v>
      </c>
      <c r="I61" s="762">
        <f>Input!$LC$7</f>
        <v>0</v>
      </c>
      <c r="J61" s="762">
        <f>Input!$LD$7</f>
        <v>2088283</v>
      </c>
      <c r="K61" s="762">
        <f>Input!$LE$7</f>
        <v>0</v>
      </c>
      <c r="L61" s="762">
        <f>Input!$LF$7</f>
        <v>-2625399</v>
      </c>
      <c r="M61" s="723">
        <f t="shared" si="9"/>
        <v>113668409</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77870336</v>
      </c>
      <c r="E62" s="769">
        <f t="shared" si="10"/>
        <v>119754162</v>
      </c>
      <c r="F62" s="769">
        <f t="shared" si="10"/>
        <v>13688535</v>
      </c>
      <c r="G62" s="769">
        <f t="shared" si="10"/>
        <v>72805819</v>
      </c>
      <c r="H62" s="769">
        <f t="shared" si="10"/>
        <v>237563</v>
      </c>
      <c r="I62" s="769">
        <f t="shared" si="10"/>
        <v>1962194</v>
      </c>
      <c r="J62" s="769">
        <f t="shared" si="10"/>
        <v>55166918</v>
      </c>
      <c r="K62" s="769">
        <f t="shared" si="10"/>
        <v>0</v>
      </c>
      <c r="L62" s="769">
        <f t="shared" si="10"/>
        <v>-2625399</v>
      </c>
      <c r="M62" s="769">
        <f t="shared" si="9"/>
        <v>338860128</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1233026118</v>
      </c>
      <c r="E63" s="769">
        <f t="shared" ref="E63:M63" si="11">E15+E44+E47+E50+E53+E62</f>
        <v>1243348461</v>
      </c>
      <c r="F63" s="769">
        <f t="shared" si="11"/>
        <v>14487694</v>
      </c>
      <c r="G63" s="769">
        <f t="shared" si="11"/>
        <v>204034268</v>
      </c>
      <c r="H63" s="769">
        <f t="shared" si="11"/>
        <v>237563</v>
      </c>
      <c r="I63" s="769">
        <f t="shared" si="11"/>
        <v>1962194</v>
      </c>
      <c r="J63" s="769">
        <f t="shared" si="11"/>
        <v>62983680</v>
      </c>
      <c r="K63" s="769">
        <f t="shared" si="11"/>
        <v>0</v>
      </c>
      <c r="L63" s="769">
        <f t="shared" si="11"/>
        <v>-2625399</v>
      </c>
      <c r="M63" s="769">
        <f t="shared" si="11"/>
        <v>2757454579</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Input!$LG$7</f>
        <v>88507871</v>
      </c>
      <c r="E65" s="762">
        <f>Input!$LH$7</f>
        <v>326863007</v>
      </c>
      <c r="F65" s="762">
        <f>Input!$LI$7</f>
        <v>0</v>
      </c>
      <c r="G65" s="762">
        <f>Input!$LJ$7</f>
        <v>14723436</v>
      </c>
      <c r="H65" s="762">
        <f>Input!$LK$7</f>
        <v>0</v>
      </c>
      <c r="I65" s="762">
        <f>Input!$LL$7</f>
        <v>0</v>
      </c>
      <c r="J65" s="762">
        <f>Input!$LM$7</f>
        <v>0</v>
      </c>
      <c r="K65" s="762">
        <f>Input!$LN$7</f>
        <v>0</v>
      </c>
      <c r="L65" s="762">
        <f>Input!$LO$7</f>
        <v>0</v>
      </c>
      <c r="M65" s="723">
        <f t="shared" ref="M65:M77" si="12">D65+E65+F65+G65+H65+I65+J65+K65+L65</f>
        <v>430094314</v>
      </c>
      <c r="O65" s="824">
        <f>D65+E65+G65</f>
        <v>430094314</v>
      </c>
      <c r="P65" s="825">
        <f>Input!$TK$7</f>
        <v>1048384</v>
      </c>
      <c r="Q65" s="825">
        <f>Input!$TU$7</f>
        <v>197617</v>
      </c>
      <c r="R65" s="825">
        <f>Input!$UD$7</f>
        <v>890117</v>
      </c>
      <c r="S65" s="826">
        <f>O65+P65-Q65-R65</f>
        <v>430054964</v>
      </c>
      <c r="T65" s="492"/>
      <c r="U65" s="827">
        <f>D65+E65+F65+G65+J65</f>
        <v>430094314</v>
      </c>
      <c r="V65" s="492"/>
      <c r="W65" s="828" t="s">
        <v>92</v>
      </c>
      <c r="X65" s="829">
        <f>Input!$UO$7</f>
        <v>430094314</v>
      </c>
      <c r="Y65" s="830">
        <f t="shared" ref="Y65:Y74" si="13">X65-M65</f>
        <v>0</v>
      </c>
      <c r="Z65" s="492"/>
      <c r="AA65" s="492"/>
      <c r="AB65" s="492"/>
    </row>
    <row r="66" spans="1:28" s="752" customFormat="1" ht="14.4" thickTop="1" thickBot="1">
      <c r="A66" s="460">
        <v>49</v>
      </c>
      <c r="B66" s="823" t="s">
        <v>179</v>
      </c>
      <c r="C66" s="823"/>
      <c r="D66" s="762">
        <f>Input!$LP$7</f>
        <v>803370</v>
      </c>
      <c r="E66" s="762">
        <f>Input!$LQ$7</f>
        <v>19275958</v>
      </c>
      <c r="F66" s="762">
        <f>Input!$LR$7</f>
        <v>0</v>
      </c>
      <c r="G66" s="762">
        <f>Input!$LS$7</f>
        <v>107847355</v>
      </c>
      <c r="H66" s="762">
        <f>Input!$LT$7</f>
        <v>0</v>
      </c>
      <c r="I66" s="762">
        <f>Input!$LU$7</f>
        <v>0</v>
      </c>
      <c r="J66" s="762">
        <f>Input!$LV$7</f>
        <v>0</v>
      </c>
      <c r="K66" s="762">
        <f>Input!$LW$7</f>
        <v>0</v>
      </c>
      <c r="L66" s="762">
        <f>Input!$LX$7</f>
        <v>0</v>
      </c>
      <c r="M66" s="723">
        <f t="shared" si="12"/>
        <v>127926683</v>
      </c>
      <c r="O66" s="831">
        <f t="shared" ref="O66:O72" si="14">D66+E66+G66</f>
        <v>127926683</v>
      </c>
      <c r="P66" s="832">
        <f>Input!$TL$7</f>
        <v>5812551</v>
      </c>
      <c r="Q66" s="832">
        <f>Input!$TV$7</f>
        <v>2409797</v>
      </c>
      <c r="R66" s="832">
        <f>Input!$UE$7</f>
        <v>0</v>
      </c>
      <c r="S66" s="833">
        <f>O66+P66-Q66-R66</f>
        <v>131329437</v>
      </c>
      <c r="T66" s="492"/>
      <c r="U66" s="834">
        <f t="shared" ref="U66:U76" si="15">D66+E66+F66+G66+J66</f>
        <v>127926683</v>
      </c>
      <c r="V66" s="492"/>
      <c r="W66" s="828" t="s">
        <v>179</v>
      </c>
      <c r="X66" s="835">
        <f>Input!$UP$7</f>
        <v>127926683</v>
      </c>
      <c r="Y66" s="836">
        <f t="shared" si="13"/>
        <v>0</v>
      </c>
      <c r="Z66" s="723"/>
      <c r="AA66" s="723"/>
      <c r="AB66" s="723"/>
    </row>
    <row r="67" spans="1:28" s="752" customFormat="1" ht="13.8" thickTop="1">
      <c r="A67" s="460">
        <v>50</v>
      </c>
      <c r="B67" s="823" t="s">
        <v>180</v>
      </c>
      <c r="C67" s="823"/>
      <c r="D67" s="762">
        <f>Input!$LY$7</f>
        <v>2855317</v>
      </c>
      <c r="E67" s="762">
        <f>Input!$LZ$7</f>
        <v>2817128</v>
      </c>
      <c r="F67" s="762">
        <f>Input!$MA$7</f>
        <v>0</v>
      </c>
      <c r="G67" s="762">
        <f>Input!$MB$7</f>
        <v>17988802</v>
      </c>
      <c r="H67" s="762">
        <f>Input!$MC$7</f>
        <v>0</v>
      </c>
      <c r="I67" s="762">
        <f>Input!$MD$7</f>
        <v>0</v>
      </c>
      <c r="J67" s="762">
        <f>Input!$ME$7</f>
        <v>0</v>
      </c>
      <c r="K67" s="762">
        <f>Input!$MF$7</f>
        <v>0</v>
      </c>
      <c r="L67" s="762">
        <f>Input!$MG$7</f>
        <v>0</v>
      </c>
      <c r="M67" s="723">
        <f t="shared" si="12"/>
        <v>23661247</v>
      </c>
      <c r="O67" s="831">
        <f t="shared" si="14"/>
        <v>23661247</v>
      </c>
      <c r="P67" s="832">
        <f>Input!$TM$7</f>
        <v>50231</v>
      </c>
      <c r="Q67" s="832">
        <f>Input!$TW$7</f>
        <v>28404</v>
      </c>
      <c r="R67" s="832">
        <f>Input!$UF$7</f>
        <v>0</v>
      </c>
      <c r="S67" s="837">
        <f t="shared" ref="S67:S72" si="16">O67+P67-Q67-R67</f>
        <v>23683074</v>
      </c>
      <c r="T67" s="723"/>
      <c r="U67" s="834">
        <f t="shared" si="15"/>
        <v>23661247</v>
      </c>
      <c r="V67" s="723"/>
      <c r="W67" s="828" t="s">
        <v>180</v>
      </c>
      <c r="X67" s="835">
        <f>Input!$UQ$7</f>
        <v>23661247</v>
      </c>
      <c r="Y67" s="836">
        <f t="shared" si="13"/>
        <v>0</v>
      </c>
      <c r="Z67" s="723"/>
      <c r="AA67" s="723"/>
      <c r="AB67" s="723"/>
    </row>
    <row r="68" spans="1:28" s="752" customFormat="1">
      <c r="A68" s="460">
        <v>51</v>
      </c>
      <c r="B68" s="823" t="s">
        <v>164</v>
      </c>
      <c r="C68" s="823"/>
      <c r="D68" s="762">
        <f>Input!$MH$7</f>
        <v>787868911</v>
      </c>
      <c r="E68" s="762">
        <f>Input!$MI$7</f>
        <v>812861825</v>
      </c>
      <c r="F68" s="762">
        <f>Input!$MJ$7</f>
        <v>0</v>
      </c>
      <c r="G68" s="762">
        <f>Input!$MK$7</f>
        <v>20145916</v>
      </c>
      <c r="H68" s="762">
        <f>Input!$ML$7</f>
        <v>0</v>
      </c>
      <c r="I68" s="762">
        <f>Input!$MM$7</f>
        <v>0</v>
      </c>
      <c r="J68" s="762">
        <f>Input!$MN$7</f>
        <v>0</v>
      </c>
      <c r="K68" s="762">
        <f>Input!$MO$7</f>
        <v>0</v>
      </c>
      <c r="L68" s="762">
        <f>Input!$MP$7</f>
        <v>0</v>
      </c>
      <c r="M68" s="723">
        <f t="shared" si="12"/>
        <v>1620876652</v>
      </c>
      <c r="O68" s="831">
        <f t="shared" si="14"/>
        <v>1620876652</v>
      </c>
      <c r="P68" s="832">
        <f>Input!$TN$7</f>
        <v>2829776</v>
      </c>
      <c r="Q68" s="832">
        <f>Input!$TX$7</f>
        <v>0</v>
      </c>
      <c r="R68" s="832">
        <f>Input!$UG$7</f>
        <v>0</v>
      </c>
      <c r="S68" s="837">
        <f t="shared" si="16"/>
        <v>1623706428</v>
      </c>
      <c r="T68" s="723"/>
      <c r="U68" s="834">
        <f t="shared" si="15"/>
        <v>1620876652</v>
      </c>
      <c r="V68" s="723"/>
      <c r="W68" s="828" t="s">
        <v>164</v>
      </c>
      <c r="X68" s="835">
        <f>Input!$UR$7</f>
        <v>1620876652</v>
      </c>
      <c r="Y68" s="836">
        <f t="shared" si="13"/>
        <v>0</v>
      </c>
      <c r="Z68" s="723"/>
      <c r="AA68" s="723"/>
      <c r="AB68" s="723"/>
    </row>
    <row r="69" spans="1:28" s="752" customFormat="1">
      <c r="A69" s="460">
        <v>52</v>
      </c>
      <c r="B69" s="823" t="s">
        <v>181</v>
      </c>
      <c r="C69" s="823"/>
      <c r="D69" s="762">
        <f>Input!$MQ$7</f>
        <v>21749978</v>
      </c>
      <c r="E69" s="762">
        <f>Input!$MR$7</f>
        <v>16282349</v>
      </c>
      <c r="F69" s="762">
        <f>Input!$MS$7</f>
        <v>0</v>
      </c>
      <c r="G69" s="762">
        <f>Input!$MT$7</f>
        <v>2266599</v>
      </c>
      <c r="H69" s="762">
        <f>Input!$MU$7</f>
        <v>0</v>
      </c>
      <c r="I69" s="762">
        <f>Input!$MV$7</f>
        <v>0</v>
      </c>
      <c r="J69" s="762">
        <f>Input!$MW$7</f>
        <v>0</v>
      </c>
      <c r="K69" s="762">
        <f>Input!$MX$7</f>
        <v>0</v>
      </c>
      <c r="L69" s="762">
        <f>Input!$MY$7</f>
        <v>0</v>
      </c>
      <c r="M69" s="723">
        <f t="shared" si="12"/>
        <v>40298926</v>
      </c>
      <c r="O69" s="831">
        <f t="shared" si="14"/>
        <v>40298926</v>
      </c>
      <c r="P69" s="832">
        <f>Input!$TO$7</f>
        <v>1065372</v>
      </c>
      <c r="Q69" s="832">
        <f>Input!$TY$7</f>
        <v>0</v>
      </c>
      <c r="R69" s="832">
        <f>Input!$UH$7</f>
        <v>0</v>
      </c>
      <c r="S69" s="837">
        <f t="shared" si="16"/>
        <v>41364298</v>
      </c>
      <c r="T69" s="723"/>
      <c r="U69" s="834">
        <f t="shared" si="15"/>
        <v>40298926</v>
      </c>
      <c r="V69" s="723"/>
      <c r="W69" s="828" t="s">
        <v>181</v>
      </c>
      <c r="X69" s="835">
        <f>Input!$US$7</f>
        <v>40298926</v>
      </c>
      <c r="Y69" s="836">
        <f t="shared" si="13"/>
        <v>0</v>
      </c>
      <c r="Z69" s="723"/>
      <c r="AA69" s="723"/>
      <c r="AB69" s="723"/>
    </row>
    <row r="70" spans="1:28" s="752" customFormat="1">
      <c r="A70" s="460">
        <v>53</v>
      </c>
      <c r="B70" s="823" t="s">
        <v>182</v>
      </c>
      <c r="C70" s="823"/>
      <c r="D70" s="762">
        <f>Input!$MZ$7</f>
        <v>4679724</v>
      </c>
      <c r="E70" s="762">
        <f>Input!$NA$7</f>
        <v>2070185</v>
      </c>
      <c r="F70" s="762">
        <f>Input!$NB$7</f>
        <v>0</v>
      </c>
      <c r="G70" s="762">
        <f>Input!$NC$7</f>
        <v>483794</v>
      </c>
      <c r="H70" s="762">
        <f>Input!$ND$7</f>
        <v>4</v>
      </c>
      <c r="I70" s="762">
        <f>Input!$NE$7</f>
        <v>0</v>
      </c>
      <c r="J70" s="762">
        <f>Input!$NF$7</f>
        <v>0</v>
      </c>
      <c r="K70" s="762">
        <f>Input!$NG$7</f>
        <v>0</v>
      </c>
      <c r="L70" s="762">
        <f>Input!$NH$7</f>
        <v>0</v>
      </c>
      <c r="M70" s="723">
        <f t="shared" si="12"/>
        <v>7233707</v>
      </c>
      <c r="O70" s="831">
        <f t="shared" si="14"/>
        <v>7233703</v>
      </c>
      <c r="P70" s="832">
        <f>Input!$TP$7</f>
        <v>0</v>
      </c>
      <c r="Q70" s="832">
        <f>Input!$TZ$7</f>
        <v>0</v>
      </c>
      <c r="R70" s="832">
        <f>Input!$UI$7</f>
        <v>0</v>
      </c>
      <c r="S70" s="837">
        <f t="shared" si="16"/>
        <v>7233703</v>
      </c>
      <c r="T70" s="723"/>
      <c r="U70" s="834">
        <f t="shared" si="15"/>
        <v>7233703</v>
      </c>
      <c r="V70" s="723"/>
      <c r="W70" s="828" t="s">
        <v>182</v>
      </c>
      <c r="X70" s="835">
        <f>Input!$UT$7</f>
        <v>7233707</v>
      </c>
      <c r="Y70" s="836">
        <f t="shared" si="13"/>
        <v>0</v>
      </c>
      <c r="Z70" s="723"/>
      <c r="AA70" s="723"/>
      <c r="AB70" s="723"/>
    </row>
    <row r="71" spans="1:28" s="752" customFormat="1">
      <c r="A71" s="460">
        <v>54</v>
      </c>
      <c r="B71" s="823" t="s">
        <v>183</v>
      </c>
      <c r="C71" s="823"/>
      <c r="D71" s="762">
        <f>Input!$NI$7</f>
        <v>82574104</v>
      </c>
      <c r="E71" s="762">
        <f>Input!$NJ$7</f>
        <v>17301574</v>
      </c>
      <c r="F71" s="762">
        <f>Input!$NK$7</f>
        <v>0</v>
      </c>
      <c r="G71" s="762">
        <f>Input!$NL$7</f>
        <v>2966770</v>
      </c>
      <c r="H71" s="762">
        <f>Input!$NM$7</f>
        <v>0</v>
      </c>
      <c r="I71" s="762">
        <f>Input!$NN$7</f>
        <v>0</v>
      </c>
      <c r="J71" s="762">
        <f>Input!$NO$7</f>
        <v>0</v>
      </c>
      <c r="K71" s="762">
        <f>Input!$NP$7</f>
        <v>0</v>
      </c>
      <c r="L71" s="762">
        <f>Input!$NQ$7</f>
        <v>0</v>
      </c>
      <c r="M71" s="723">
        <f t="shared" si="12"/>
        <v>102842448</v>
      </c>
      <c r="O71" s="831">
        <f t="shared" si="14"/>
        <v>102842448</v>
      </c>
      <c r="P71" s="832">
        <f>Input!$TQ$7</f>
        <v>382807</v>
      </c>
      <c r="Q71" s="832">
        <f>Input!$UA$7</f>
        <v>0</v>
      </c>
      <c r="R71" s="832">
        <f>Input!$UJ$7</f>
        <v>0</v>
      </c>
      <c r="S71" s="837">
        <f t="shared" si="16"/>
        <v>103225255</v>
      </c>
      <c r="T71" s="723"/>
      <c r="U71" s="834">
        <f t="shared" si="15"/>
        <v>102842448</v>
      </c>
      <c r="V71" s="723"/>
      <c r="W71" s="828" t="s">
        <v>183</v>
      </c>
      <c r="X71" s="835">
        <f>Input!$UU$7</f>
        <v>102842448</v>
      </c>
      <c r="Y71" s="836">
        <f t="shared" si="13"/>
        <v>0</v>
      </c>
      <c r="Z71" s="723"/>
      <c r="AA71" s="723"/>
      <c r="AB71" s="723"/>
    </row>
    <row r="72" spans="1:28" s="752" customFormat="1">
      <c r="A72" s="460">
        <v>55</v>
      </c>
      <c r="B72" s="823" t="s">
        <v>184</v>
      </c>
      <c r="C72" s="823"/>
      <c r="D72" s="762">
        <f>Input!$NR$7</f>
        <v>35337047</v>
      </c>
      <c r="E72" s="762">
        <f>Input!$NS$7</f>
        <v>12330538</v>
      </c>
      <c r="F72" s="762">
        <f>Input!$NT$7</f>
        <v>0</v>
      </c>
      <c r="G72" s="762">
        <f>Input!$NU$7</f>
        <v>4171831</v>
      </c>
      <c r="H72" s="762">
        <f>Input!$NV$7</f>
        <v>0</v>
      </c>
      <c r="I72" s="762">
        <f>Input!$NW$7</f>
        <v>0</v>
      </c>
      <c r="J72" s="762">
        <f>Input!$NX$7</f>
        <v>16440522</v>
      </c>
      <c r="K72" s="762">
        <f>Input!$NY$7</f>
        <v>0</v>
      </c>
      <c r="L72" s="762">
        <f>Input!$NZ$7</f>
        <v>0</v>
      </c>
      <c r="M72" s="723">
        <f t="shared" si="12"/>
        <v>68279938</v>
      </c>
      <c r="O72" s="831">
        <f t="shared" si="14"/>
        <v>51839416</v>
      </c>
      <c r="P72" s="832">
        <f>Input!$TR$7</f>
        <v>3393802</v>
      </c>
      <c r="Q72" s="832">
        <f>Input!$UB$7</f>
        <v>0</v>
      </c>
      <c r="R72" s="832">
        <f>Input!$UK$7</f>
        <v>0</v>
      </c>
      <c r="S72" s="837">
        <f t="shared" si="16"/>
        <v>55233218</v>
      </c>
      <c r="T72" s="723"/>
      <c r="U72" s="834">
        <f t="shared" si="15"/>
        <v>68279938</v>
      </c>
      <c r="V72" s="723"/>
      <c r="W72" s="828" t="s">
        <v>671</v>
      </c>
      <c r="X72" s="835">
        <f>Input!$UV$7</f>
        <v>68279938</v>
      </c>
      <c r="Y72" s="836">
        <f t="shared" si="13"/>
        <v>0</v>
      </c>
      <c r="Z72" s="723"/>
      <c r="AA72" s="723"/>
      <c r="AB72" s="723"/>
    </row>
    <row r="73" spans="1:28" s="752" customFormat="1" ht="13.8" thickBot="1">
      <c r="A73" s="460">
        <v>56</v>
      </c>
      <c r="B73" s="823" t="s">
        <v>185</v>
      </c>
      <c r="C73" s="823"/>
      <c r="D73" s="762">
        <f>Input!$OA$7</f>
        <v>34942</v>
      </c>
      <c r="E73" s="762">
        <f>Input!$OB$7</f>
        <v>3665665</v>
      </c>
      <c r="F73" s="762">
        <f>Input!$OC$7</f>
        <v>0</v>
      </c>
      <c r="G73" s="762">
        <f>Input!$OD$7</f>
        <v>7776998</v>
      </c>
      <c r="H73" s="762">
        <f>Input!$OE$7</f>
        <v>0</v>
      </c>
      <c r="I73" s="762">
        <f>Input!$OF$7</f>
        <v>0</v>
      </c>
      <c r="J73" s="762">
        <f>Input!$OG$7</f>
        <v>0</v>
      </c>
      <c r="K73" s="762">
        <f>Input!$OH$7</f>
        <v>0</v>
      </c>
      <c r="L73" s="762">
        <f>Input!$OI$7</f>
        <v>0</v>
      </c>
      <c r="M73" s="723">
        <f t="shared" si="12"/>
        <v>11477605</v>
      </c>
      <c r="O73" s="838">
        <f>D73+E73+G73</f>
        <v>11477605</v>
      </c>
      <c r="P73" s="832">
        <f>Input!$TS$7</f>
        <v>487650</v>
      </c>
      <c r="Q73" s="839">
        <f>Input!$UC$7</f>
        <v>0</v>
      </c>
      <c r="R73" s="839">
        <f>Input!$UL$7</f>
        <v>0</v>
      </c>
      <c r="S73" s="840">
        <f>O73+P73-Q73-R73</f>
        <v>11965255</v>
      </c>
      <c r="T73" s="841"/>
      <c r="U73" s="834">
        <f t="shared" si="15"/>
        <v>11477605</v>
      </c>
      <c r="V73" s="841"/>
      <c r="W73" s="828" t="s">
        <v>185</v>
      </c>
      <c r="X73" s="835">
        <f>Input!$UW$7</f>
        <v>11477605</v>
      </c>
      <c r="Y73" s="836">
        <f t="shared" si="13"/>
        <v>0</v>
      </c>
      <c r="Z73" s="723"/>
      <c r="AA73" s="723"/>
      <c r="AB73" s="723"/>
    </row>
    <row r="74" spans="1:28" s="752" customFormat="1" ht="13.8" thickTop="1">
      <c r="A74" s="460">
        <v>57</v>
      </c>
      <c r="B74" s="823" t="s">
        <v>472</v>
      </c>
      <c r="C74" s="823"/>
      <c r="D74" s="762">
        <f>Input!$OJ$7</f>
        <v>0</v>
      </c>
      <c r="E74" s="762">
        <f>Input!$OK$7</f>
        <v>888218</v>
      </c>
      <c r="F74" s="762">
        <f>Input!$OL$7</f>
        <v>9761136</v>
      </c>
      <c r="G74" s="762">
        <f>Input!$OM$7</f>
        <v>143513</v>
      </c>
      <c r="H74" s="762">
        <f>Input!$ON$7</f>
        <v>0</v>
      </c>
      <c r="I74" s="762">
        <f>Input!$OO$7</f>
        <v>0</v>
      </c>
      <c r="J74" s="762">
        <f>Input!$OP$7</f>
        <v>0</v>
      </c>
      <c r="K74" s="762">
        <f>Input!$OQ$7</f>
        <v>0</v>
      </c>
      <c r="L74" s="762">
        <f>Input!$OR$7</f>
        <v>0</v>
      </c>
      <c r="M74" s="723">
        <f t="shared" si="12"/>
        <v>10792867</v>
      </c>
      <c r="O74" s="492"/>
      <c r="P74" s="842">
        <f>Input!$TT$7</f>
        <v>22173</v>
      </c>
      <c r="Q74" s="843"/>
      <c r="R74" s="844"/>
      <c r="S74" s="845">
        <f>SUM(S65:S73)</f>
        <v>2427795632</v>
      </c>
      <c r="T74" s="844"/>
      <c r="U74" s="834">
        <f t="shared" si="15"/>
        <v>10792867</v>
      </c>
      <c r="V74" s="844"/>
      <c r="W74" s="828" t="s">
        <v>186</v>
      </c>
      <c r="X74" s="835">
        <f>Input!$UX$7</f>
        <v>10792867</v>
      </c>
      <c r="Y74" s="836">
        <f t="shared" si="13"/>
        <v>0</v>
      </c>
      <c r="Z74" s="723"/>
      <c r="AA74" s="723"/>
      <c r="AB74" s="723"/>
    </row>
    <row r="75" spans="1:28" s="752" customFormat="1">
      <c r="A75" s="460">
        <v>58</v>
      </c>
      <c r="B75" s="846" t="s">
        <v>602</v>
      </c>
      <c r="C75" s="846"/>
      <c r="D75" s="762">
        <f>Input!$OS$7</f>
        <v>722235</v>
      </c>
      <c r="E75" s="762">
        <f>Input!$OT$7</f>
        <v>8596537</v>
      </c>
      <c r="F75" s="762">
        <f>Input!$OU$7</f>
        <v>16960</v>
      </c>
      <c r="G75" s="762">
        <f>Input!$OV$7</f>
        <v>5757014</v>
      </c>
      <c r="H75" s="762">
        <f>Input!$OW$7</f>
        <v>0</v>
      </c>
      <c r="I75" s="762">
        <f>Input!$OX$7</f>
        <v>0</v>
      </c>
      <c r="J75" s="762">
        <f>Input!$OY$7</f>
        <v>0</v>
      </c>
      <c r="K75" s="762">
        <f>Input!$OZ$7</f>
        <v>0</v>
      </c>
      <c r="L75" s="762">
        <f>Input!$PA$7</f>
        <v>0</v>
      </c>
      <c r="M75" s="723">
        <f t="shared" si="12"/>
        <v>15092746</v>
      </c>
      <c r="O75" s="492"/>
      <c r="P75" s="492">
        <f>SUM(P65:P74)</f>
        <v>15092746</v>
      </c>
      <c r="Q75" s="843" t="s">
        <v>672</v>
      </c>
      <c r="R75" s="844"/>
      <c r="S75" s="847"/>
      <c r="T75" s="844"/>
      <c r="U75" s="834">
        <f t="shared" si="15"/>
        <v>15092746</v>
      </c>
      <c r="V75" s="844"/>
      <c r="W75" s="828" t="s">
        <v>673</v>
      </c>
      <c r="X75" s="848">
        <f>M93*-1</f>
        <v>213137449</v>
      </c>
      <c r="Y75" s="836">
        <f>X75+M93</f>
        <v>0</v>
      </c>
      <c r="Z75" s="849"/>
      <c r="AA75" s="849"/>
      <c r="AB75" s="849"/>
    </row>
    <row r="76" spans="1:28" s="752" customFormat="1" ht="13.8" thickBot="1">
      <c r="A76" s="460">
        <v>59</v>
      </c>
      <c r="B76" s="850" t="s">
        <v>603</v>
      </c>
      <c r="C76" s="850"/>
      <c r="D76" s="851">
        <f>Input!$PB$7</f>
        <v>1144655</v>
      </c>
      <c r="E76" s="851">
        <f>Input!$PC$7</f>
        <v>2929833</v>
      </c>
      <c r="F76" s="851">
        <f>Input!$PD$7</f>
        <v>0</v>
      </c>
      <c r="G76" s="851">
        <f>Input!$PE$7</f>
        <v>959</v>
      </c>
      <c r="H76" s="851">
        <f>Input!$PF$7</f>
        <v>11345</v>
      </c>
      <c r="I76" s="851">
        <f>Input!$PG$7</f>
        <v>0</v>
      </c>
      <c r="J76" s="851">
        <f>Input!$PH$7</f>
        <v>0</v>
      </c>
      <c r="K76" s="851">
        <f>Input!$PI$7</f>
        <v>0</v>
      </c>
      <c r="L76" s="851">
        <f>Input!$PJ$7</f>
        <v>0</v>
      </c>
      <c r="M76" s="723">
        <f t="shared" si="12"/>
        <v>4086792</v>
      </c>
      <c r="O76" s="492"/>
      <c r="P76" s="852" t="str">
        <f>IF(P75&lt;&gt;M75,"Out of Balance","Balanced")</f>
        <v>Balanced</v>
      </c>
      <c r="Q76" s="1213" t="s">
        <v>674</v>
      </c>
      <c r="R76" s="1214"/>
      <c r="S76" s="853">
        <f>Input!$UM$7</f>
        <v>4986741972</v>
      </c>
      <c r="T76" s="492"/>
      <c r="U76" s="854">
        <f t="shared" si="15"/>
        <v>4075447</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1026278154</v>
      </c>
      <c r="E77" s="769">
        <f t="shared" si="17"/>
        <v>1225882817</v>
      </c>
      <c r="F77" s="769">
        <f t="shared" si="17"/>
        <v>9778096</v>
      </c>
      <c r="G77" s="769">
        <f t="shared" si="17"/>
        <v>184272987</v>
      </c>
      <c r="H77" s="769">
        <f t="shared" si="17"/>
        <v>11349</v>
      </c>
      <c r="I77" s="769">
        <f t="shared" si="17"/>
        <v>0</v>
      </c>
      <c r="J77" s="769">
        <f t="shared" si="17"/>
        <v>16440522</v>
      </c>
      <c r="K77" s="769">
        <f t="shared" si="17"/>
        <v>0</v>
      </c>
      <c r="L77" s="769">
        <f t="shared" si="17"/>
        <v>0</v>
      </c>
      <c r="M77" s="769">
        <f t="shared" si="12"/>
        <v>2462663925</v>
      </c>
      <c r="O77" s="320"/>
      <c r="P77" s="492"/>
      <c r="Q77" s="859" t="s">
        <v>676</v>
      </c>
      <c r="R77" s="860"/>
      <c r="S77" s="861">
        <f>Input!$UN$7</f>
        <v>3448012447</v>
      </c>
      <c r="T77" s="320"/>
      <c r="U77" s="862">
        <f>SUM(U65:U76)</f>
        <v>2462652576</v>
      </c>
      <c r="V77" s="320"/>
      <c r="W77" s="320"/>
      <c r="X77" s="863">
        <f>SUM(X65:X76)</f>
        <v>2656621836</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889066107</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Input!$PK$7</f>
        <v>0</v>
      </c>
      <c r="E80" s="762">
        <f>Input!$PL$7</f>
        <v>0</v>
      </c>
      <c r="F80" s="762">
        <f>Input!$PM$7</f>
        <v>0</v>
      </c>
      <c r="G80" s="762">
        <f>Input!$PN$7</f>
        <v>0</v>
      </c>
      <c r="H80" s="762">
        <f>Input!$PO$7</f>
        <v>0</v>
      </c>
      <c r="I80" s="762">
        <f>Input!$PP$7</f>
        <v>0</v>
      </c>
      <c r="J80" s="762">
        <f>Input!$PQ$7</f>
        <v>-123650106</v>
      </c>
      <c r="K80" s="762">
        <f>Input!$PR$7</f>
        <v>0</v>
      </c>
      <c r="L80" s="762">
        <f>Input!$PS$7</f>
        <v>0</v>
      </c>
      <c r="M80" s="723">
        <f>D80+E80+F80+G80+H80+I80+J80+K80+L80</f>
        <v>-123650106</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Input!$PT$7</f>
        <v>-142259564</v>
      </c>
      <c r="E81" s="762">
        <f>Input!$PU$7</f>
        <v>44740132</v>
      </c>
      <c r="F81" s="762">
        <f>Input!$PV$7</f>
        <v>0</v>
      </c>
      <c r="G81" s="762">
        <f>Input!$PW$7</f>
        <v>-11043564</v>
      </c>
      <c r="H81" s="762">
        <f>Input!$PX$7</f>
        <v>-34701</v>
      </c>
      <c r="I81" s="762">
        <f>Input!$PY$7</f>
        <v>16896231</v>
      </c>
      <c r="J81" s="762">
        <f>Input!$PZ$7</f>
        <v>66179881</v>
      </c>
      <c r="K81" s="762">
        <f>Input!$QA$7</f>
        <v>0</v>
      </c>
      <c r="L81" s="762">
        <f>Input!$QB$7</f>
        <v>26294851</v>
      </c>
      <c r="M81" s="723">
        <f>D81+E81+F81+G81+H81+I81+J81+K81+L81</f>
        <v>773266</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Input!$QC$7</f>
        <v>0</v>
      </c>
      <c r="E82" s="762">
        <f>Input!$QD$7</f>
        <v>0</v>
      </c>
      <c r="F82" s="762">
        <f>Input!$QE$7</f>
        <v>0</v>
      </c>
      <c r="G82" s="762">
        <f>Input!$QF$7</f>
        <v>0</v>
      </c>
      <c r="H82" s="762">
        <f>Input!$QG$7</f>
        <v>0</v>
      </c>
      <c r="I82" s="762">
        <f>Input!$QH$7</f>
        <v>0</v>
      </c>
      <c r="J82" s="762">
        <f>Input!$QI$7</f>
        <v>40016429</v>
      </c>
      <c r="K82" s="762">
        <f>Input!$QJ$7</f>
        <v>0</v>
      </c>
      <c r="L82" s="762">
        <f>Input!$QK$7</f>
        <v>0</v>
      </c>
      <c r="M82" s="723">
        <f>D82+E82+F82+G82+H82+I82+J82+K82+L82</f>
        <v>40016429</v>
      </c>
      <c r="O82" s="492"/>
      <c r="P82" s="1218" t="str">
        <f>IF(M91&lt;0,"Footnote 11 is N/A - No Data Entry Required","Footnote 11")</f>
        <v>Footnote 11 is N/A - No Data Entry Required</v>
      </c>
      <c r="Q82" s="1219"/>
      <c r="R82" s="1219"/>
      <c r="S82" s="1220"/>
      <c r="T82" s="443"/>
      <c r="U82" s="443"/>
      <c r="V82" s="320"/>
      <c r="W82" s="320"/>
      <c r="X82" s="320"/>
      <c r="Y82" s="320"/>
      <c r="Z82" s="320"/>
      <c r="AA82" s="320"/>
      <c r="AB82" s="320"/>
    </row>
    <row r="83" spans="1:28" s="752" customFormat="1" ht="13.8" thickTop="1">
      <c r="A83" s="460">
        <v>66</v>
      </c>
      <c r="B83" s="752" t="s">
        <v>477</v>
      </c>
      <c r="D83" s="762">
        <f>Input!$QL$7</f>
        <v>-83650292</v>
      </c>
      <c r="E83" s="762">
        <f>Input!$QM$7</f>
        <v>-8076516</v>
      </c>
      <c r="F83" s="762">
        <f>Input!$QN$7</f>
        <v>-1765417</v>
      </c>
      <c r="G83" s="762">
        <f>Input!$QO$7</f>
        <v>0</v>
      </c>
      <c r="H83" s="762">
        <f>Input!$QP$7</f>
        <v>0</v>
      </c>
      <c r="I83" s="762">
        <f>Input!$QQ$7</f>
        <v>0</v>
      </c>
      <c r="J83" s="762">
        <f>Input!$QR$7</f>
        <v>-10045172</v>
      </c>
      <c r="K83" s="762">
        <f>Input!$QS$7</f>
        <v>0</v>
      </c>
      <c r="L83" s="762">
        <f>Input!$QT$7</f>
        <v>0</v>
      </c>
      <c r="M83" s="723">
        <f>D83+E83+F83+G83+H83+I83+J83+K83+L83</f>
        <v>-103537397</v>
      </c>
      <c r="O83" s="723"/>
      <c r="P83" s="869" t="s">
        <v>678</v>
      </c>
      <c r="Q83" s="870"/>
      <c r="R83" s="871"/>
      <c r="S83" s="872" t="str">
        <f>IF(M91&lt;0,"N/A",M91)</f>
        <v>N/A</v>
      </c>
      <c r="T83" s="492"/>
      <c r="U83" s="443"/>
      <c r="V83" s="320"/>
      <c r="W83" s="320"/>
      <c r="X83" s="443"/>
      <c r="Y83" s="443"/>
      <c r="Z83" s="320"/>
      <c r="AA83" s="320"/>
      <c r="AB83" s="320"/>
    </row>
    <row r="84" spans="1:28" s="752" customFormat="1">
      <c r="A84" s="460">
        <v>67</v>
      </c>
      <c r="B84" s="858" t="s">
        <v>155</v>
      </c>
      <c r="C84" s="858"/>
      <c r="D84" s="769">
        <f t="shared" ref="D84:L84" si="18">SUM(D80:D83)</f>
        <v>-225909856</v>
      </c>
      <c r="E84" s="769">
        <f t="shared" si="18"/>
        <v>36663616</v>
      </c>
      <c r="F84" s="769">
        <f t="shared" si="18"/>
        <v>-1765417</v>
      </c>
      <c r="G84" s="769">
        <f t="shared" si="18"/>
        <v>-11043564</v>
      </c>
      <c r="H84" s="769">
        <f t="shared" si="18"/>
        <v>-34701</v>
      </c>
      <c r="I84" s="769">
        <f t="shared" si="18"/>
        <v>16896231</v>
      </c>
      <c r="J84" s="769">
        <f t="shared" si="18"/>
        <v>-27498968</v>
      </c>
      <c r="K84" s="769">
        <f t="shared" si="18"/>
        <v>0</v>
      </c>
      <c r="L84" s="769">
        <f t="shared" si="18"/>
        <v>26294851</v>
      </c>
      <c r="M84" s="769">
        <f>D84+E84+F84+G84+H84+I84+J84+K84+L84</f>
        <v>-186397808</v>
      </c>
      <c r="O84" s="723"/>
      <c r="P84" s="873" t="s">
        <v>679</v>
      </c>
      <c r="Q84" s="492"/>
      <c r="R84" s="492"/>
      <c r="S84" s="874">
        <f>Input!$UY$7</f>
        <v>0</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t="str">
        <f>IF(M91&lt;0,"",S83-S84)</f>
        <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Input!$QU$7</f>
        <v>0</v>
      </c>
      <c r="E87" s="762">
        <f>Input!$QV$7</f>
        <v>-97856028</v>
      </c>
      <c r="F87" s="762">
        <f>Input!$QW$7</f>
        <v>0</v>
      </c>
      <c r="G87" s="762">
        <f>Input!$QX$7</f>
        <v>0</v>
      </c>
      <c r="H87" s="762">
        <f>Input!$QY$7</f>
        <v>0</v>
      </c>
      <c r="I87" s="762">
        <f>Input!$QZ$7</f>
        <v>-90832407</v>
      </c>
      <c r="J87" s="762">
        <f>Input!$RA$7</f>
        <v>0</v>
      </c>
      <c r="K87" s="762">
        <f>Input!$RB$7</f>
        <v>0</v>
      </c>
      <c r="L87" s="762">
        <f>Input!$RC$7</f>
        <v>0</v>
      </c>
      <c r="M87" s="723">
        <f>D87+E87+F87+G87+H87+I87+J87+K87+L87</f>
        <v>-188688435</v>
      </c>
      <c r="O87" s="320"/>
      <c r="P87" s="873" t="s">
        <v>681</v>
      </c>
      <c r="Q87" s="320"/>
      <c r="R87" s="492"/>
      <c r="S87" s="878">
        <f>Input!$UZ$7</f>
        <v>0</v>
      </c>
      <c r="T87" s="320"/>
      <c r="U87" s="320"/>
      <c r="V87" s="320"/>
      <c r="W87" s="320"/>
      <c r="X87" s="443"/>
      <c r="Y87" s="443"/>
      <c r="Z87" s="320"/>
      <c r="AA87" s="320"/>
      <c r="AB87" s="320"/>
    </row>
    <row r="88" spans="1:28" s="752" customFormat="1">
      <c r="A88" s="460">
        <v>71</v>
      </c>
      <c r="B88" s="752" t="s">
        <v>480</v>
      </c>
      <c r="D88" s="762">
        <f>Input!$RD$7</f>
        <v>0</v>
      </c>
      <c r="E88" s="762">
        <f>Input!$RE$7</f>
        <v>0</v>
      </c>
      <c r="F88" s="762">
        <f>Input!$RF$7</f>
        <v>0</v>
      </c>
      <c r="G88" s="762">
        <f>Input!$RG$7</f>
        <v>683519</v>
      </c>
      <c r="H88" s="762">
        <f>Input!$RH$7</f>
        <v>0</v>
      </c>
      <c r="I88" s="762">
        <f>Input!$RI$7</f>
        <v>9200490</v>
      </c>
      <c r="J88" s="762">
        <f>Input!$RJ$7</f>
        <v>0</v>
      </c>
      <c r="K88" s="762">
        <f>Input!$RK$7</f>
        <v>0</v>
      </c>
      <c r="L88" s="762">
        <f>Input!$RL$7</f>
        <v>0</v>
      </c>
      <c r="M88" s="723">
        <f>D88+E88+F88+G88+H88+I88+J88+K88+L88</f>
        <v>9884009</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0</v>
      </c>
      <c r="E89" s="769">
        <f t="shared" si="19"/>
        <v>-97856028</v>
      </c>
      <c r="F89" s="769">
        <f t="shared" si="19"/>
        <v>0</v>
      </c>
      <c r="G89" s="769">
        <f t="shared" si="19"/>
        <v>683519</v>
      </c>
      <c r="H89" s="769">
        <f t="shared" si="19"/>
        <v>0</v>
      </c>
      <c r="I89" s="769">
        <f t="shared" si="19"/>
        <v>-81631917</v>
      </c>
      <c r="J89" s="769">
        <f t="shared" si="19"/>
        <v>0</v>
      </c>
      <c r="K89" s="769">
        <f t="shared" si="19"/>
        <v>0</v>
      </c>
      <c r="L89" s="769">
        <f t="shared" si="19"/>
        <v>0</v>
      </c>
      <c r="M89" s="769">
        <f>D89+E89+F89+G89+H89+I89+J89+K89+L89</f>
        <v>-178804426</v>
      </c>
      <c r="O89" s="320"/>
      <c r="P89" s="873" t="s">
        <v>683</v>
      </c>
      <c r="Q89" s="320"/>
      <c r="R89" s="320"/>
      <c r="S89" s="875" t="str">
        <f>IFERROR(S85-S87,"")</f>
        <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-19161892</v>
      </c>
      <c r="E91" s="769">
        <f t="shared" si="20"/>
        <v>-43726768</v>
      </c>
      <c r="F91" s="769">
        <f t="shared" si="20"/>
        <v>2944181</v>
      </c>
      <c r="G91" s="769">
        <f t="shared" si="20"/>
        <v>9401236</v>
      </c>
      <c r="H91" s="769">
        <f t="shared" si="20"/>
        <v>191513</v>
      </c>
      <c r="I91" s="769">
        <f t="shared" si="20"/>
        <v>-62773492</v>
      </c>
      <c r="J91" s="769">
        <f t="shared" si="20"/>
        <v>19044190</v>
      </c>
      <c r="K91" s="769">
        <f t="shared" si="20"/>
        <v>0</v>
      </c>
      <c r="L91" s="769">
        <f>L63-L77+L84+L89</f>
        <v>23669452</v>
      </c>
      <c r="M91" s="769">
        <f>D91+E91+F91+G91+H91+I91+J91+K91+L91</f>
        <v>-70411580</v>
      </c>
      <c r="O91" s="320"/>
      <c r="P91" s="881" t="s">
        <v>684</v>
      </c>
      <c r="Q91" s="882"/>
      <c r="R91" s="882"/>
      <c r="S91" s="883" t="str">
        <f>IFERROR((S89+S87)-S85,"")</f>
        <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Input!$RM$7</f>
        <v>0</v>
      </c>
      <c r="E93" s="762">
        <f>Input!$RN$7</f>
        <v>0</v>
      </c>
      <c r="F93" s="762">
        <f>Input!$RO$7</f>
        <v>0</v>
      </c>
      <c r="G93" s="762">
        <f>Input!$RP$7</f>
        <v>0</v>
      </c>
      <c r="H93" s="762">
        <f>Input!$RQ$7</f>
        <v>0</v>
      </c>
      <c r="I93" s="762">
        <f>Input!$RR$7</f>
        <v>0</v>
      </c>
      <c r="J93" s="762">
        <f>Input!$RS$7</f>
        <v>0</v>
      </c>
      <c r="K93" s="762">
        <f>Input!$RT$7</f>
        <v>0</v>
      </c>
      <c r="L93" s="762">
        <f>Input!$RU$7</f>
        <v>-213137449</v>
      </c>
      <c r="M93" s="723">
        <f>D93+E93+F93+G93+H93+I93+J93+K93+L93</f>
        <v>-213137449</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Input!$RV$7</f>
        <v>0</v>
      </c>
      <c r="E94" s="762">
        <f>Input!$RW$7</f>
        <v>0</v>
      </c>
      <c r="F94" s="762">
        <f>Input!$RX$7</f>
        <v>0</v>
      </c>
      <c r="G94" s="762">
        <f>Input!$RY$7</f>
        <v>0</v>
      </c>
      <c r="H94" s="762">
        <f>Input!$RZ$7</f>
        <v>0</v>
      </c>
      <c r="I94" s="762">
        <f>Input!$SA$7</f>
        <v>0</v>
      </c>
      <c r="J94" s="762">
        <f>Input!$SB$7</f>
        <v>0</v>
      </c>
      <c r="K94" s="762">
        <f>Input!$SC$7</f>
        <v>0</v>
      </c>
      <c r="L94" s="762">
        <f>Input!$SD$7</f>
        <v>0</v>
      </c>
      <c r="M94" s="723">
        <f>D94+E94+F94+G94+H94+I94+J94+K94+L94</f>
        <v>0</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Input!$SE$7</f>
        <v>0</v>
      </c>
      <c r="E95" s="762">
        <f>Input!$SF$7</f>
        <v>0</v>
      </c>
      <c r="F95" s="762">
        <f>Input!$SG$7</f>
        <v>0</v>
      </c>
      <c r="G95" s="762">
        <f>Input!$SH$7</f>
        <v>0</v>
      </c>
      <c r="H95" s="762">
        <f>Input!$SI$7</f>
        <v>0</v>
      </c>
      <c r="I95" s="762">
        <f>Input!$SJ$7</f>
        <v>0</v>
      </c>
      <c r="J95" s="762">
        <f>Input!$SK$7</f>
        <v>0</v>
      </c>
      <c r="K95" s="762">
        <f>Input!$SL$7</f>
        <v>0</v>
      </c>
      <c r="L95" s="762">
        <f>Input!$SM$7</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Input!$SN$7</f>
        <v>0</v>
      </c>
      <c r="E96" s="762">
        <f>Input!$SO$7</f>
        <v>0</v>
      </c>
      <c r="F96" s="762">
        <f>Input!$SP$7</f>
        <v>0</v>
      </c>
      <c r="G96" s="762">
        <f>Input!$SQ$7</f>
        <v>0</v>
      </c>
      <c r="H96" s="762">
        <f>Input!$SR$7</f>
        <v>0</v>
      </c>
      <c r="I96" s="762">
        <f>Input!$SS$7</f>
        <v>0</v>
      </c>
      <c r="J96" s="762">
        <f>Input!$ST$7</f>
        <v>0</v>
      </c>
      <c r="K96" s="762">
        <f>Input!$SU$7</f>
        <v>0</v>
      </c>
      <c r="L96" s="762">
        <f>Input!$SV$7</f>
        <v>0</v>
      </c>
      <c r="M96" s="723">
        <f>D96+E96+F96+G96+H96+I96+J96+K96+L96</f>
        <v>0</v>
      </c>
      <c r="O96" s="884"/>
      <c r="P96" s="320"/>
      <c r="Q96" s="320"/>
      <c r="R96" s="320"/>
      <c r="S96" s="320"/>
      <c r="Y96" s="320"/>
      <c r="Z96" s="320"/>
      <c r="AA96" s="320"/>
      <c r="AB96" s="320"/>
    </row>
    <row r="97" spans="1:28" s="752" customFormat="1">
      <c r="A97" s="460">
        <v>79</v>
      </c>
      <c r="B97" s="320" t="s">
        <v>486</v>
      </c>
      <c r="C97" s="320"/>
      <c r="D97" s="762">
        <f>Input!$SW$7</f>
        <v>0</v>
      </c>
      <c r="E97" s="762">
        <f>Input!$SX$7</f>
        <v>0</v>
      </c>
      <c r="F97" s="762">
        <f>Input!$SY$7</f>
        <v>0</v>
      </c>
      <c r="G97" s="762">
        <f>Input!$SZ$7</f>
        <v>0</v>
      </c>
      <c r="H97" s="762">
        <f>Input!$TA$7</f>
        <v>0</v>
      </c>
      <c r="I97" s="762">
        <f>Input!$TB$7</f>
        <v>0</v>
      </c>
      <c r="J97" s="762">
        <f>Input!$TC$7</f>
        <v>0</v>
      </c>
      <c r="K97" s="762">
        <f>Input!$TD$7</f>
        <v>0</v>
      </c>
      <c r="L97" s="762">
        <f>Input!$TE$7</f>
        <v>138742852</v>
      </c>
      <c r="M97" s="723">
        <f>D97+E97+F97+G97+H97+I97+J97+K97+L97</f>
        <v>138742852</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-19161892</v>
      </c>
      <c r="E98" s="886">
        <f t="shared" si="21"/>
        <v>-43726768</v>
      </c>
      <c r="F98" s="886">
        <f t="shared" si="21"/>
        <v>2944181</v>
      </c>
      <c r="G98" s="886">
        <f t="shared" si="21"/>
        <v>9401236</v>
      </c>
      <c r="H98" s="886">
        <f t="shared" si="21"/>
        <v>191513</v>
      </c>
      <c r="I98" s="886">
        <f t="shared" si="21"/>
        <v>-62773492</v>
      </c>
      <c r="J98" s="886">
        <f t="shared" si="21"/>
        <v>19044190</v>
      </c>
      <c r="K98" s="886">
        <f t="shared" si="21"/>
        <v>0</v>
      </c>
      <c r="L98" s="886">
        <f t="shared" si="21"/>
        <v>-50725145</v>
      </c>
      <c r="M98" s="886">
        <f>SUM(M91:M97)</f>
        <v>-144806177</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4" t="str">
        <f>Input!$VC$7</f>
        <v>Joshua Tucker</v>
      </c>
      <c r="Q103" s="1225"/>
      <c r="R103" s="1224">
        <f>Input!$VD$7</f>
        <v>0</v>
      </c>
      <c r="S103" s="1225"/>
      <c r="T103" s="320"/>
      <c r="U103" s="1226" t="str">
        <f>HYPERLINK("Mailto:"&amp;Input!$VE$7,Input!$VE$7)</f>
        <v>joatucker@utmb.edu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Input!$TF$7</f>
        <v>-144806177</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IF($L$123&lt;&gt;Input!$F$7,"Out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2032143988</v>
      </c>
      <c r="E110" s="723">
        <f>SUM($E$10:$E$14)+SUM($E$19:$E$28)+SUM($E$50)+$E$53+SUM($E$56:$E$61)+SUM($E$65:$E$76)+SUM($E$80:$E$83)+SUM($E$87:$E$88)+SUM($E$93:$E$97)+SUM($E$32:$E$41)+$E$47</f>
        <v>2408032392</v>
      </c>
      <c r="F110" s="723">
        <f>SUM($F$10:$F$14)+SUM($F$19:$F$28)+SUM($F$50)+$F$53+SUM($F$56:$F$61)+SUM($F$65:$F$76)+SUM($F$80:$F$83)+SUM($F$87:$F$88)+SUM($F$93:$F$97)+SUM($F$32:$F$41)+$F$47</f>
        <v>22500373</v>
      </c>
      <c r="G110" s="723">
        <f>SUM($G$10:$G$14)+SUM($G$19:$G$28)+SUM($G$50)+$G$53+SUM($G$56:$G$61)+SUM($G$65:$G$76)+SUM($G$80:$G$83)+SUM($G$87:$G$88)+SUM($G$93:$G$97)+SUM($G$32:$G$41)+$G$47</f>
        <v>377947210</v>
      </c>
      <c r="H110" s="723">
        <f>SUM($H$10:$H$14)+SUM($H$19:$H$28)+SUM($H$50)+$H$53+SUM($H$56:$H$61)+SUM($H$65:$H$76)+SUM($H$80:$H$83)+SUM($H$87:$H$88)+SUM($H$93:$H$97)+SUM($H$32:$H$41)+$H$47</f>
        <v>214211</v>
      </c>
      <c r="I110" s="723">
        <f>SUM($I$10:$I$14)+SUM($I$19:$I$28)+SUM($I$50)+$I$53+SUM($I$56:$I$61)+SUM($I$65:$I$76)+SUM($I$80:$I$83)+SUM($I$87:$I$88)+SUM($I$93:$I$97)+SUM($I$32:$I$41)+$I$47</f>
        <v>-62773492</v>
      </c>
      <c r="J110" s="723">
        <f>SUM($J$10:$J$14)+SUM($J$19:$J$28)+SUM($J$50)+$J$53+SUM($J$56:$J$61)+SUM($J$65:$J$76)+SUM($J$80:$J$83)+SUM($J$87:$J$88)+SUM($J$93:$J$97)+SUM($J$32:$J$41)+$J$47</f>
        <v>51925234</v>
      </c>
      <c r="K110" s="723">
        <f>SUM($K$10:$K$14)+SUM($K$19:$K$28)+SUM($K$50)+$K$53+SUM($K$56:$K$61)+SUM($K$65:$K$76)+SUM($K$80:$K$83)+SUM($K$87:$K$88)+SUM($K$93:$K$97)+SUM($K$32:$K$41)+$K$47</f>
        <v>0</v>
      </c>
      <c r="L110" s="723">
        <f>SUM($L$10:$L$14)+SUM($L$19:$L$28)+SUM($L$50)+$L$53+SUM($L$56:$L$61)+SUM($L$65:$L$76)+SUM($L$80:$L$83)+SUM($L$87:$L$88)+SUM($L$93:$L$97)+SUM($L$32:$L$41)+$L$47</f>
        <v>-50725145</v>
      </c>
    </row>
    <row r="111" spans="1:28" s="320" customFormat="1">
      <c r="A111" s="322"/>
      <c r="L111" s="723">
        <f>SUM($D$110:$L$110)</f>
        <v>4779264771</v>
      </c>
    </row>
    <row r="112" spans="1:28" s="320" customFormat="1">
      <c r="A112" s="322"/>
      <c r="J112" s="320" t="s">
        <v>690</v>
      </c>
      <c r="L112" s="723">
        <f>$M$105</f>
        <v>-144806177</v>
      </c>
    </row>
    <row r="113" spans="1:12" s="320" customFormat="1">
      <c r="A113" s="322"/>
      <c r="J113" s="320" t="s">
        <v>691</v>
      </c>
      <c r="L113" s="492">
        <f>$Q$32</f>
        <v>56502884</v>
      </c>
    </row>
    <row r="114" spans="1:12" s="320" customFormat="1">
      <c r="A114" s="322"/>
      <c r="J114" s="320" t="s">
        <v>691</v>
      </c>
      <c r="L114" s="492">
        <f>$R$34</f>
        <v>-5311457</v>
      </c>
    </row>
    <row r="115" spans="1:12" s="320" customFormat="1">
      <c r="A115" s="322"/>
      <c r="J115" s="320" t="s">
        <v>521</v>
      </c>
      <c r="L115" s="492">
        <f>SUM($P$65:$P$74)</f>
        <v>15092746</v>
      </c>
    </row>
    <row r="116" spans="1:12" s="320" customFormat="1">
      <c r="A116" s="322"/>
      <c r="J116" s="320" t="s">
        <v>692</v>
      </c>
      <c r="L116" s="492">
        <f>$S$76+$S$77</f>
        <v>8434754419</v>
      </c>
    </row>
    <row r="117" spans="1:12" s="320" customFormat="1">
      <c r="A117" s="322"/>
      <c r="J117" s="320" t="s">
        <v>693</v>
      </c>
      <c r="L117" s="492">
        <f>SUM($Q$65:$Q$73)</f>
        <v>2635818</v>
      </c>
    </row>
    <row r="118" spans="1:12" s="320" customFormat="1">
      <c r="A118" s="322"/>
      <c r="J118" s="320" t="s">
        <v>694</v>
      </c>
      <c r="L118" s="492">
        <f>SUM($R$65:$R$73)</f>
        <v>890117</v>
      </c>
    </row>
    <row r="119" spans="1:12" s="320" customFormat="1">
      <c r="A119" s="322"/>
      <c r="J119" s="320" t="s">
        <v>695</v>
      </c>
      <c r="L119" s="492">
        <f>SUM($X$65:$X$74)</f>
        <v>2443484387</v>
      </c>
    </row>
    <row r="120" spans="1:12" s="320" customFormat="1">
      <c r="A120" s="322"/>
      <c r="J120" s="320" t="s">
        <v>696</v>
      </c>
      <c r="L120" s="492">
        <f>$S$84</f>
        <v>0</v>
      </c>
    </row>
    <row r="121" spans="1:12" s="320" customFormat="1">
      <c r="A121" s="322"/>
      <c r="J121" s="320" t="s">
        <v>696</v>
      </c>
      <c r="L121" s="492">
        <f>$S$87</f>
        <v>0</v>
      </c>
    </row>
    <row r="122" spans="1:12" s="320" customFormat="1">
      <c r="A122" s="322"/>
      <c r="J122" s="320" t="s">
        <v>697</v>
      </c>
      <c r="L122" s="443">
        <f>VLOOKUP(B2,Names!$B$10:$C$90,2,FALSE)</f>
        <v>104952</v>
      </c>
    </row>
    <row r="123" spans="1:12">
      <c r="L123" s="898">
        <f>SUM($L$111:$L$122)</f>
        <v>15582612460</v>
      </c>
    </row>
  </sheetData>
  <mergeCells count="27">
    <mergeCell ref="Q76:R76"/>
    <mergeCell ref="O60:S60"/>
    <mergeCell ref="W61:W64"/>
    <mergeCell ref="P105:V106"/>
    <mergeCell ref="P82:S82"/>
    <mergeCell ref="P100:V100"/>
    <mergeCell ref="P103:Q103"/>
    <mergeCell ref="R103:S103"/>
    <mergeCell ref="U103:V103"/>
    <mergeCell ref="R61:R64"/>
    <mergeCell ref="S61:S64"/>
    <mergeCell ref="X61:X64"/>
    <mergeCell ref="Y61:Y64"/>
    <mergeCell ref="U61:U64"/>
    <mergeCell ref="W60:Y60"/>
    <mergeCell ref="U19:Y19"/>
    <mergeCell ref="G64:K64"/>
    <mergeCell ref="P10:P11"/>
    <mergeCell ref="O61:O64"/>
    <mergeCell ref="P61:P64"/>
    <mergeCell ref="Q61:Q64"/>
    <mergeCell ref="O19:S19"/>
    <mergeCell ref="B2:F2"/>
    <mergeCell ref="B3:F3"/>
    <mergeCell ref="B4:F4"/>
    <mergeCell ref="B6:M6"/>
    <mergeCell ref="P4:Q4"/>
  </mergeCells>
  <conditionalFormatting sqref="D98:L98">
    <cfRule type="cellIs" dxfId="369" priority="15" stopIfTrue="1" operator="notEqual">
      <formula>#REF!</formula>
    </cfRule>
  </conditionalFormatting>
  <conditionalFormatting sqref="D99:M99">
    <cfRule type="cellIs" dxfId="368" priority="21" stopIfTrue="1" operator="notEqual">
      <formula>#REF!</formula>
    </cfRule>
  </conditionalFormatting>
  <conditionalFormatting sqref="G64:K64">
    <cfRule type="expression" dxfId="367" priority="14">
      <formula>$R$98&lt;&gt;0</formula>
    </cfRule>
  </conditionalFormatting>
  <conditionalFormatting sqref="M15">
    <cfRule type="cellIs" dxfId="366" priority="16" stopIfTrue="1" operator="notEqual">
      <formula>SUM($M$10:$M$14)</formula>
    </cfRule>
  </conditionalFormatting>
  <conditionalFormatting sqref="M62">
    <cfRule type="cellIs" dxfId="365" priority="17" stopIfTrue="1" operator="notEqual">
      <formula>SUM($M$56:$M$61)</formula>
    </cfRule>
  </conditionalFormatting>
  <conditionalFormatting sqref="M77">
    <cfRule type="cellIs" dxfId="364" priority="20" stopIfTrue="1" operator="notEqual">
      <formula>SUM($M$65:$M$76)</formula>
    </cfRule>
  </conditionalFormatting>
  <conditionalFormatting sqref="M84">
    <cfRule type="cellIs" dxfId="363" priority="18" stopIfTrue="1" operator="notEqual">
      <formula>SUM($M$80:$M$83)</formula>
    </cfRule>
  </conditionalFormatting>
  <conditionalFormatting sqref="M89">
    <cfRule type="cellIs" dxfId="362" priority="19" stopIfTrue="1" operator="notEqual">
      <formula>SUM($M$87:$M$88)</formula>
    </cfRule>
  </conditionalFormatting>
  <conditionalFormatting sqref="O12">
    <cfRule type="expression" dxfId="361" priority="11">
      <formula>$Q$12&lt;&gt;$N$12</formula>
    </cfRule>
  </conditionalFormatting>
  <conditionalFormatting sqref="O13">
    <cfRule type="expression" dxfId="360" priority="12">
      <formula>$Q$13&lt;&gt;$N$13</formula>
    </cfRule>
  </conditionalFormatting>
  <conditionalFormatting sqref="O11:P11">
    <cfRule type="expression" dxfId="359" priority="13">
      <formula>#REF!&lt;&gt;$N$11</formula>
    </cfRule>
  </conditionalFormatting>
  <conditionalFormatting sqref="P76">
    <cfRule type="expression" dxfId="358" priority="5">
      <formula>$P$75&lt;&gt;$M$75</formula>
    </cfRule>
  </conditionalFormatting>
  <conditionalFormatting sqref="P94:P101 Q100:R100 U100:V100 S100:T102 U101 R102 S105:U106">
    <cfRule type="cellIs" dxfId="357" priority="6" stopIfTrue="1" operator="notEqual">
      <formula>#REF!</formula>
    </cfRule>
  </conditionalFormatting>
  <conditionalFormatting sqref="Q35">
    <cfRule type="expression" dxfId="356" priority="1">
      <formula>#REF!&lt;&gt;0</formula>
    </cfRule>
  </conditionalFormatting>
  <conditionalFormatting sqref="Q93:Q100 U93:W100 T95:T102 R99:S102 O93:O100 R95:R97 S95:S98 X95:AB102">
    <cfRule type="cellIs" dxfId="355" priority="77" stopIfTrue="1" operator="notEqual">
      <formula>#REF!</formula>
    </cfRule>
  </conditionalFormatting>
  <conditionalFormatting sqref="Q36:R36">
    <cfRule type="expression" dxfId="354" priority="3">
      <formula>#REF!&lt;&gt;#REF!</formula>
    </cfRule>
  </conditionalFormatting>
  <conditionalFormatting sqref="R35">
    <cfRule type="expression" dxfId="353" priority="2">
      <formula>#REF!&lt;&gt;0</formula>
    </cfRule>
  </conditionalFormatting>
  <conditionalFormatting sqref="S84 S87">
    <cfRule type="expression" dxfId="352" priority="7" stopIfTrue="1">
      <formula>$M$91&gt;=0</formula>
    </cfRule>
    <cfRule type="expression" priority="8">
      <formula>$M$91&lt;0</formula>
    </cfRule>
    <cfRule type="expression" dxfId="351" priority="33" stopIfTrue="1">
      <formula>$M$91&gt;=0</formula>
    </cfRule>
    <cfRule type="expression" priority="34">
      <formula>$M$91&lt;0</formula>
    </cfRule>
  </conditionalFormatting>
  <conditionalFormatting sqref="S91">
    <cfRule type="expression" priority="9" stopIfTrue="1">
      <formula>$N$91&lt;0</formula>
    </cfRule>
    <cfRule type="expression" dxfId="350" priority="10">
      <formula>$T$91&lt;&gt;0</formula>
    </cfRule>
    <cfRule type="expression" priority="35" stopIfTrue="1">
      <formula>$N$91&lt;0</formula>
    </cfRule>
    <cfRule type="expression" dxfId="349" priority="36">
      <formula>$T$91&lt;&gt;0</formula>
    </cfRule>
  </conditionalFormatting>
  <conditionalFormatting sqref="Y78">
    <cfRule type="expression" dxfId="348" priority="4">
      <formula>$Y$77&lt;&gt;0</formula>
    </cfRule>
  </conditionalFormatting>
  <hyperlinks>
    <hyperlink ref="O2" location="Index!A1" display="Return to Index" xr:uid="{00000000-0004-0000-1C00-000000000000}"/>
  </hyperlinks>
  <printOptions horizontalCentered="1"/>
  <pageMargins left="0.25" right="0.25" top="0.25" bottom="0.2" header="0.5" footer="0.2"/>
  <pageSetup scale="43" pageOrder="overThenDown" orientation="landscape" r:id="rId1"/>
  <headerFooter alignWithMargins="0"/>
  <rowBreaks count="1" manualBreakCount="1">
    <brk id="107" max="1638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1.6640625" style="277" customWidth="1"/>
    <col min="11" max="16384" width="9.109375" style="277"/>
  </cols>
  <sheetData>
    <row r="1" spans="1:6" ht="13.8">
      <c r="B1" s="1017" t="str">
        <f>'MBG Chts'!$A$1</f>
        <v>The University of Texas Medical Branch at Galveston</v>
      </c>
      <c r="D1" s="321" t="s">
        <v>51</v>
      </c>
    </row>
    <row r="2" spans="1:6">
      <c r="B2" s="742" t="str">
        <f>'Smmy Chts'!$A$2</f>
        <v>For the Year Ended August 31, 2022</v>
      </c>
    </row>
    <row r="3" spans="1:6">
      <c r="B3" s="742" t="str">
        <f>'Smmy Chts'!$A$3</f>
        <v>Source: FY 2022 Annual Financial Report</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str">
        <f>IF('MBG FGD'!$S$83="N/A","FN11.  N/A",$B$14&amp;$B$15&amp;$B$16&amp;$B$17&amp;$B$18&amp;$B$19&amp;$B$20&amp;$B$21&amp;$B$22&amp;$B$23&amp;$B$24)</f>
        <v>FN11.  N/A</v>
      </c>
      <c r="E9" s="669"/>
    </row>
    <row r="14" spans="1:6">
      <c r="B14" s="277" t="s">
        <v>698</v>
      </c>
    </row>
    <row r="15" spans="1:6">
      <c r="A15" s="277">
        <v>75</v>
      </c>
      <c r="B15" s="669" t="str">
        <f>TEXT(IF('MBG FGD'!$M$91&lt;0,"N/A",'MBG FGD'!$M$91),"$* #,##0;$* (#,##0)")</f>
        <v>N/A</v>
      </c>
      <c r="C15" s="282"/>
      <c r="F15" s="282"/>
    </row>
    <row r="16" spans="1:6">
      <c r="B16" s="277" t="s">
        <v>699</v>
      </c>
    </row>
    <row r="17" spans="1:6">
      <c r="A17" s="277">
        <v>68</v>
      </c>
      <c r="B17" s="748" t="str">
        <f>IF(ABS('MBG FGD'!$S$84)&gt;=1000000,TEXT('MBG FGD'!$S$84/1000000,"$* #,##0.0;$* (#,##0.0)")&amp;" million",IF(ABS('MBG FGD'!$S$84)&lt;1000,TEXT('MBG FGD'!$S$84,"$* #,##0;$* (#,##0)"),TEXT('MBG FGD'!$S$84/1000,"$* #,##0;$* (#,##0)")&amp;" thousand"))</f>
        <v>$0</v>
      </c>
      <c r="C17" s="748"/>
      <c r="F17" s="748"/>
    </row>
    <row r="18" spans="1:6">
      <c r="B18" s="277" t="s">
        <v>700</v>
      </c>
    </row>
    <row r="19" spans="1:6">
      <c r="A19" s="277">
        <v>69</v>
      </c>
      <c r="B19" s="277" t="e">
        <f>IF(ABS('MBG FGD'!$S$85)&gt;=1000000,TEXT('MBG FGD'!$S$85/1000000,"$* #,##0.0;$* (#,##0.0)")&amp;" million",IF(ABS('MBG FGD'!$S$85)&lt;1000,TEXT('MBG FGD'!$S$85,"$* #,##0;$* (#,##0)"),TEXT('MBG FGD'!$S$85/1000,"$* #,##0;$* (#,##0)")&amp;" thousand"))</f>
        <v>#VALUE!</v>
      </c>
    </row>
    <row r="20" spans="1:6">
      <c r="B20" s="277" t="s">
        <v>701</v>
      </c>
    </row>
    <row r="21" spans="1:6">
      <c r="A21" s="277">
        <v>71</v>
      </c>
      <c r="B21" s="277" t="str">
        <f>IF(ABS('MBG FGD'!$S$87)&gt;=1000000,TEXT('MBG FGD'!$S$87/1000000,"$* #,##0.0;$* (#,##0.0)")&amp;" million",IF(ABS('MBG FGD'!$S$87)&lt;1000,TEXT('MBG FGD'!$S$87,"$* #,##0;$* (#,##0)"),TEXT('MBG FGD'!$S$87/1000,"$* #,##0;$* (#,##0)")&amp;" thousand"))</f>
        <v>$0</v>
      </c>
    </row>
    <row r="22" spans="1:6">
      <c r="B22" s="277" t="s">
        <v>702</v>
      </c>
    </row>
    <row r="23" spans="1:6">
      <c r="A23" s="277">
        <v>73</v>
      </c>
      <c r="B23" s="277" t="e">
        <f>IF(ABS('MBG FGD'!$S$89)&gt;=1000000,TEXT('MBG FGD'!$S$89/1000000,"$* #,##0.0;$* (#,##0.0)")&amp;" million",IF(ABS('MBG FGD'!$S$89)&lt;1000,TEXT('MBG FGD'!$S$89,"$* #,##0;$* (#,##0)"),TEXT('MBG FGD'!$S$89/1000,"$* #,##0;$* (#,##0)")&amp;" thousand"))</f>
        <v>#VALUE!</v>
      </c>
    </row>
    <row r="24" spans="1:6">
      <c r="B24" s="277" t="s">
        <v>703</v>
      </c>
    </row>
  </sheetData>
  <hyperlinks>
    <hyperlink ref="D1" location="Index!A1" display="Return to Index" xr:uid="{00000000-0004-0000-1D00-000000000000}"/>
  </hyperlinks>
  <pageMargins left="0.25" right="0.25" top="0.5" bottom="0.25" header="0.5" footer="0.5"/>
  <pageSetup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8.109375" style="277" customWidth="1"/>
    <col min="3" max="3" width="55" style="277" customWidth="1"/>
    <col min="4" max="4" width="20.109375" style="277" customWidth="1"/>
    <col min="5" max="16384" width="9.109375" style="277"/>
  </cols>
  <sheetData>
    <row r="1" spans="1:5" ht="27.75" customHeight="1">
      <c r="A1" s="989" t="s">
        <v>21</v>
      </c>
      <c r="C1" s="321" t="s">
        <v>51</v>
      </c>
    </row>
    <row r="2" spans="1:5" ht="27.75" customHeight="1">
      <c r="A2" s="990" t="str">
        <f>'Smmy Chts'!$A$2</f>
        <v>For the Year Ended August 31, 2022</v>
      </c>
    </row>
    <row r="3" spans="1:5" ht="27" customHeight="1">
      <c r="A3" s="990" t="str">
        <f>'Smmy Chts'!$A$3</f>
        <v>Source: FY 2022 Annual Financial Report</v>
      </c>
      <c r="C3" s="991" t="s">
        <v>493</v>
      </c>
    </row>
    <row r="4" spans="1:5" ht="12.9" customHeight="1">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'HSH Sum'!A9</f>
        <v>State of Texas</v>
      </c>
      <c r="D11" s="994">
        <f>'HSH Sum'!B15</f>
        <v>260301322</v>
      </c>
      <c r="E11" s="995">
        <f>ROUND(D11/$D$17,3)</f>
        <v>0.11700000000000001</v>
      </c>
    </row>
    <row r="12" spans="1:5" ht="12.9" customHeight="1">
      <c r="C12" s="993" t="str">
        <f>'HSH Sum'!A17</f>
        <v>Student &amp; Parent</v>
      </c>
      <c r="D12" s="994">
        <f>'HSH Sum'!B20</f>
        <v>71796372</v>
      </c>
      <c r="E12" s="995">
        <f t="shared" ref="E12:E15" si="0">ROUND(D12/$D$17,3)</f>
        <v>3.2000000000000001E-2</v>
      </c>
    </row>
    <row r="13" spans="1:5" ht="12.9" customHeight="1">
      <c r="C13" s="993" t="str">
        <f>'HSH Sum'!A22</f>
        <v>Federal Government</v>
      </c>
      <c r="D13" s="994">
        <f>'HSH Sum'!B23</f>
        <v>249224368</v>
      </c>
      <c r="E13" s="995">
        <f t="shared" si="0"/>
        <v>0.112</v>
      </c>
    </row>
    <row r="14" spans="1:5" ht="12.9" customHeight="1">
      <c r="C14" s="993" t="str">
        <f>'HSH Sum'!A31</f>
        <v>Institutional Resources</v>
      </c>
      <c r="D14" s="994">
        <f>'HSH Sum'!B38</f>
        <v>1087737586</v>
      </c>
      <c r="E14" s="995">
        <f t="shared" si="0"/>
        <v>0.48899999999999999</v>
      </c>
    </row>
    <row r="15" spans="1:5" ht="12.9" customHeight="1">
      <c r="C15" s="996" t="s">
        <v>497</v>
      </c>
      <c r="D15" s="994">
        <f>'HSH Sum'!B29+'HSH Sum'!B26</f>
        <v>553165784</v>
      </c>
      <c r="E15" s="995">
        <f t="shared" si="0"/>
        <v>0.249</v>
      </c>
    </row>
    <row r="16" spans="1:5" ht="12.9" customHeight="1">
      <c r="C16" s="991"/>
      <c r="D16" s="992"/>
    </row>
    <row r="17" spans="3:5" ht="12.9" customHeight="1">
      <c r="C17" s="997" t="s">
        <v>201</v>
      </c>
      <c r="D17" s="998">
        <f>SUM(D11:D16)</f>
        <v>2222225432</v>
      </c>
      <c r="E17" s="999">
        <f>SUM(E11:E15)</f>
        <v>0.999</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$2,222,225,432</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2.9" customHeight="1">
      <c r="C53" s="993" t="s">
        <v>101</v>
      </c>
      <c r="D53" s="994">
        <f>'HSH Sum'!B10</f>
        <v>240771921</v>
      </c>
      <c r="E53" s="995">
        <f>ROUND(D53/$D$68,3)</f>
        <v>0.108</v>
      </c>
    </row>
    <row r="54" spans="3:5" ht="12.9" customHeight="1">
      <c r="C54" s="993" t="s">
        <v>510</v>
      </c>
      <c r="D54" s="994">
        <f>'HSH Sum'!B11</f>
        <v>19529401</v>
      </c>
      <c r="E54" s="995">
        <f t="shared" ref="E54:E67" si="1">ROUND(D54/$D$68,3)</f>
        <v>8.9999999999999993E-3</v>
      </c>
    </row>
    <row r="55" spans="3:5" ht="12.9" customHeight="1">
      <c r="C55" s="1001"/>
      <c r="D55" s="994"/>
      <c r="E55" s="995"/>
    </row>
    <row r="56" spans="3:5" ht="12.9" customHeight="1">
      <c r="C56" s="1001" t="str">
        <f>'HSH Sum'!A13</f>
        <v>Higher Education Fund</v>
      </c>
      <c r="D56" s="994">
        <f>'HSH Sum'!B13</f>
        <v>0</v>
      </c>
      <c r="E56" s="995">
        <f t="shared" si="1"/>
        <v>0</v>
      </c>
    </row>
    <row r="57" spans="3:5" ht="12.9" customHeight="1">
      <c r="C57" s="1001" t="s">
        <v>511</v>
      </c>
      <c r="D57" s="994">
        <f>'HSH Sum'!B14</f>
        <v>0</v>
      </c>
      <c r="E57" s="995">
        <f t="shared" si="1"/>
        <v>0</v>
      </c>
    </row>
    <row r="58" spans="3:5" ht="12.9" customHeight="1">
      <c r="C58" s="993" t="s">
        <v>460</v>
      </c>
      <c r="D58" s="994">
        <f>'HSH Sum'!B20</f>
        <v>71796372</v>
      </c>
      <c r="E58" s="995">
        <f t="shared" si="1"/>
        <v>3.2000000000000001E-2</v>
      </c>
    </row>
    <row r="59" spans="3:5" ht="12.9" customHeight="1">
      <c r="C59" s="993" t="s">
        <v>512</v>
      </c>
      <c r="D59" s="994">
        <f>'HSH Sum'!B23</f>
        <v>249224368</v>
      </c>
      <c r="E59" s="995">
        <f t="shared" si="1"/>
        <v>0.112</v>
      </c>
    </row>
    <row r="60" spans="3:5" ht="12.9" customHeight="1">
      <c r="C60" s="993" t="s">
        <v>513</v>
      </c>
      <c r="D60" s="994">
        <f>'HSH Sum'!B32</f>
        <v>84160089</v>
      </c>
      <c r="E60" s="995">
        <f t="shared" si="1"/>
        <v>3.7999999999999999E-2</v>
      </c>
    </row>
    <row r="61" spans="3:5" ht="12.9" customHeight="1">
      <c r="C61" s="993" t="s">
        <v>514</v>
      </c>
      <c r="D61" s="994">
        <f>'HSH Sum'!B33</f>
        <v>633507207</v>
      </c>
      <c r="E61" s="995">
        <f t="shared" si="1"/>
        <v>0.28499999999999998</v>
      </c>
    </row>
    <row r="62" spans="3:5" ht="12.9" customHeight="1">
      <c r="C62" s="993" t="s">
        <v>515</v>
      </c>
      <c r="D62" s="994">
        <f>'HSH Sum'!B34</f>
        <v>198827297</v>
      </c>
      <c r="E62" s="995">
        <f t="shared" si="1"/>
        <v>8.8999999999999996E-2</v>
      </c>
    </row>
    <row r="63" spans="3:5" ht="12.9" customHeight="1">
      <c r="C63" s="993" t="s">
        <v>516</v>
      </c>
      <c r="D63" s="994">
        <f>'HSH Sum'!B35</f>
        <v>41075039</v>
      </c>
      <c r="E63" s="995">
        <f t="shared" si="1"/>
        <v>1.7999999999999999E-2</v>
      </c>
    </row>
    <row r="64" spans="3:5" ht="12.9" customHeight="1">
      <c r="C64" s="993" t="s">
        <v>176</v>
      </c>
      <c r="D64" s="994">
        <f>'HSH Sum'!B36</f>
        <v>20906789</v>
      </c>
      <c r="E64" s="995">
        <f t="shared" si="1"/>
        <v>8.9999999999999993E-3</v>
      </c>
    </row>
    <row r="65" spans="3:5" ht="12.9" customHeight="1">
      <c r="C65" s="993" t="s">
        <v>517</v>
      </c>
      <c r="D65" s="994">
        <f>'HSH Sum'!B37</f>
        <v>109261165</v>
      </c>
      <c r="E65" s="995">
        <f t="shared" si="1"/>
        <v>4.9000000000000002E-2</v>
      </c>
    </row>
    <row r="66" spans="3:5" ht="12.9" customHeight="1">
      <c r="C66" s="993" t="s">
        <v>163</v>
      </c>
      <c r="D66" s="994">
        <f>'HSH Sum'!B26</f>
        <v>456328123</v>
      </c>
      <c r="E66" s="995">
        <f t="shared" si="1"/>
        <v>0.20499999999999999</v>
      </c>
    </row>
    <row r="67" spans="3:5" ht="12.9" customHeight="1">
      <c r="C67" s="996" t="s">
        <v>497</v>
      </c>
      <c r="D67" s="994">
        <f>'HSH Sum'!B29</f>
        <v>96837661</v>
      </c>
      <c r="E67" s="995">
        <f t="shared" si="1"/>
        <v>4.3999999999999997E-2</v>
      </c>
    </row>
    <row r="68" spans="3:5" ht="12.9" customHeight="1">
      <c r="C68" s="997" t="s">
        <v>201</v>
      </c>
      <c r="D68" s="998">
        <f>SUM(D53:D67)</f>
        <v>2222225432</v>
      </c>
      <c r="E68" s="999">
        <f>SUM(E53:E67)</f>
        <v>0.998</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$2,222,225,432</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'HSH Sum'!B42</f>
        <v>920890016</v>
      </c>
      <c r="E102" s="995">
        <f>ROUND(D102/$D$115,3)</f>
        <v>0.45300000000000001</v>
      </c>
    </row>
    <row r="103" spans="1:5" ht="12.9" customHeight="1">
      <c r="C103" s="1004" t="s">
        <v>179</v>
      </c>
      <c r="D103" s="994">
        <f>'HSH Sum'!B43</f>
        <v>250602654</v>
      </c>
      <c r="E103" s="995">
        <f t="shared" ref="E103:E113" si="2">ROUND(D103/$D$115,3)</f>
        <v>0.123</v>
      </c>
    </row>
    <row r="104" spans="1:5" ht="12.9" customHeight="1">
      <c r="C104" s="1004" t="s">
        <v>180</v>
      </c>
      <c r="D104" s="994">
        <f>'HSH Sum'!B44</f>
        <v>60768819</v>
      </c>
      <c r="E104" s="995">
        <f t="shared" si="2"/>
        <v>0.03</v>
      </c>
    </row>
    <row r="105" spans="1:5" ht="12.9" customHeight="1">
      <c r="C105" s="1004" t="s">
        <v>181</v>
      </c>
      <c r="D105" s="994">
        <f>'HSH Sum'!B46</f>
        <v>67340859</v>
      </c>
      <c r="E105" s="995">
        <f t="shared" si="2"/>
        <v>3.3000000000000002E-2</v>
      </c>
    </row>
    <row r="106" spans="1:5" ht="12.9" customHeight="1">
      <c r="C106" s="1004" t="s">
        <v>182</v>
      </c>
      <c r="D106" s="994">
        <f>'HSH Sum'!B47</f>
        <v>13150270</v>
      </c>
      <c r="E106" s="995">
        <f t="shared" si="2"/>
        <v>6.0000000000000001E-3</v>
      </c>
    </row>
    <row r="107" spans="1:5" ht="12.9" customHeight="1">
      <c r="C107" s="1004" t="s">
        <v>183</v>
      </c>
      <c r="D107" s="994">
        <f>'HSH Sum'!B48</f>
        <v>88846019</v>
      </c>
      <c r="E107" s="995">
        <f t="shared" si="2"/>
        <v>4.3999999999999997E-2</v>
      </c>
    </row>
    <row r="108" spans="1:5" ht="12.9" customHeight="1">
      <c r="C108" s="1004" t="s">
        <v>519</v>
      </c>
      <c r="D108" s="994">
        <f>'HSH Sum'!B49</f>
        <v>40189096</v>
      </c>
      <c r="E108" s="995">
        <f t="shared" si="2"/>
        <v>0.02</v>
      </c>
    </row>
    <row r="109" spans="1:5" ht="12.9" customHeight="1">
      <c r="C109" s="1004" t="s">
        <v>520</v>
      </c>
      <c r="D109" s="994">
        <f>'HSH Sum'!B50</f>
        <v>13458109</v>
      </c>
      <c r="E109" s="995">
        <f t="shared" si="2"/>
        <v>7.0000000000000001E-3</v>
      </c>
    </row>
    <row r="110" spans="1:5" ht="12.9" customHeight="1">
      <c r="C110" s="1004" t="s">
        <v>186</v>
      </c>
      <c r="D110" s="994">
        <f>'HSH Sum'!B51</f>
        <v>15658968</v>
      </c>
      <c r="E110" s="995">
        <f t="shared" si="2"/>
        <v>8.0000000000000002E-3</v>
      </c>
    </row>
    <row r="111" spans="1:5" ht="12.9" customHeight="1">
      <c r="C111" s="1015" t="s">
        <v>521</v>
      </c>
      <c r="D111" s="994">
        <f>'HSH Sum'!B52</f>
        <v>17854491</v>
      </c>
      <c r="E111" s="995">
        <f t="shared" si="2"/>
        <v>8.9999999999999993E-3</v>
      </c>
    </row>
    <row r="112" spans="1:5" ht="12.9" customHeight="1">
      <c r="C112" s="993" t="s">
        <v>522</v>
      </c>
      <c r="D112" s="994">
        <f>'HSH Sum'!B53</f>
        <v>2481768</v>
      </c>
      <c r="E112" s="995">
        <f t="shared" si="2"/>
        <v>1E-3</v>
      </c>
    </row>
    <row r="113" spans="3:5" ht="12.9" customHeight="1">
      <c r="C113" s="996" t="s">
        <v>523</v>
      </c>
      <c r="D113" s="994">
        <f>'HSH Sum'!B45</f>
        <v>541373760</v>
      </c>
      <c r="E113" s="995">
        <f t="shared" si="2"/>
        <v>0.26600000000000001</v>
      </c>
    </row>
    <row r="114" spans="3:5" ht="12.9" customHeight="1">
      <c r="C114" s="991"/>
      <c r="D114" s="991"/>
      <c r="E114" s="999"/>
    </row>
    <row r="115" spans="3:5" ht="12.9" customHeight="1">
      <c r="C115" s="1005" t="s">
        <v>189</v>
      </c>
      <c r="D115" s="998">
        <f>SUM(D102:D114)</f>
        <v>2032614829</v>
      </c>
      <c r="E115" s="999">
        <f>SUM(E102:E113)</f>
        <v>1.0000000000000002</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$2,032,614,829</v>
      </c>
    </row>
    <row r="137" spans="1:1" ht="12.9" customHeight="1">
      <c r="A137" s="1136"/>
    </row>
    <row r="138" spans="1:1" ht="12.9" customHeight="1"/>
    <row r="139" spans="1:1" ht="12.9" customHeight="1">
      <c r="A139" s="1006" t="s">
        <v>524</v>
      </c>
    </row>
    <row r="140" spans="1:1" ht="12.9"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C101:D101"/>
    <mergeCell ref="A136:A137"/>
    <mergeCell ref="C9:D9"/>
    <mergeCell ref="A47:A48"/>
    <mergeCell ref="A92:A93"/>
    <mergeCell ref="C100:D100"/>
  </mergeCells>
  <hyperlinks>
    <hyperlink ref="C1" location="Index!A1" display="Return to Index" xr:uid="{00000000-0004-0000-1E00-000000000000}"/>
  </hyperlinks>
  <printOptions horizontalCentered="1"/>
  <pageMargins left="0.5" right="0.5" top="0.25" bottom="0.25" header="0.25" footer="0.25"/>
  <pageSetup scale="41"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transitionEntry="1">
    <tabColor indexed="13"/>
  </sheetPr>
  <dimension ref="A1:AD83"/>
  <sheetViews>
    <sheetView showGridLines="0" zoomScale="85" zoomScaleNormal="85"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2.6640625" style="277" customWidth="1"/>
    <col min="16" max="16384" width="9.109375" style="277"/>
  </cols>
  <sheetData>
    <row r="1" spans="1:15" ht="16.8" thickTop="1" thickBot="1">
      <c r="A1" s="899" t="str">
        <f>'HSH Chts'!$A$1</f>
        <v>The University of Texas Health Science Center at Houston</v>
      </c>
      <c r="B1" s="754"/>
      <c r="C1" s="754"/>
      <c r="D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1007">
        <f>VLOOKUP(A1,NamesLU,2,FALSE)</f>
        <v>11618</v>
      </c>
      <c r="J2" s="901"/>
      <c r="K2" s="901"/>
      <c r="L2" s="901"/>
      <c r="M2" s="901"/>
      <c r="O2" s="320"/>
    </row>
    <row r="3" spans="1:15" ht="15.75" customHeight="1">
      <c r="A3" s="900" t="str">
        <f>'Smmy Chts'!$A$3</f>
        <v>Source: FY 2022 Annual Financial Report</v>
      </c>
      <c r="B3" s="754"/>
      <c r="C3" s="754"/>
      <c r="O3" s="320"/>
    </row>
    <row r="4" spans="1:15" ht="13.5" customHeight="1">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909"/>
      <c r="C6" s="427">
        <f>VLOOKUP($G$2,FTSELU,10,FALSE)</f>
        <v>5267.72</v>
      </c>
      <c r="J6" s="910"/>
      <c r="O6" s="320"/>
    </row>
    <row r="7" spans="1:15">
      <c r="B7" s="909"/>
      <c r="C7" s="909"/>
      <c r="I7" s="446" t="s">
        <v>533</v>
      </c>
      <c r="J7" s="911"/>
      <c r="O7" s="320"/>
    </row>
    <row r="8" spans="1:15">
      <c r="A8" s="912" t="s">
        <v>151</v>
      </c>
      <c r="B8" s="912"/>
      <c r="C8" s="913"/>
      <c r="I8" s="914">
        <f>VLOOKUP($G$2,FTSELU,11,FALSE)</f>
        <v>1989.43</v>
      </c>
      <c r="J8" s="910"/>
      <c r="O8" s="320"/>
    </row>
    <row r="9" spans="1:15" ht="12.75" customHeight="1" thickBot="1">
      <c r="A9" s="279" t="s">
        <v>152</v>
      </c>
      <c r="B9" s="915"/>
      <c r="C9" s="915"/>
      <c r="J9" s="910"/>
      <c r="O9" s="320"/>
    </row>
    <row r="10" spans="1:15" ht="12.75" customHeight="1" thickTop="1">
      <c r="A10" s="277" t="s">
        <v>535</v>
      </c>
      <c r="B10" s="501">
        <f>'HSH FGD'!M10</f>
        <v>240771921</v>
      </c>
      <c r="C10" s="501">
        <f>ROUND(B10/$C$6,0)</f>
        <v>45707</v>
      </c>
      <c r="D10" s="492">
        <f>'HSH FGD'!F10</f>
        <v>0</v>
      </c>
      <c r="E10" s="492"/>
      <c r="F10" s="916">
        <f>B10-(SUM(D10:E10))</f>
        <v>240771921</v>
      </c>
      <c r="G10" s="917" t="s">
        <v>101</v>
      </c>
      <c r="H10" s="918"/>
      <c r="I10" s="919" t="s">
        <v>536</v>
      </c>
      <c r="J10" s="920">
        <f>ROUND(F10/$C$6,0)</f>
        <v>45707</v>
      </c>
      <c r="O10" s="320"/>
    </row>
    <row r="11" spans="1:15" ht="12.75" customHeight="1" thickBot="1">
      <c r="A11" s="277" t="s">
        <v>134</v>
      </c>
      <c r="B11" s="669">
        <f>'HSH FGD'!M11</f>
        <v>19529401</v>
      </c>
      <c r="C11" s="669">
        <f t="shared" ref="C11:C14" si="0">ROUND(B11/$C$6,0)</f>
        <v>3707</v>
      </c>
      <c r="D11" s="921">
        <f>'HSH FGD'!F11</f>
        <v>0</v>
      </c>
      <c r="E11" s="754"/>
      <c r="F11" s="922">
        <f t="shared" ref="F11:F14" si="1">B11-(SUM(D11:E11))</f>
        <v>19529401</v>
      </c>
      <c r="G11" s="923">
        <f>SUM(F10:F11)</f>
        <v>260301322</v>
      </c>
      <c r="H11" s="924"/>
      <c r="I11" s="925">
        <f>ROUND($G$11/$C$6,0)</f>
        <v>49414</v>
      </c>
      <c r="J11" s="926">
        <f t="shared" ref="J11:J14" si="2">ROUND(F11/$C$6,0)</f>
        <v>3707</v>
      </c>
      <c r="O11" s="320"/>
    </row>
    <row r="12" spans="1:15" ht="12.75" hidden="1" customHeight="1" thickTop="1" thickBot="1">
      <c r="A12" s="277" t="s">
        <v>537</v>
      </c>
      <c r="B12" s="669"/>
      <c r="C12" s="669"/>
      <c r="D12" s="921"/>
      <c r="E12" s="754"/>
      <c r="F12" s="927"/>
      <c r="J12" s="926"/>
      <c r="O12" s="928"/>
    </row>
    <row r="13" spans="1:15" ht="12.75" customHeight="1" thickTop="1">
      <c r="A13" s="277" t="s">
        <v>468</v>
      </c>
      <c r="B13" s="669">
        <f>'HSH FGD'!M13</f>
        <v>0</v>
      </c>
      <c r="C13" s="669">
        <f t="shared" si="0"/>
        <v>0</v>
      </c>
      <c r="D13" s="921">
        <f>'HSH FGD'!F13</f>
        <v>0</v>
      </c>
      <c r="E13" s="754"/>
      <c r="F13" s="929">
        <f t="shared" si="1"/>
        <v>0</v>
      </c>
      <c r="G13" s="930" t="s">
        <v>102</v>
      </c>
      <c r="H13" s="931"/>
      <c r="I13" s="417" t="s">
        <v>538</v>
      </c>
      <c r="J13" s="926">
        <f t="shared" si="2"/>
        <v>0</v>
      </c>
      <c r="O13" s="320"/>
    </row>
    <row r="14" spans="1:15" ht="12.75" customHeight="1" thickBot="1">
      <c r="A14" s="277" t="s">
        <v>135</v>
      </c>
      <c r="B14" s="669">
        <f>'HSH FGD'!M14</f>
        <v>0</v>
      </c>
      <c r="C14" s="669">
        <f t="shared" si="0"/>
        <v>0</v>
      </c>
      <c r="D14" s="921">
        <f>'HSH FGD'!F14</f>
        <v>0</v>
      </c>
      <c r="E14" s="754"/>
      <c r="F14" s="927">
        <f t="shared" si="1"/>
        <v>0</v>
      </c>
      <c r="G14" s="932">
        <f>SUM(F13:F14)</f>
        <v>0</v>
      </c>
      <c r="H14" s="933"/>
      <c r="I14" s="934">
        <f>ROUND($G$11/$I$8,0)</f>
        <v>130842</v>
      </c>
      <c r="J14" s="935">
        <f t="shared" si="2"/>
        <v>0</v>
      </c>
      <c r="O14" s="320"/>
    </row>
    <row r="15" spans="1:15" ht="12.75" customHeight="1" thickTop="1">
      <c r="A15" s="936" t="s">
        <v>155</v>
      </c>
      <c r="B15" s="937">
        <f>SUM(B10:B14)</f>
        <v>260301322</v>
      </c>
      <c r="C15" s="937">
        <f>SUM(C10:C14)</f>
        <v>49414</v>
      </c>
      <c r="D15" s="937">
        <f>SUM(D10:D14)</f>
        <v>0</v>
      </c>
      <c r="E15" s="937">
        <f>SUM(E10:E14)</f>
        <v>0</v>
      </c>
      <c r="F15" s="938">
        <f>SUM(F10:F14)</f>
        <v>260301322</v>
      </c>
      <c r="I15" s="345"/>
      <c r="J15" s="939">
        <f>SUM(J10:J14)</f>
        <v>49414</v>
      </c>
      <c r="O15" s="320"/>
    </row>
    <row r="16" spans="1:15">
      <c r="C16" s="277"/>
      <c r="J16" s="910"/>
      <c r="O16" s="320"/>
    </row>
    <row r="17" spans="1:15" ht="12.75" customHeight="1">
      <c r="A17" s="279" t="s">
        <v>161</v>
      </c>
      <c r="C17" s="277"/>
      <c r="J17" s="910"/>
      <c r="O17" s="320"/>
    </row>
    <row r="18" spans="1:15">
      <c r="A18" s="277" t="s">
        <v>165</v>
      </c>
      <c r="B18" s="501">
        <f>'HSH FGD'!M29</f>
        <v>57216648</v>
      </c>
      <c r="C18" s="501">
        <f t="shared" ref="C18:C19" si="3">ROUND(B18/$C$6,0)</f>
        <v>10862</v>
      </c>
      <c r="D18" s="492">
        <f>'HSH FGD'!$F$29</f>
        <v>0</v>
      </c>
      <c r="E18" s="492"/>
      <c r="F18" s="492">
        <f t="shared" ref="F18:F19" si="4">B18-(SUM(D18:E18))</f>
        <v>57216648</v>
      </c>
      <c r="J18" s="920">
        <f>ROUND(F18/$C$6,0)</f>
        <v>10862</v>
      </c>
      <c r="O18" s="320"/>
    </row>
    <row r="19" spans="1:15" ht="13.8" thickBot="1">
      <c r="A19" s="277" t="s">
        <v>166</v>
      </c>
      <c r="B19" s="669">
        <f>'HSH FGD'!M42</f>
        <v>14579724</v>
      </c>
      <c r="C19" s="669">
        <f t="shared" si="3"/>
        <v>2768</v>
      </c>
      <c r="D19" s="754">
        <f>'HSH FGD'!$F$42</f>
        <v>2431906</v>
      </c>
      <c r="E19" s="754"/>
      <c r="F19" s="754">
        <f t="shared" si="4"/>
        <v>12147818</v>
      </c>
      <c r="J19" s="926">
        <f>ROUND(F19/$C$6,0)</f>
        <v>2306</v>
      </c>
      <c r="O19" s="320"/>
    </row>
    <row r="20" spans="1:15" ht="14.4" thickTop="1" thickBot="1">
      <c r="A20" s="936" t="s">
        <v>167</v>
      </c>
      <c r="B20" s="937">
        <f>SUM(B18:B19)</f>
        <v>71796372</v>
      </c>
      <c r="C20" s="937">
        <f>SUM(C18:C19)</f>
        <v>13630</v>
      </c>
      <c r="D20" s="798">
        <f>SUM(D18:D19)</f>
        <v>2431906</v>
      </c>
      <c r="E20" s="940">
        <f>SUM(E18:E19)</f>
        <v>0</v>
      </c>
      <c r="F20" s="941">
        <f>SUM(F18:F19)</f>
        <v>69364466</v>
      </c>
      <c r="G20" s="942" t="s">
        <v>539</v>
      </c>
      <c r="H20" s="943"/>
      <c r="J20" s="944">
        <f>SUM(J18:J19)</f>
        <v>13168</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'HSH FGD'!M47</f>
        <v>249224368</v>
      </c>
      <c r="C23" s="937"/>
      <c r="D23" s="798">
        <f>'HSH FGD'!F47</f>
        <v>0</v>
      </c>
      <c r="E23" s="940"/>
      <c r="F23" s="941">
        <f>B23-(SUM(D23:E23))</f>
        <v>249224368</v>
      </c>
      <c r="G23" s="946" t="s">
        <v>540</v>
      </c>
      <c r="H23" s="943"/>
      <c r="J23" s="947">
        <f>ROUND(F23/$C$6,0)</f>
        <v>47312</v>
      </c>
      <c r="O23" s="320"/>
    </row>
    <row r="24" spans="1:15" ht="13.5" customHeight="1" thickTop="1">
      <c r="C24" s="277"/>
      <c r="J24" s="910"/>
      <c r="O24" s="320"/>
    </row>
    <row r="25" spans="1:15">
      <c r="A25" s="279" t="s">
        <v>163</v>
      </c>
      <c r="C25" s="277"/>
      <c r="D25" s="754"/>
      <c r="J25" s="910"/>
      <c r="O25" s="320"/>
    </row>
    <row r="26" spans="1:15">
      <c r="A26" s="936" t="s">
        <v>200</v>
      </c>
      <c r="B26" s="937">
        <f>'HSH FGD'!M50</f>
        <v>456328123</v>
      </c>
      <c r="C26" s="937"/>
      <c r="D26" s="937">
        <f>'HSH FGD'!F50</f>
        <v>0</v>
      </c>
      <c r="E26" s="937">
        <f>B26-D26</f>
        <v>456328123</v>
      </c>
      <c r="F26" s="937">
        <f t="shared" ref="F26" si="5">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'HSH FGD'!M53</f>
        <v>96837661</v>
      </c>
      <c r="C29" s="937"/>
      <c r="D29" s="937">
        <f>'HSH FGD'!F53</f>
        <v>0</v>
      </c>
      <c r="E29" s="937">
        <f>B29-D29</f>
        <v>96837661</v>
      </c>
      <c r="F29" s="937">
        <f t="shared" ref="F29" si="6">B29-(SUM(D29:E29))</f>
        <v>0</v>
      </c>
      <c r="J29" s="926"/>
      <c r="O29" s="320"/>
    </row>
    <row r="30" spans="1:15">
      <c r="C30" s="277"/>
      <c r="E30" s="754"/>
      <c r="F30" s="754"/>
      <c r="J30" s="926"/>
      <c r="O30" s="320"/>
    </row>
    <row r="31" spans="1:15">
      <c r="A31" s="279" t="s">
        <v>171</v>
      </c>
      <c r="C31" s="277"/>
      <c r="E31" s="754"/>
      <c r="F31" s="754"/>
      <c r="G31" s="400"/>
      <c r="H31" s="400"/>
      <c r="I31" s="400"/>
      <c r="J31" s="926"/>
      <c r="O31" s="320"/>
    </row>
    <row r="32" spans="1:15">
      <c r="A32" s="277" t="s">
        <v>172</v>
      </c>
      <c r="B32" s="501">
        <f>'HSH FGD'!M56</f>
        <v>84160089</v>
      </c>
      <c r="C32" s="501"/>
      <c r="D32" s="492">
        <f>'HSH FGD'!F56</f>
        <v>1553241</v>
      </c>
      <c r="E32" s="492"/>
      <c r="F32" s="492">
        <f t="shared" ref="F32:F37" si="7">B32-(SUM(D32:E32))</f>
        <v>82606848</v>
      </c>
      <c r="J32" s="920">
        <f>ROUND(F32/$C$6,0)</f>
        <v>15682</v>
      </c>
      <c r="O32" s="320"/>
    </row>
    <row r="33" spans="1:30">
      <c r="A33" s="277" t="s">
        <v>173</v>
      </c>
      <c r="B33" s="669">
        <f>'HSH FGD'!M57</f>
        <v>633507207</v>
      </c>
      <c r="C33" s="669"/>
      <c r="D33" s="921">
        <f>'HSH FGD'!F57</f>
        <v>0</v>
      </c>
      <c r="E33" s="754"/>
      <c r="F33" s="754">
        <f t="shared" si="7"/>
        <v>633507207</v>
      </c>
      <c r="J33" s="926">
        <f t="shared" ref="J33:J37" si="8">ROUND(F33/$C$6,0)</f>
        <v>120262</v>
      </c>
      <c r="O33" s="320"/>
    </row>
    <row r="34" spans="1:30" ht="13.8" thickBot="1">
      <c r="A34" s="277" t="s">
        <v>174</v>
      </c>
      <c r="B34" s="669">
        <f>'HSH FGD'!M58</f>
        <v>198827297</v>
      </c>
      <c r="C34" s="669"/>
      <c r="D34" s="921">
        <f>'HSH FGD'!F58</f>
        <v>0</v>
      </c>
      <c r="E34" s="754"/>
      <c r="F34" s="754">
        <f t="shared" si="7"/>
        <v>198827297</v>
      </c>
      <c r="J34" s="926">
        <f t="shared" si="8"/>
        <v>37744</v>
      </c>
      <c r="O34" s="320"/>
    </row>
    <row r="35" spans="1:30" ht="13.8" thickBot="1">
      <c r="A35" s="277" t="s">
        <v>175</v>
      </c>
      <c r="B35" s="669">
        <f>'HSH FGD'!M59</f>
        <v>41075039</v>
      </c>
      <c r="C35" s="669"/>
      <c r="D35" s="921">
        <f>'HSH FGD'!F59</f>
        <v>0</v>
      </c>
      <c r="E35" s="754"/>
      <c r="F35" s="754">
        <f t="shared" si="7"/>
        <v>41075039</v>
      </c>
      <c r="J35" s="926">
        <f t="shared" si="8"/>
        <v>7797</v>
      </c>
      <c r="K35" s="1157"/>
      <c r="L35" s="1140"/>
      <c r="M35" s="1140"/>
      <c r="N35" s="1140"/>
      <c r="O35" s="1141"/>
    </row>
    <row r="36" spans="1:30" ht="13.8" thickBot="1">
      <c r="A36" s="277" t="s">
        <v>471</v>
      </c>
      <c r="B36" s="669">
        <f>'HSH FGD'!M60</f>
        <v>20906789</v>
      </c>
      <c r="C36" s="669"/>
      <c r="D36" s="921">
        <f>'HSH FGD'!F60</f>
        <v>20906789</v>
      </c>
      <c r="E36" s="754"/>
      <c r="F36" s="754">
        <f t="shared" si="7"/>
        <v>0</v>
      </c>
      <c r="J36" s="926">
        <f t="shared" si="8"/>
        <v>0</v>
      </c>
      <c r="K36" s="1157" t="s">
        <v>268</v>
      </c>
      <c r="L36" s="1140"/>
      <c r="M36" s="1140"/>
      <c r="N36" s="1140"/>
      <c r="O36" s="1141"/>
    </row>
    <row r="37" spans="1:30" ht="13.5" customHeight="1" thickBot="1">
      <c r="A37" s="538" t="s">
        <v>177</v>
      </c>
      <c r="B37" s="669">
        <f>'HSH FGD'!M61</f>
        <v>109261165</v>
      </c>
      <c r="C37" s="669"/>
      <c r="D37" s="921">
        <f>'HSH FGD'!F61</f>
        <v>0</v>
      </c>
      <c r="E37" s="754"/>
      <c r="F37" s="754">
        <f t="shared" si="7"/>
        <v>109261165</v>
      </c>
      <c r="G37" s="400"/>
      <c r="H37" s="400"/>
      <c r="I37" s="400"/>
      <c r="J37" s="926">
        <f t="shared" si="8"/>
        <v>20742</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1087737586</v>
      </c>
      <c r="C38" s="937"/>
      <c r="D38" s="949">
        <f>SUM(D32:D37)</f>
        <v>22460030</v>
      </c>
      <c r="E38" s="949">
        <f>SUM(E32:E37)</f>
        <v>0</v>
      </c>
      <c r="F38" s="950">
        <f>SUM(F32:F37)</f>
        <v>1065277556</v>
      </c>
      <c r="G38" s="1154" t="s">
        <v>171</v>
      </c>
      <c r="H38" s="1155"/>
      <c r="I38" s="951" t="s">
        <v>542</v>
      </c>
      <c r="J38" s="952">
        <f>SUM(J32:J37)</f>
        <v>202227</v>
      </c>
      <c r="K38" s="1159"/>
      <c r="L38" s="1159"/>
      <c r="M38" s="1159"/>
      <c r="N38" s="1159" t="s">
        <v>543</v>
      </c>
      <c r="O38" s="1159" t="s">
        <v>280</v>
      </c>
    </row>
    <row r="39" spans="1:30" ht="13.8" thickTop="1">
      <c r="A39" s="953" t="s">
        <v>201</v>
      </c>
      <c r="B39" s="954">
        <f>B15+B20+B23+B26+B29+B38</f>
        <v>2222225432</v>
      </c>
      <c r="C39" s="955"/>
      <c r="D39" s="954">
        <f>D15+D20+D23+D26+D29+D38</f>
        <v>24891936</v>
      </c>
      <c r="E39" s="954">
        <f>E15+E20+E23+E26+E29+E38</f>
        <v>553165784</v>
      </c>
      <c r="F39" s="956">
        <f>F38+F23+F20+F15</f>
        <v>1644167712</v>
      </c>
      <c r="G39" s="1156" t="s">
        <v>271</v>
      </c>
      <c r="H39" s="1156"/>
      <c r="I39" s="957">
        <f>ROUND($G$41/$C$6,0)</f>
        <v>312121</v>
      </c>
      <c r="J39" s="958">
        <f>J15+J20+J23+J38</f>
        <v>312121</v>
      </c>
      <c r="K39" s="1159"/>
      <c r="L39" s="1159"/>
      <c r="M39" s="1159"/>
      <c r="N39" s="1159"/>
      <c r="O39" s="1159"/>
    </row>
    <row r="40" spans="1:30" ht="13.8" thickBot="1">
      <c r="C40" s="277"/>
      <c r="F40" s="320" t="s">
        <v>544</v>
      </c>
      <c r="G40" s="959">
        <f>G14*-1</f>
        <v>0</v>
      </c>
      <c r="I40" s="951" t="s">
        <v>545</v>
      </c>
      <c r="J40" s="960"/>
      <c r="K40" s="1160"/>
      <c r="L40" s="1160"/>
      <c r="M40" s="1160"/>
      <c r="N40" s="1160"/>
      <c r="O40" s="1160"/>
    </row>
    <row r="41" spans="1:30" ht="14.4" thickTop="1" thickBot="1">
      <c r="A41" s="912" t="s">
        <v>178</v>
      </c>
      <c r="B41" s="912"/>
      <c r="C41" s="912"/>
      <c r="D41" s="344"/>
      <c r="E41" s="344"/>
      <c r="F41" s="961" t="s">
        <v>546</v>
      </c>
      <c r="G41" s="962">
        <f>F39+G40</f>
        <v>1644167712</v>
      </c>
      <c r="I41" s="963">
        <f>ROUND($G$41/$I$8,0)</f>
        <v>826452</v>
      </c>
      <c r="K41" s="964"/>
      <c r="L41" s="964"/>
      <c r="M41" s="964"/>
      <c r="N41" s="964"/>
      <c r="O41" s="964"/>
    </row>
    <row r="42" spans="1:30" ht="13.8" thickTop="1">
      <c r="A42" s="490" t="s">
        <v>92</v>
      </c>
      <c r="B42" s="501">
        <f>'HSH FGD'!M65</f>
        <v>920890016</v>
      </c>
      <c r="C42" s="501">
        <f t="shared" ref="C42:C52" si="9">ROUND(B42/$C$6,0)</f>
        <v>174818</v>
      </c>
      <c r="D42" s="492">
        <f>'HSH FGD'!F65</f>
        <v>0</v>
      </c>
      <c r="E42" s="492"/>
      <c r="F42" s="492">
        <f t="shared" ref="F42" si="10">B42-(SUM(D42:E42))</f>
        <v>920890016</v>
      </c>
      <c r="H42" s="965" t="s">
        <v>547</v>
      </c>
      <c r="I42" s="966">
        <f>ROUND(F42/$C$6,0)</f>
        <v>174818</v>
      </c>
      <c r="J42" s="320" t="s">
        <v>548</v>
      </c>
      <c r="K42" s="492">
        <f>F42</f>
        <v>920890016</v>
      </c>
      <c r="L42" s="492">
        <f>K42</f>
        <v>920890016</v>
      </c>
      <c r="M42" s="492"/>
      <c r="N42" s="492"/>
      <c r="O42" s="492"/>
    </row>
    <row r="43" spans="1:30">
      <c r="A43" s="490" t="s">
        <v>179</v>
      </c>
      <c r="B43" s="669">
        <f>'HSH FGD'!M66</f>
        <v>250602654</v>
      </c>
      <c r="C43" s="669">
        <f t="shared" si="9"/>
        <v>47573</v>
      </c>
      <c r="D43" s="723">
        <f>'HSH FGD'!F66</f>
        <v>0</v>
      </c>
      <c r="E43" s="754"/>
      <c r="F43" s="754">
        <f t="shared" ref="F43:F44" si="11">B43-(SUM(D43:E43))</f>
        <v>250602654</v>
      </c>
      <c r="J43" s="320" t="s">
        <v>549</v>
      </c>
      <c r="K43" s="723">
        <f>F43</f>
        <v>250602654</v>
      </c>
      <c r="L43" s="723">
        <f>K43</f>
        <v>250602654</v>
      </c>
      <c r="M43" s="723"/>
      <c r="N43" s="723"/>
      <c r="O43" s="723"/>
    </row>
    <row r="44" spans="1:30">
      <c r="A44" s="490" t="s">
        <v>180</v>
      </c>
      <c r="B44" s="669">
        <f>'HSH FGD'!M67</f>
        <v>60768819</v>
      </c>
      <c r="C44" s="669"/>
      <c r="D44" s="723">
        <f>'HSH FGD'!F67</f>
        <v>0</v>
      </c>
      <c r="E44" s="921">
        <f>B44-D44</f>
        <v>60768819</v>
      </c>
      <c r="F44" s="754">
        <f t="shared" si="11"/>
        <v>0</v>
      </c>
      <c r="J44" s="320" t="s">
        <v>550</v>
      </c>
      <c r="K44" s="967"/>
      <c r="L44" s="769"/>
      <c r="M44" s="769" t="s">
        <v>551</v>
      </c>
      <c r="N44" s="769"/>
      <c r="O44" s="968"/>
    </row>
    <row r="45" spans="1:30">
      <c r="A45" s="300" t="s">
        <v>164</v>
      </c>
      <c r="B45" s="669">
        <f>'HSH FGD'!M68</f>
        <v>541373760</v>
      </c>
      <c r="C45" s="669"/>
      <c r="D45" s="723">
        <f>'HSH FGD'!F68</f>
        <v>0</v>
      </c>
      <c r="E45" s="921">
        <f>B45-D45</f>
        <v>541373760</v>
      </c>
      <c r="F45" s="754">
        <f t="shared" ref="F45" si="12">B45-(SUM(D45:E45))</f>
        <v>0</v>
      </c>
      <c r="G45" s="492"/>
      <c r="J45" s="320" t="s">
        <v>552</v>
      </c>
      <c r="K45" s="1161" t="s">
        <v>551</v>
      </c>
      <c r="L45" s="1162"/>
      <c r="M45" s="1162"/>
      <c r="N45" s="1162"/>
      <c r="O45" s="1163"/>
    </row>
    <row r="46" spans="1:30">
      <c r="A46" s="490" t="s">
        <v>181</v>
      </c>
      <c r="B46" s="669">
        <f>'HSH FGD'!M69</f>
        <v>67340859</v>
      </c>
      <c r="C46" s="669">
        <f t="shared" si="9"/>
        <v>12784</v>
      </c>
      <c r="D46" s="723">
        <f>'HSH FGD'!F69</f>
        <v>0</v>
      </c>
      <c r="E46" s="754"/>
      <c r="F46" s="754">
        <f t="shared" ref="F46:F53" si="13">B46-(SUM(D46:E46))</f>
        <v>67340859</v>
      </c>
      <c r="H46" s="965" t="s">
        <v>553</v>
      </c>
      <c r="I46" s="966">
        <f>ROUND(F46/$C$6,0)</f>
        <v>12784</v>
      </c>
      <c r="J46" s="320" t="s">
        <v>554</v>
      </c>
      <c r="K46" s="723">
        <f t="shared" ref="K46:K50" si="14">F46</f>
        <v>67340859</v>
      </c>
      <c r="L46" s="723">
        <f>K46</f>
        <v>67340859</v>
      </c>
      <c r="M46" s="723"/>
      <c r="N46" s="723"/>
      <c r="O46" s="723"/>
    </row>
    <row r="47" spans="1:30">
      <c r="A47" s="490" t="s">
        <v>182</v>
      </c>
      <c r="B47" s="669">
        <f>'HSH FGD'!M70</f>
        <v>13150270</v>
      </c>
      <c r="C47" s="669">
        <f t="shared" si="9"/>
        <v>2496</v>
      </c>
      <c r="D47" s="723">
        <f>'HSH FGD'!F70</f>
        <v>0</v>
      </c>
      <c r="E47" s="754"/>
      <c r="F47" s="754">
        <f t="shared" si="13"/>
        <v>13150270</v>
      </c>
      <c r="J47" s="320" t="s">
        <v>555</v>
      </c>
      <c r="K47" s="723">
        <f t="shared" si="14"/>
        <v>13150270</v>
      </c>
      <c r="L47" s="723"/>
      <c r="M47" s="723">
        <f>K47</f>
        <v>13150270</v>
      </c>
      <c r="N47" s="723"/>
      <c r="O47" s="723"/>
    </row>
    <row r="48" spans="1:30">
      <c r="A48" s="490" t="s">
        <v>183</v>
      </c>
      <c r="B48" s="669">
        <f>'HSH FGD'!M71</f>
        <v>88846019</v>
      </c>
      <c r="C48" s="669">
        <f t="shared" si="9"/>
        <v>16866</v>
      </c>
      <c r="D48" s="723">
        <f>'HSH FGD'!F71</f>
        <v>0</v>
      </c>
      <c r="E48" s="754"/>
      <c r="F48" s="754">
        <f t="shared" si="13"/>
        <v>88846019</v>
      </c>
      <c r="H48" s="965" t="s">
        <v>556</v>
      </c>
      <c r="I48" s="966">
        <f>ROUND(F48/$C$6,0)</f>
        <v>16866</v>
      </c>
      <c r="J48" s="320" t="s">
        <v>557</v>
      </c>
      <c r="K48" s="723">
        <f t="shared" si="14"/>
        <v>88846019</v>
      </c>
      <c r="L48" s="723"/>
      <c r="M48" s="723"/>
      <c r="N48" s="723">
        <f>K48</f>
        <v>88846019</v>
      </c>
      <c r="O48" s="723"/>
    </row>
    <row r="49" spans="1:30">
      <c r="A49" s="490" t="s">
        <v>184</v>
      </c>
      <c r="B49" s="669">
        <f>'HSH FGD'!M72</f>
        <v>40189096</v>
      </c>
      <c r="C49" s="669"/>
      <c r="D49" s="723">
        <f>'HSH FGD'!F72</f>
        <v>0</v>
      </c>
      <c r="E49" s="754"/>
      <c r="F49" s="754">
        <f t="shared" si="13"/>
        <v>40189096</v>
      </c>
      <c r="J49" s="320" t="s">
        <v>558</v>
      </c>
      <c r="K49" s="723">
        <f t="shared" si="14"/>
        <v>40189096</v>
      </c>
      <c r="L49" s="723"/>
      <c r="M49" s="723"/>
      <c r="N49" s="723">
        <f>K49</f>
        <v>40189096</v>
      </c>
      <c r="O49" s="723"/>
    </row>
    <row r="50" spans="1:30">
      <c r="A50" s="490" t="s">
        <v>185</v>
      </c>
      <c r="B50" s="669">
        <f>'HSH FGD'!M73</f>
        <v>13458109</v>
      </c>
      <c r="C50" s="669">
        <f t="shared" si="9"/>
        <v>2555</v>
      </c>
      <c r="D50" s="723">
        <f>'HSH FGD'!F73</f>
        <v>0</v>
      </c>
      <c r="E50" s="754"/>
      <c r="F50" s="754">
        <f t="shared" si="13"/>
        <v>13458109</v>
      </c>
      <c r="J50" s="320" t="s">
        <v>559</v>
      </c>
      <c r="K50" s="723">
        <f t="shared" si="14"/>
        <v>13458109</v>
      </c>
      <c r="L50" s="723"/>
      <c r="M50" s="723">
        <f>K50</f>
        <v>13458109</v>
      </c>
      <c r="N50" s="723"/>
      <c r="O50" s="723"/>
    </row>
    <row r="51" spans="1:30">
      <c r="A51" s="490" t="s">
        <v>472</v>
      </c>
      <c r="B51" s="669">
        <f>'HSH FGD'!M74</f>
        <v>15658968</v>
      </c>
      <c r="C51" s="669"/>
      <c r="D51" s="969">
        <f>B51</f>
        <v>15658968</v>
      </c>
      <c r="E51" s="754"/>
      <c r="F51" s="754">
        <f t="shared" si="13"/>
        <v>0</v>
      </c>
      <c r="J51" s="320" t="s">
        <v>560</v>
      </c>
      <c r="K51" s="967"/>
      <c r="L51" s="769"/>
      <c r="M51" s="769" t="s">
        <v>551</v>
      </c>
      <c r="N51" s="769"/>
      <c r="O51" s="968"/>
    </row>
    <row r="52" spans="1:30">
      <c r="A52" s="490" t="s">
        <v>187</v>
      </c>
      <c r="B52" s="669">
        <f>'HSH FGD'!M75</f>
        <v>17854491</v>
      </c>
      <c r="C52" s="669">
        <f t="shared" si="9"/>
        <v>3389</v>
      </c>
      <c r="D52" s="723">
        <f>'HSH FGD'!F75</f>
        <v>342364</v>
      </c>
      <c r="E52" s="754"/>
      <c r="F52" s="754">
        <f t="shared" si="13"/>
        <v>17512127</v>
      </c>
      <c r="J52" s="320" t="s">
        <v>561</v>
      </c>
      <c r="K52" s="723">
        <f t="shared" ref="K52:K53" si="15">F52</f>
        <v>17512127</v>
      </c>
      <c r="L52" s="723"/>
      <c r="M52" s="723"/>
      <c r="N52" s="723"/>
      <c r="O52" s="723">
        <f>K52</f>
        <v>17512127</v>
      </c>
    </row>
    <row r="53" spans="1:30" ht="13.8" thickBot="1">
      <c r="A53" s="277" t="s">
        <v>1713</v>
      </c>
      <c r="B53" s="669">
        <f>'HSH FGD'!M76</f>
        <v>2481768</v>
      </c>
      <c r="C53" s="669"/>
      <c r="D53" s="723">
        <f>'HSH FGD'!F76</f>
        <v>380233</v>
      </c>
      <c r="E53" s="754"/>
      <c r="F53" s="754">
        <f t="shared" si="13"/>
        <v>2101535</v>
      </c>
      <c r="G53" s="400"/>
      <c r="H53" s="965" t="s">
        <v>562</v>
      </c>
      <c r="I53" s="966">
        <f>ROUND(SUM(F43+F47+F49+F50+F52+F53)/$C$6,0)</f>
        <v>63977</v>
      </c>
      <c r="J53" s="400" t="s">
        <v>280</v>
      </c>
      <c r="K53" s="723">
        <f t="shared" si="15"/>
        <v>2101535</v>
      </c>
      <c r="L53" s="970"/>
      <c r="M53" s="970"/>
      <c r="N53" s="970"/>
      <c r="O53" s="723">
        <f>K53</f>
        <v>2101535</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2032614829</v>
      </c>
      <c r="C54" s="972">
        <f>SUM(C42:C53)</f>
        <v>260481</v>
      </c>
      <c r="D54" s="972">
        <f>SUM(D42:D53)</f>
        <v>16381565</v>
      </c>
      <c r="E54" s="973">
        <f>SUM(E43:E53)</f>
        <v>602142579</v>
      </c>
      <c r="F54" s="974">
        <f>SUM(F42:F53)</f>
        <v>1414090685</v>
      </c>
      <c r="G54" s="1174" t="s">
        <v>563</v>
      </c>
      <c r="H54" s="1175"/>
      <c r="I54" s="975" t="s">
        <v>623</v>
      </c>
      <c r="J54" s="400" t="s">
        <v>564</v>
      </c>
      <c r="K54" s="976">
        <f>SUM(K42:K53)</f>
        <v>1414090685</v>
      </c>
      <c r="L54" s="976">
        <f t="shared" ref="L54:O54" si="16">SUM(L42:L53)</f>
        <v>1238833529</v>
      </c>
      <c r="M54" s="976">
        <f t="shared" si="16"/>
        <v>26608379</v>
      </c>
      <c r="N54" s="976">
        <f t="shared" si="16"/>
        <v>129035115</v>
      </c>
      <c r="O54" s="976">
        <f t="shared" si="16"/>
        <v>19613662</v>
      </c>
    </row>
    <row r="55" spans="1:30" ht="14.25" customHeight="1" thickTop="1" thickBot="1">
      <c r="C55" s="277"/>
      <c r="F55" s="931"/>
      <c r="G55" s="1176"/>
      <c r="H55" s="1177"/>
      <c r="I55" s="977">
        <f>ROUND(F54/C6,0)</f>
        <v>268445</v>
      </c>
      <c r="J55" s="1153" t="s">
        <v>565</v>
      </c>
      <c r="K55" s="970"/>
      <c r="L55" s="970"/>
      <c r="M55" s="970"/>
      <c r="N55" s="970"/>
      <c r="O55" s="970"/>
    </row>
    <row r="56" spans="1:30" ht="16.5" customHeight="1" thickBot="1">
      <c r="A56" s="279" t="s">
        <v>473</v>
      </c>
      <c r="C56" s="277"/>
      <c r="F56" s="978"/>
      <c r="G56" s="1178"/>
      <c r="H56" s="1179"/>
      <c r="I56" s="951" t="s">
        <v>624</v>
      </c>
      <c r="J56" s="1153"/>
      <c r="K56" s="979">
        <f>ROUND(K54/$C$6,2)</f>
        <v>268444.53999999998</v>
      </c>
      <c r="L56" s="979">
        <f t="shared" ref="L56:O56" si="17">ROUND(L54/$C$6,2)</f>
        <v>235174.52</v>
      </c>
      <c r="M56" s="979">
        <f t="shared" si="17"/>
        <v>5051.21</v>
      </c>
      <c r="N56" s="979">
        <f t="shared" si="17"/>
        <v>24495.439999999999</v>
      </c>
      <c r="O56" s="979">
        <f t="shared" si="17"/>
        <v>3723.37</v>
      </c>
      <c r="P56" s="333"/>
      <c r="Q56" s="333"/>
      <c r="R56" s="333"/>
      <c r="S56" s="333"/>
      <c r="T56" s="333"/>
      <c r="U56" s="333"/>
      <c r="V56" s="333"/>
      <c r="W56" s="333"/>
      <c r="X56" s="333"/>
      <c r="Y56" s="333"/>
      <c r="Z56" s="333"/>
      <c r="AA56" s="333"/>
      <c r="AB56" s="333"/>
      <c r="AC56" s="333"/>
      <c r="AD56" s="333"/>
    </row>
    <row r="57" spans="1:30" ht="13.8" thickTop="1">
      <c r="A57" s="277" t="s">
        <v>474</v>
      </c>
      <c r="B57" s="669">
        <f>'HSH FGD'!M80</f>
        <v>-34540001</v>
      </c>
      <c r="C57" s="669"/>
      <c r="D57" s="492">
        <f>'HSH FGD'!F80</f>
        <v>0</v>
      </c>
      <c r="E57" s="492"/>
      <c r="F57" s="980">
        <f t="shared" ref="F57:F60" si="18">B57-(SUM(D57:E57))</f>
        <v>-34540001</v>
      </c>
      <c r="G57" s="930"/>
      <c r="I57" s="981">
        <f>ROUND($F$54/$I$8,0)</f>
        <v>710802</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'HSH FGD'!M81</f>
        <v>3003378</v>
      </c>
      <c r="C58" s="669"/>
      <c r="D58" s="982">
        <f>'HSH FGD'!F81</f>
        <v>7400913</v>
      </c>
      <c r="E58" s="915"/>
      <c r="F58" s="754">
        <f t="shared" si="18"/>
        <v>-4397535</v>
      </c>
      <c r="K58" s="980"/>
      <c r="L58" s="980"/>
      <c r="M58" s="980"/>
      <c r="N58" s="980"/>
      <c r="O58" s="980"/>
    </row>
    <row r="59" spans="1:30">
      <c r="A59" s="983" t="s">
        <v>567</v>
      </c>
      <c r="B59" s="669">
        <f>'HSH FGD'!M82</f>
        <v>8991780</v>
      </c>
      <c r="C59" s="669"/>
      <c r="D59" s="982">
        <f>'HSH FGD'!F82</f>
        <v>0</v>
      </c>
      <c r="E59" s="915"/>
      <c r="F59" s="754">
        <f t="shared" si="18"/>
        <v>8991780</v>
      </c>
      <c r="G59" s="400"/>
      <c r="J59" s="400"/>
      <c r="K59" s="400"/>
      <c r="L59" s="400"/>
      <c r="M59" s="400"/>
      <c r="N59" s="400"/>
      <c r="O59" s="400"/>
    </row>
    <row r="60" spans="1:30" ht="12" customHeight="1">
      <c r="A60" s="277" t="s">
        <v>477</v>
      </c>
      <c r="B60" s="669">
        <f>'HSH FGD'!M83</f>
        <v>-35119054</v>
      </c>
      <c r="C60" s="669"/>
      <c r="D60" s="982">
        <f>'HSH FGD'!F83</f>
        <v>-4955223</v>
      </c>
      <c r="E60" s="915"/>
      <c r="F60" s="754">
        <f t="shared" si="18"/>
        <v>-30163831</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-57663897</v>
      </c>
      <c r="C61" s="937"/>
      <c r="D61" s="937">
        <f>SUM(D57:D60)</f>
        <v>2445690</v>
      </c>
      <c r="E61" s="937">
        <f>SUM(E57:E60)</f>
        <v>0</v>
      </c>
      <c r="F61" s="984">
        <f>SUM(F57:F60)</f>
        <v>-60109587</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'HSH FGD'!M87</f>
        <v>-200094723</v>
      </c>
      <c r="C64" s="669"/>
      <c r="D64" s="492">
        <f>'HSH FGD'!F87</f>
        <v>0</v>
      </c>
      <c r="E64" s="492"/>
      <c r="F64" s="492">
        <f t="shared" ref="F64:F65" si="19">B64-(SUM(D64:E64))</f>
        <v>-200094723</v>
      </c>
      <c r="O64" s="320"/>
    </row>
    <row r="65" spans="1:30">
      <c r="A65" s="277" t="s">
        <v>480</v>
      </c>
      <c r="B65" s="669">
        <f>'HSH FGD'!M88</f>
        <v>46142799</v>
      </c>
      <c r="C65" s="669"/>
      <c r="D65" s="982">
        <f>'HSH FGD'!F88</f>
        <v>0</v>
      </c>
      <c r="E65" s="915"/>
      <c r="F65" s="754">
        <f t="shared" si="19"/>
        <v>46142799</v>
      </c>
      <c r="O65" s="320"/>
      <c r="P65" s="333"/>
      <c r="Q65" s="333"/>
      <c r="R65" s="333"/>
      <c r="S65" s="333"/>
      <c r="T65" s="333"/>
      <c r="U65" s="333"/>
      <c r="V65" s="333"/>
      <c r="W65" s="333"/>
      <c r="X65" s="333"/>
      <c r="Y65" s="333"/>
      <c r="Z65" s="333"/>
      <c r="AA65" s="333"/>
      <c r="AB65" s="333"/>
      <c r="AC65" s="333"/>
      <c r="AD65" s="333"/>
    </row>
    <row r="66" spans="1:30">
      <c r="A66" s="936" t="s">
        <v>155</v>
      </c>
      <c r="B66" s="937">
        <f>SUM(B64:B65)</f>
        <v>-153951924</v>
      </c>
      <c r="C66" s="937"/>
      <c r="D66" s="937">
        <f>SUM(D64:D65)</f>
        <v>0</v>
      </c>
      <c r="E66" s="937">
        <f>SUM(E64:E65)</f>
        <v>0</v>
      </c>
      <c r="F66" s="937">
        <f>SUM(F64:F65)</f>
        <v>-153951924</v>
      </c>
      <c r="O66" s="320"/>
    </row>
    <row r="67" spans="1:30">
      <c r="C67" s="277"/>
      <c r="O67" s="320"/>
    </row>
    <row r="68" spans="1:30" ht="13.8" thickBot="1">
      <c r="A68" s="985" t="s">
        <v>572</v>
      </c>
      <c r="B68" s="590">
        <f>B39-B54+B61+B66</f>
        <v>-22005218</v>
      </c>
      <c r="C68" s="590"/>
      <c r="D68" s="590">
        <f>D39-D54+D61+D66</f>
        <v>10956061</v>
      </c>
      <c r="E68" s="590">
        <f>E39-E54+E61+E66</f>
        <v>-48976795</v>
      </c>
      <c r="F68" s="590">
        <f>F39-F54+F61+F66</f>
        <v>16015516</v>
      </c>
      <c r="O68" s="320"/>
    </row>
    <row r="69" spans="1:30" ht="13.8" thickTop="1"/>
    <row r="70" spans="1:30">
      <c r="A70" s="320" t="s">
        <v>573</v>
      </c>
      <c r="D70" s="492"/>
    </row>
    <row r="71" spans="1:30">
      <c r="A71" s="277" t="s">
        <v>7</v>
      </c>
    </row>
    <row r="72" spans="1:30">
      <c r="B72" s="986">
        <f>'HSH FGD'!$M$91</f>
        <v>-22005218</v>
      </c>
      <c r="C72" s="277"/>
      <c r="D72" s="986">
        <f>'HSH FGD'!F91</f>
        <v>10956061</v>
      </c>
      <c r="E72" s="986">
        <f>'HSH FGD'!M50</f>
        <v>456328123</v>
      </c>
      <c r="F72" s="277"/>
    </row>
    <row r="73" spans="1:30">
      <c r="B73" s="986"/>
      <c r="C73" s="277"/>
      <c r="D73" s="986">
        <f>'HSH FGD'!F74</f>
        <v>15658968</v>
      </c>
      <c r="E73" s="986">
        <f>'HSH FGD'!M53</f>
        <v>96837661</v>
      </c>
      <c r="F73" s="986"/>
    </row>
    <row r="74" spans="1:30">
      <c r="B74" s="986"/>
      <c r="C74" s="277"/>
      <c r="D74" s="986">
        <f>-'HSH FGD'!M74</f>
        <v>-15658968</v>
      </c>
      <c r="E74" s="986">
        <f>-'HSH FGD'!M68</f>
        <v>-541373760</v>
      </c>
      <c r="F74" s="986"/>
    </row>
    <row r="75" spans="1:30">
      <c r="B75" s="986"/>
      <c r="C75" s="277"/>
      <c r="D75" s="986"/>
      <c r="E75" s="986">
        <f>-'HSH FGD'!M67</f>
        <v>-60768819</v>
      </c>
      <c r="F75" s="986"/>
    </row>
    <row r="76" spans="1:30" ht="12.75" customHeight="1">
      <c r="B76" s="987"/>
      <c r="C76" s="277"/>
      <c r="D76" s="987"/>
      <c r="E76" s="987">
        <f>-D26</f>
        <v>0</v>
      </c>
      <c r="F76" s="986"/>
    </row>
    <row r="77" spans="1:30" ht="12.75" customHeight="1">
      <c r="B77" s="986">
        <f>SUM(B72:B76)</f>
        <v>-22005218</v>
      </c>
      <c r="C77" s="277"/>
      <c r="D77" s="986">
        <f>SUM(D72:D76)</f>
        <v>10956061</v>
      </c>
      <c r="E77" s="986">
        <f>SUM(E72:E76)</f>
        <v>-48976795</v>
      </c>
      <c r="F77" s="986">
        <f>B77-D77-E77</f>
        <v>16015516</v>
      </c>
    </row>
    <row r="78" spans="1:30" ht="12.75" customHeight="1">
      <c r="B78" s="986"/>
      <c r="C78" s="277"/>
      <c r="D78" s="986"/>
      <c r="E78" s="986"/>
      <c r="F78" s="986"/>
    </row>
    <row r="79" spans="1:30" ht="12.75" customHeight="1">
      <c r="B79" s="987"/>
      <c r="C79" s="538"/>
      <c r="D79" s="987"/>
      <c r="E79" s="987"/>
      <c r="F79" s="987"/>
    </row>
    <row r="80" spans="1:30" ht="12.75" customHeight="1">
      <c r="B80" s="986">
        <f>SUM(B77:B79)</f>
        <v>-22005218</v>
      </c>
      <c r="C80" s="277"/>
      <c r="D80" s="986">
        <f>SUM(D77:D79)</f>
        <v>10956061</v>
      </c>
      <c r="E80" s="986">
        <f>SUM(E77:E79)</f>
        <v>-48976795</v>
      </c>
      <c r="F80" s="986">
        <f>SUM(F77:F79)</f>
        <v>16015516</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1F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11"/>
    <pageSetUpPr fitToPage="1"/>
  </sheetPr>
  <dimension ref="A1:AB123"/>
  <sheetViews>
    <sheetView showGridLines="0" zoomScale="75" zoomScaleNormal="75" workbookViewId="0">
      <pane xSplit="2" ySplit="8" topLeftCell="D9"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6.332031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5.5546875" style="751" customWidth="1"/>
    <col min="13" max="13" width="17.6640625" style="751" customWidth="1"/>
    <col min="14" max="14" width="5.109375" style="751" customWidth="1"/>
    <col min="15" max="15" width="16.10937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N1" s="656">
        <v>12</v>
      </c>
      <c r="O1" s="322"/>
      <c r="P1" s="322"/>
      <c r="Q1" s="322"/>
      <c r="R1" s="322"/>
      <c r="S1" s="322"/>
      <c r="T1" s="322"/>
      <c r="U1" s="322"/>
      <c r="V1" s="322"/>
      <c r="W1" s="322"/>
      <c r="X1" s="322"/>
      <c r="Y1" s="322"/>
      <c r="Z1" s="322"/>
      <c r="AA1" s="322"/>
      <c r="AB1" s="322"/>
    </row>
    <row r="2" spans="1:28" ht="21">
      <c r="A2" s="656">
        <v>1</v>
      </c>
      <c r="B2" s="1168" t="str">
        <f>'HSH Chts'!$A$1</f>
        <v>The University of Texas Health Science Center at Houston</v>
      </c>
      <c r="C2" s="1168"/>
      <c r="D2" s="1168"/>
      <c r="E2" s="1168"/>
      <c r="F2" s="1168"/>
      <c r="H2" s="750"/>
      <c r="I2" s="752" t="str">
        <f>IF($B$2&lt;&gt;Input!$H$8,"Name Mismatch","")</f>
        <v/>
      </c>
      <c r="K2" s="750"/>
      <c r="L2" s="750"/>
      <c r="M2" s="672"/>
      <c r="O2" s="321" t="s">
        <v>51</v>
      </c>
      <c r="P2" s="334"/>
    </row>
    <row r="3" spans="1:28" ht="21">
      <c r="A3" s="656">
        <v>2</v>
      </c>
      <c r="B3" s="1168" t="str">
        <f>'Smmy Chts'!$A$2</f>
        <v>For the Year Ended August 31, 2022</v>
      </c>
      <c r="C3" s="1168"/>
      <c r="D3" s="1168"/>
      <c r="E3" s="1168"/>
      <c r="F3" s="1168"/>
      <c r="G3" s="750"/>
      <c r="H3" s="750"/>
      <c r="K3" s="750"/>
      <c r="L3" s="750"/>
      <c r="M3" s="672"/>
      <c r="O3" s="754"/>
    </row>
    <row r="4" spans="1:28" ht="21">
      <c r="A4" s="656">
        <v>3</v>
      </c>
      <c r="B4" s="1168" t="str">
        <f>'Smmy Chts'!$A$3</f>
        <v>Source: FY 2022 Annual Financial Report</v>
      </c>
      <c r="C4" s="1168"/>
      <c r="D4" s="1168"/>
      <c r="E4" s="1168"/>
      <c r="F4" s="1168"/>
      <c r="G4" s="750"/>
      <c r="H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Input!$M$8</f>
        <v>240771921</v>
      </c>
      <c r="E10" s="762">
        <f>Input!$N$8</f>
        <v>0</v>
      </c>
      <c r="F10" s="762">
        <f>Input!$O$8</f>
        <v>0</v>
      </c>
      <c r="G10" s="762">
        <f>Input!$P$8</f>
        <v>0</v>
      </c>
      <c r="H10" s="762">
        <f>Input!$Q$8</f>
        <v>0</v>
      </c>
      <c r="I10" s="762">
        <f>Input!$R$8</f>
        <v>0</v>
      </c>
      <c r="J10" s="762">
        <f>Input!$S$8</f>
        <v>0</v>
      </c>
      <c r="K10" s="762">
        <f>Input!$T$8</f>
        <v>0</v>
      </c>
      <c r="L10" s="762">
        <f>Input!$U$8</f>
        <v>0</v>
      </c>
      <c r="M10" s="723">
        <f t="shared" ref="M10:M15" si="0">D10+E10+F10+G10+H10+I10+J10+K10+L10</f>
        <v>240771921</v>
      </c>
      <c r="O10" s="763"/>
      <c r="P10" s="1200" t="s">
        <v>627</v>
      </c>
      <c r="Q10" s="320"/>
      <c r="R10" s="320"/>
      <c r="S10" s="320"/>
      <c r="V10" s="320"/>
      <c r="W10" s="320"/>
      <c r="X10" s="320"/>
      <c r="Y10" s="320"/>
      <c r="Z10" s="320"/>
      <c r="AA10" s="320"/>
      <c r="AB10" s="320"/>
    </row>
    <row r="11" spans="1:28" s="752" customFormat="1">
      <c r="A11" s="460">
        <v>10</v>
      </c>
      <c r="B11" s="752" t="s">
        <v>134</v>
      </c>
      <c r="D11" s="762">
        <f>Input!$V$8</f>
        <v>7990728</v>
      </c>
      <c r="E11" s="762">
        <f>Input!$W$8</f>
        <v>768205</v>
      </c>
      <c r="F11" s="762">
        <f>Input!$X$8</f>
        <v>0</v>
      </c>
      <c r="G11" s="762">
        <f>Input!$Y$8</f>
        <v>10770468</v>
      </c>
      <c r="H11" s="762">
        <f>Input!$Z$8</f>
        <v>0</v>
      </c>
      <c r="I11" s="762">
        <f>Input!$AA$8</f>
        <v>0</v>
      </c>
      <c r="J11" s="762">
        <f>Input!$AB$8</f>
        <v>0</v>
      </c>
      <c r="K11" s="762">
        <f>Input!$AC$8</f>
        <v>0</v>
      </c>
      <c r="L11" s="762">
        <f>Input!$AD$8</f>
        <v>0</v>
      </c>
      <c r="M11" s="723">
        <f t="shared" si="0"/>
        <v>19529401</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Input!$AN$8</f>
        <v>0</v>
      </c>
      <c r="E13" s="762">
        <f>Input!$AO$8</f>
        <v>0</v>
      </c>
      <c r="F13" s="762">
        <f>Input!$AP$8</f>
        <v>0</v>
      </c>
      <c r="G13" s="762">
        <f>Input!$AQ$8</f>
        <v>0</v>
      </c>
      <c r="H13" s="762">
        <f>Input!$AR$8</f>
        <v>0</v>
      </c>
      <c r="I13" s="762">
        <f>Input!$AS$8</f>
        <v>0</v>
      </c>
      <c r="J13" s="762">
        <f>Input!$AT$8</f>
        <v>0</v>
      </c>
      <c r="K13" s="762">
        <f>Input!$AU$8</f>
        <v>0</v>
      </c>
      <c r="L13" s="762">
        <f>Input!$AV$8</f>
        <v>0</v>
      </c>
      <c r="M13" s="723">
        <f t="shared" si="0"/>
        <v>0</v>
      </c>
      <c r="O13" s="764" t="str">
        <f>IF(P13&lt;&gt;M13,"Out of Balance","Balanced")</f>
        <v>Balanced</v>
      </c>
      <c r="P13" s="767">
        <f>IFERROR(VLOOKUP($B$2,AMTLU,6,FALSE),0)</f>
        <v>0</v>
      </c>
      <c r="Q13" s="320"/>
      <c r="R13" s="320"/>
      <c r="S13" s="320"/>
      <c r="V13" s="320"/>
      <c r="W13" s="320"/>
      <c r="X13" s="320"/>
      <c r="Y13" s="320"/>
      <c r="Z13" s="320"/>
      <c r="AA13" s="320"/>
      <c r="AB13" s="320"/>
    </row>
    <row r="14" spans="1:28" s="752" customFormat="1" ht="15">
      <c r="A14" s="460">
        <v>13</v>
      </c>
      <c r="B14" s="752" t="s">
        <v>135</v>
      </c>
      <c r="D14" s="762">
        <f>Input!$AW$8</f>
        <v>0</v>
      </c>
      <c r="E14" s="762">
        <f>Input!$AX$8</f>
        <v>0</v>
      </c>
      <c r="F14" s="762">
        <f>Input!$AY$8</f>
        <v>0</v>
      </c>
      <c r="G14" s="762">
        <f>Input!$AZ$8</f>
        <v>0</v>
      </c>
      <c r="H14" s="762">
        <f>Input!$BA$8</f>
        <v>0</v>
      </c>
      <c r="I14" s="762">
        <f>Input!$BB$8</f>
        <v>0</v>
      </c>
      <c r="J14" s="762">
        <f>Input!$BC$8</f>
        <v>0</v>
      </c>
      <c r="K14" s="762">
        <f>Input!$BD$8</f>
        <v>0</v>
      </c>
      <c r="L14" s="762">
        <f>Input!$BE$8</f>
        <v>0</v>
      </c>
      <c r="M14" s="723">
        <f t="shared" si="0"/>
        <v>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248762649</v>
      </c>
      <c r="E15" s="769">
        <f t="shared" ref="E15:L15" si="1">SUM(E10:E14)</f>
        <v>768205</v>
      </c>
      <c r="F15" s="769">
        <f t="shared" si="1"/>
        <v>0</v>
      </c>
      <c r="G15" s="769">
        <f t="shared" si="1"/>
        <v>10770468</v>
      </c>
      <c r="H15" s="769">
        <f t="shared" si="1"/>
        <v>0</v>
      </c>
      <c r="I15" s="769">
        <f t="shared" si="1"/>
        <v>0</v>
      </c>
      <c r="J15" s="769">
        <f t="shared" si="1"/>
        <v>0</v>
      </c>
      <c r="K15" s="769">
        <f t="shared" si="1"/>
        <v>0</v>
      </c>
      <c r="L15" s="769">
        <f t="shared" si="1"/>
        <v>0</v>
      </c>
      <c r="M15" s="769">
        <f t="shared" si="0"/>
        <v>260301322</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34033284</v>
      </c>
      <c r="E18" s="769">
        <f t="shared" si="2"/>
        <v>31671233</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65704517</v>
      </c>
      <c r="V18" s="723"/>
      <c r="X18" s="492"/>
    </row>
    <row r="19" spans="1:26" s="320" customFormat="1" ht="12.75" customHeight="1" thickTop="1" thickBot="1">
      <c r="A19" s="322"/>
      <c r="B19" s="320" t="s">
        <v>592</v>
      </c>
      <c r="D19" s="762">
        <f>Input!$BF$8</f>
        <v>-6881844</v>
      </c>
      <c r="E19" s="762">
        <f>Input!$BG$8</f>
        <v>-47720</v>
      </c>
      <c r="F19" s="762">
        <f>Input!$BH$8</f>
        <v>0</v>
      </c>
      <c r="G19" s="762">
        <f>Input!$BI$8</f>
        <v>0</v>
      </c>
      <c r="H19" s="762">
        <f>Input!$BJ$8</f>
        <v>0</v>
      </c>
      <c r="I19" s="762">
        <f>Input!BK6</f>
        <v>0</v>
      </c>
      <c r="J19" s="762">
        <f>Input!$BL$8</f>
        <v>0</v>
      </c>
      <c r="K19" s="762">
        <f>Input!BM6</f>
        <v>0</v>
      </c>
      <c r="L19" s="762">
        <f>Input!BN6</f>
        <v>0</v>
      </c>
      <c r="M19" s="723">
        <f t="shared" si="3"/>
        <v>-6929564</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Input!$BO$8</f>
        <v>0</v>
      </c>
      <c r="E20" s="762">
        <f>Input!$BP$8</f>
        <v>0</v>
      </c>
      <c r="F20" s="762">
        <f>Input!$BQ$8</f>
        <v>0</v>
      </c>
      <c r="G20" s="762">
        <f>Input!$BR$8</f>
        <v>0</v>
      </c>
      <c r="H20" s="762">
        <f>Input!$BS$8</f>
        <v>0</v>
      </c>
      <c r="I20" s="762">
        <f>Input!$BT$8</f>
        <v>0</v>
      </c>
      <c r="J20" s="762">
        <f>Input!BU6</f>
        <v>0</v>
      </c>
      <c r="K20" s="762">
        <f>Input!BV6</f>
        <v>0</v>
      </c>
      <c r="L20" s="762">
        <f>Input!$BW$8</f>
        <v>0</v>
      </c>
      <c r="M20" s="723">
        <f t="shared" si="3"/>
        <v>0</v>
      </c>
      <c r="O20" s="773" t="s">
        <v>631</v>
      </c>
      <c r="P20" s="774"/>
      <c r="Q20" s="774"/>
      <c r="R20" s="774"/>
      <c r="S20" s="775"/>
      <c r="U20" s="776" t="s">
        <v>252</v>
      </c>
      <c r="Y20" s="777"/>
    </row>
    <row r="21" spans="1:26" s="320" customFormat="1">
      <c r="A21" s="322"/>
      <c r="B21" s="320" t="s">
        <v>594</v>
      </c>
      <c r="D21" s="762">
        <f>Input!$BX$8</f>
        <v>0</v>
      </c>
      <c r="E21" s="762">
        <f>Input!$BY$8</f>
        <v>0</v>
      </c>
      <c r="F21" s="762">
        <f>Input!$BZ$8</f>
        <v>0</v>
      </c>
      <c r="G21" s="762">
        <f>Input!$CA$8</f>
        <v>0</v>
      </c>
      <c r="H21" s="762">
        <f>Input!$CB$8</f>
        <v>0</v>
      </c>
      <c r="I21" s="762">
        <f>Input!$CC$8</f>
        <v>0</v>
      </c>
      <c r="J21" s="762">
        <f>Input!$CD$8</f>
        <v>0</v>
      </c>
      <c r="K21" s="762">
        <f>Input!$CE$8</f>
        <v>0</v>
      </c>
      <c r="L21" s="762">
        <f>Input!$CF$8</f>
        <v>0</v>
      </c>
      <c r="M21" s="723">
        <f t="shared" si="3"/>
        <v>0</v>
      </c>
      <c r="O21" s="778"/>
      <c r="R21" s="492"/>
      <c r="S21" s="779"/>
      <c r="U21" s="780" t="s">
        <v>632</v>
      </c>
      <c r="X21" s="781">
        <f>M44</f>
        <v>71796372</v>
      </c>
      <c r="Y21" s="777"/>
      <c r="Z21" s="492"/>
    </row>
    <row r="22" spans="1:26" s="320" customFormat="1">
      <c r="A22" s="322"/>
      <c r="B22" s="320" t="s">
        <v>595</v>
      </c>
      <c r="D22" s="762">
        <f>Input!$CG$8</f>
        <v>0</v>
      </c>
      <c r="E22" s="762">
        <f>Input!$CH$8</f>
        <v>0</v>
      </c>
      <c r="F22" s="762">
        <f>Input!$CI$8</f>
        <v>0</v>
      </c>
      <c r="G22" s="762">
        <f>Input!$CJ$8</f>
        <v>0</v>
      </c>
      <c r="H22" s="762">
        <f>Input!$CK$8</f>
        <v>0</v>
      </c>
      <c r="I22" s="762">
        <f>Input!$CL$8</f>
        <v>0</v>
      </c>
      <c r="J22" s="762">
        <f>Input!$CM$8</f>
        <v>0</v>
      </c>
      <c r="K22" s="762">
        <f>Input!$CN$8</f>
        <v>0</v>
      </c>
      <c r="L22" s="762">
        <f>Input!$CO$8</f>
        <v>0</v>
      </c>
      <c r="M22" s="723">
        <f t="shared" si="3"/>
        <v>0</v>
      </c>
      <c r="N22" s="406"/>
      <c r="O22" s="778" t="s">
        <v>633</v>
      </c>
      <c r="Q22" s="492">
        <f>M23</f>
        <v>58774953</v>
      </c>
      <c r="S22" s="782"/>
      <c r="U22" s="780" t="s">
        <v>634</v>
      </c>
      <c r="X22" s="783">
        <f>R30*-1</f>
        <v>1839654</v>
      </c>
      <c r="Y22" s="777"/>
    </row>
    <row r="23" spans="1:26" s="320" customFormat="1" ht="12.75" customHeight="1">
      <c r="A23" s="322"/>
      <c r="B23" s="772" t="s">
        <v>233</v>
      </c>
      <c r="C23" s="784"/>
      <c r="D23" s="785">
        <f>Input!$CP$8</f>
        <v>27151440</v>
      </c>
      <c r="E23" s="785">
        <f>Input!$CQ$8</f>
        <v>31623513</v>
      </c>
      <c r="F23" s="785">
        <f>Input!$CR$8</f>
        <v>0</v>
      </c>
      <c r="G23" s="785">
        <f>Input!$CS$8</f>
        <v>0</v>
      </c>
      <c r="H23" s="785">
        <f>Input!$CT$8</f>
        <v>0</v>
      </c>
      <c r="I23" s="785">
        <f>Input!$CU$8</f>
        <v>0</v>
      </c>
      <c r="J23" s="785">
        <f>Input!$CV$8</f>
        <v>0</v>
      </c>
      <c r="K23" s="785">
        <f>Input!$CW$8</f>
        <v>0</v>
      </c>
      <c r="L23" s="785">
        <f>Input!$CX$8</f>
        <v>0</v>
      </c>
      <c r="M23" s="786">
        <f t="shared" si="3"/>
        <v>58774953</v>
      </c>
      <c r="O23" s="778"/>
      <c r="Q23" s="492"/>
      <c r="S23" s="782"/>
      <c r="U23" s="776" t="s">
        <v>635</v>
      </c>
      <c r="Y23" s="777">
        <f>SUM(X21:X22)</f>
        <v>73636026</v>
      </c>
      <c r="Z23" s="492"/>
    </row>
    <row r="24" spans="1:26" s="320" customFormat="1" ht="12.75" customHeight="1">
      <c r="A24" s="322"/>
      <c r="B24" s="320" t="s">
        <v>596</v>
      </c>
      <c r="C24" s="751"/>
      <c r="D24" s="762">
        <f>Input!$CY$8</f>
        <v>0</v>
      </c>
      <c r="E24" s="762">
        <f>Input!$CZ$8</f>
        <v>0</v>
      </c>
      <c r="F24" s="762">
        <f>Input!$DA$8</f>
        <v>0</v>
      </c>
      <c r="G24" s="762">
        <f>Input!$DB$8</f>
        <v>0</v>
      </c>
      <c r="H24" s="762">
        <f>Input!$DC$8</f>
        <v>0</v>
      </c>
      <c r="I24" s="762">
        <f>Input!$DD$8</f>
        <v>0</v>
      </c>
      <c r="J24" s="762">
        <f>Input!$DE$8</f>
        <v>0</v>
      </c>
      <c r="K24" s="762">
        <f>Input!$DF$8</f>
        <v>0</v>
      </c>
      <c r="L24" s="762">
        <f>Input!$DG$8</f>
        <v>0</v>
      </c>
      <c r="M24" s="650">
        <f t="shared" si="3"/>
        <v>0</v>
      </c>
      <c r="O24" s="787" t="s">
        <v>636</v>
      </c>
      <c r="Q24" s="723"/>
      <c r="R24" s="723">
        <f>SUM(M24:M28)</f>
        <v>-1558305</v>
      </c>
      <c r="S24" s="782"/>
      <c r="U24" s="776"/>
      <c r="Y24" s="777"/>
      <c r="Z24" s="492"/>
    </row>
    <row r="25" spans="1:26" s="320" customFormat="1" ht="12.75" customHeight="1">
      <c r="A25" s="322"/>
      <c r="B25" s="320" t="s">
        <v>597</v>
      </c>
      <c r="C25" s="751"/>
      <c r="D25" s="762">
        <f>Input!$DH$8</f>
        <v>0</v>
      </c>
      <c r="E25" s="762">
        <f>Input!$DI$8</f>
        <v>0</v>
      </c>
      <c r="F25" s="762">
        <f>Input!$DJ$8</f>
        <v>0</v>
      </c>
      <c r="G25" s="762">
        <f>Input!$DK$8</f>
        <v>0</v>
      </c>
      <c r="H25" s="762">
        <f>Input!$DL$8</f>
        <v>0</v>
      </c>
      <c r="I25" s="762">
        <f>Input!$DM$8</f>
        <v>0</v>
      </c>
      <c r="J25" s="762">
        <f>Input!$DN$8</f>
        <v>0</v>
      </c>
      <c r="K25" s="762">
        <f>Input!$DO$8</f>
        <v>0</v>
      </c>
      <c r="L25" s="762">
        <f>Input!$DP$8</f>
        <v>0</v>
      </c>
      <c r="M25" s="650">
        <f t="shared" si="3"/>
        <v>0</v>
      </c>
      <c r="O25" s="778"/>
      <c r="Q25" s="723"/>
      <c r="R25" s="723"/>
      <c r="S25" s="782"/>
      <c r="U25" s="788" t="s">
        <v>637</v>
      </c>
      <c r="V25" s="789"/>
      <c r="W25" s="789"/>
      <c r="X25" s="790">
        <f>(M26+M39)*-1</f>
        <v>1051414</v>
      </c>
      <c r="Y25" s="777"/>
      <c r="Z25" s="492"/>
    </row>
    <row r="26" spans="1:26" s="320" customFormat="1" ht="12.75" customHeight="1">
      <c r="A26" s="322"/>
      <c r="B26" s="320" t="s">
        <v>598</v>
      </c>
      <c r="C26" s="751"/>
      <c r="D26" s="762">
        <f>Input!$DQ$8</f>
        <v>-301504</v>
      </c>
      <c r="E26" s="762">
        <f>Input!$DR$8</f>
        <v>-489140</v>
      </c>
      <c r="F26" s="762">
        <f>Input!$DS$8</f>
        <v>0</v>
      </c>
      <c r="G26" s="762">
        <f>Input!$DT$8</f>
        <v>0</v>
      </c>
      <c r="H26" s="762">
        <f>Input!$DU$8</f>
        <v>0</v>
      </c>
      <c r="I26" s="762">
        <f>Input!$DV$8</f>
        <v>0</v>
      </c>
      <c r="J26" s="762">
        <f>Input!$DW$8</f>
        <v>0</v>
      </c>
      <c r="K26" s="762">
        <f>Input!$DX$8</f>
        <v>0</v>
      </c>
      <c r="L26" s="762">
        <f>Input!$DY$8</f>
        <v>0</v>
      </c>
      <c r="M26" s="650">
        <f t="shared" si="3"/>
        <v>-790644</v>
      </c>
      <c r="O26" s="778" t="s">
        <v>638</v>
      </c>
      <c r="Q26" s="723">
        <f>M36</f>
        <v>14861073</v>
      </c>
      <c r="R26" s="791"/>
      <c r="S26" s="792"/>
      <c r="U26" s="776" t="s">
        <v>639</v>
      </c>
      <c r="X26" s="793">
        <f>(M21+M34)*-1</f>
        <v>0</v>
      </c>
      <c r="Y26" s="777"/>
      <c r="Z26" s="492"/>
    </row>
    <row r="27" spans="1:26" s="320" customFormat="1">
      <c r="A27" s="322"/>
      <c r="B27" s="320" t="s">
        <v>599</v>
      </c>
      <c r="C27" s="751"/>
      <c r="D27" s="762">
        <f>Input!$DZ$8</f>
        <v>0</v>
      </c>
      <c r="E27" s="762">
        <f>Input!$EA$8</f>
        <v>0</v>
      </c>
      <c r="F27" s="762">
        <f>Input!$EB$8</f>
        <v>0</v>
      </c>
      <c r="G27" s="762">
        <f>Input!$EC$8</f>
        <v>0</v>
      </c>
      <c r="H27" s="762">
        <f>Input!$ED$8</f>
        <v>0</v>
      </c>
      <c r="I27" s="762">
        <f>Input!$EE$8</f>
        <v>0</v>
      </c>
      <c r="J27" s="762">
        <f>Input!$EF$8</f>
        <v>0</v>
      </c>
      <c r="K27" s="762">
        <f>Input!$EG$8</f>
        <v>0</v>
      </c>
      <c r="L27" s="762">
        <f>Input!$EH$8</f>
        <v>0</v>
      </c>
      <c r="M27" s="650">
        <f t="shared" si="3"/>
        <v>0</v>
      </c>
      <c r="O27" s="778"/>
      <c r="Q27" s="723"/>
      <c r="R27" s="791"/>
      <c r="S27" s="792"/>
      <c r="U27" s="780" t="s">
        <v>640</v>
      </c>
      <c r="V27" s="314"/>
      <c r="W27" s="314"/>
      <c r="X27" s="794">
        <f>SUM(X25:X26)</f>
        <v>1051414</v>
      </c>
      <c r="Y27" s="721"/>
    </row>
    <row r="28" spans="1:26" s="320" customFormat="1">
      <c r="A28" s="322"/>
      <c r="B28" s="320" t="s">
        <v>600</v>
      </c>
      <c r="C28" s="751"/>
      <c r="D28" s="762">
        <f>Input!$EI$8</f>
        <v>-363490</v>
      </c>
      <c r="E28" s="762">
        <f>Input!$EJ$8</f>
        <v>-404171</v>
      </c>
      <c r="F28" s="762">
        <f>Input!$EK$8</f>
        <v>0</v>
      </c>
      <c r="G28" s="762">
        <f>Input!$EL$8</f>
        <v>0</v>
      </c>
      <c r="H28" s="762">
        <f>Input!$EM$8</f>
        <v>0</v>
      </c>
      <c r="I28" s="762">
        <f>Input!$EN$8</f>
        <v>0</v>
      </c>
      <c r="J28" s="762">
        <f>Input!$EO$8</f>
        <v>0</v>
      </c>
      <c r="K28" s="762">
        <f>Input!$EP$8</f>
        <v>0</v>
      </c>
      <c r="L28" s="762">
        <f>Input!$EQ$8</f>
        <v>0</v>
      </c>
      <c r="M28" s="650">
        <f t="shared" si="3"/>
        <v>-767661</v>
      </c>
      <c r="O28" s="787" t="s">
        <v>641</v>
      </c>
      <c r="Q28" s="723"/>
      <c r="R28" s="723">
        <f>SUM(M37:M41)</f>
        <v>-281349</v>
      </c>
      <c r="S28" s="782"/>
      <c r="U28" s="776" t="s">
        <v>642</v>
      </c>
      <c r="X28" s="777">
        <f>(M27+M40)*-1</f>
        <v>0</v>
      </c>
      <c r="Y28" s="721"/>
      <c r="Z28" s="492"/>
    </row>
    <row r="29" spans="1:26" s="320" customFormat="1" ht="12" customHeight="1">
      <c r="A29" s="322"/>
      <c r="B29" s="795" t="s">
        <v>165</v>
      </c>
      <c r="C29" s="784"/>
      <c r="D29" s="769">
        <f t="shared" ref="D29:L29" si="4">SUM(D23:D28)</f>
        <v>26486446</v>
      </c>
      <c r="E29" s="769">
        <f t="shared" si="4"/>
        <v>30730202</v>
      </c>
      <c r="F29" s="769">
        <f t="shared" si="4"/>
        <v>0</v>
      </c>
      <c r="G29" s="769">
        <f t="shared" si="4"/>
        <v>0</v>
      </c>
      <c r="H29" s="769">
        <f t="shared" si="4"/>
        <v>0</v>
      </c>
      <c r="I29" s="769">
        <f t="shared" si="4"/>
        <v>0</v>
      </c>
      <c r="J29" s="769">
        <f t="shared" si="4"/>
        <v>0</v>
      </c>
      <c r="K29" s="769">
        <f t="shared" si="4"/>
        <v>0</v>
      </c>
      <c r="L29" s="769">
        <f t="shared" si="4"/>
        <v>0</v>
      </c>
      <c r="M29" s="769">
        <f t="shared" si="3"/>
        <v>57216648</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73636026</v>
      </c>
      <c r="R30" s="798">
        <f>R28+R24</f>
        <v>-1839654</v>
      </c>
      <c r="S30" s="799"/>
      <c r="U30" s="780" t="s">
        <v>645</v>
      </c>
      <c r="V30" s="314"/>
      <c r="W30" s="314"/>
      <c r="X30" s="794">
        <f>SUM(X28:X29)</f>
        <v>0</v>
      </c>
      <c r="Y30" s="721"/>
    </row>
    <row r="31" spans="1:26" s="320" customFormat="1" ht="12.75" customHeight="1">
      <c r="A31" s="322"/>
      <c r="B31" s="772" t="s">
        <v>238</v>
      </c>
      <c r="C31" s="772"/>
      <c r="D31" s="769">
        <f t="shared" ref="D31:L31" si="5">D36-SUM(D32:D35)</f>
        <v>169664</v>
      </c>
      <c r="E31" s="769">
        <f t="shared" si="5"/>
        <v>12198846</v>
      </c>
      <c r="F31" s="769">
        <f t="shared" si="5"/>
        <v>2492563</v>
      </c>
      <c r="G31" s="769">
        <f t="shared" si="5"/>
        <v>0</v>
      </c>
      <c r="H31" s="769">
        <f t="shared" si="5"/>
        <v>0</v>
      </c>
      <c r="I31" s="769">
        <f t="shared" si="5"/>
        <v>0</v>
      </c>
      <c r="J31" s="769">
        <f t="shared" si="5"/>
        <v>0</v>
      </c>
      <c r="K31" s="769">
        <f t="shared" si="5"/>
        <v>0</v>
      </c>
      <c r="L31" s="769">
        <f t="shared" si="5"/>
        <v>0</v>
      </c>
      <c r="M31" s="769">
        <f t="shared" ref="M31:M42" si="6">D31+E31+F31+G31+H31+I31+J31+K31+L31</f>
        <v>14861073</v>
      </c>
      <c r="O31" s="778" t="s">
        <v>646</v>
      </c>
      <c r="Q31" s="406"/>
      <c r="S31" s="782"/>
      <c r="U31" s="800" t="s">
        <v>647</v>
      </c>
      <c r="V31" s="801"/>
      <c r="W31" s="801"/>
      <c r="X31" s="802">
        <f>X27+X30</f>
        <v>1051414</v>
      </c>
      <c r="Y31" s="777"/>
      <c r="Z31" s="492"/>
    </row>
    <row r="32" spans="1:26" s="320" customFormat="1" ht="12.75" customHeight="1">
      <c r="A32" s="322"/>
      <c r="B32" s="320" t="s">
        <v>592</v>
      </c>
      <c r="D32" s="762">
        <f>Input!$ER$8</f>
        <v>0</v>
      </c>
      <c r="E32" s="762">
        <f>Input!$ES$8</f>
        <v>0</v>
      </c>
      <c r="F32" s="762">
        <f>Input!$ET$8</f>
        <v>0</v>
      </c>
      <c r="G32" s="762">
        <f>Input!$EU$8</f>
        <v>0</v>
      </c>
      <c r="H32" s="762">
        <f>Input!$EV$8</f>
        <v>0</v>
      </c>
      <c r="I32" s="762">
        <f>Input!$EW$8</f>
        <v>0</v>
      </c>
      <c r="J32" s="762">
        <f>Input!$EX$8</f>
        <v>0</v>
      </c>
      <c r="K32" s="762">
        <f>Input!$EY$8</f>
        <v>0</v>
      </c>
      <c r="L32" s="762">
        <f>Input!$EZ$8</f>
        <v>0</v>
      </c>
      <c r="M32" s="650">
        <f t="shared" si="6"/>
        <v>0</v>
      </c>
      <c r="O32" s="803" t="s">
        <v>648</v>
      </c>
      <c r="P32" s="804"/>
      <c r="Q32" s="805">
        <f>Input!$TI$8</f>
        <v>73636026</v>
      </c>
      <c r="R32" s="804"/>
      <c r="S32" s="806"/>
      <c r="U32" s="776"/>
      <c r="Y32" s="777"/>
      <c r="Z32" s="492"/>
    </row>
    <row r="33" spans="1:28" s="320" customFormat="1">
      <c r="A33" s="322"/>
      <c r="B33" s="320" t="s">
        <v>593</v>
      </c>
      <c r="D33" s="762">
        <f>Input!$FA$8</f>
        <v>0</v>
      </c>
      <c r="E33" s="762">
        <f>Input!$FB$8</f>
        <v>0</v>
      </c>
      <c r="F33" s="762">
        <f>Input!$FC$8</f>
        <v>0</v>
      </c>
      <c r="G33" s="762">
        <f>Input!$FD$8</f>
        <v>0</v>
      </c>
      <c r="H33" s="762">
        <f>Input!$FE$8</f>
        <v>0</v>
      </c>
      <c r="I33" s="762">
        <f>Input!$FF$8</f>
        <v>0</v>
      </c>
      <c r="J33" s="762">
        <f>Input!$FG$8</f>
        <v>0</v>
      </c>
      <c r="K33" s="762">
        <f>Input!$FH$8</f>
        <v>0</v>
      </c>
      <c r="L33" s="762">
        <f>Input!$FI$8</f>
        <v>0</v>
      </c>
      <c r="M33" s="650">
        <f t="shared" si="6"/>
        <v>0</v>
      </c>
      <c r="O33" s="803"/>
      <c r="P33" s="804"/>
      <c r="Q33" s="723"/>
      <c r="R33" s="804"/>
      <c r="S33" s="806"/>
      <c r="U33" s="776" t="s">
        <v>649</v>
      </c>
      <c r="X33" s="492">
        <f>(M19+M32)*-1</f>
        <v>6929564</v>
      </c>
      <c r="Y33" s="777"/>
    </row>
    <row r="34" spans="1:28" s="320" customFormat="1">
      <c r="A34" s="322"/>
      <c r="B34" s="320" t="s">
        <v>594</v>
      </c>
      <c r="D34" s="762">
        <f>Input!$FJ$8</f>
        <v>0</v>
      </c>
      <c r="E34" s="762">
        <f>Input!$FK$8</f>
        <v>0</v>
      </c>
      <c r="F34" s="762">
        <f>Input!$FL$8</f>
        <v>0</v>
      </c>
      <c r="G34" s="762">
        <f>Input!$FM$8</f>
        <v>0</v>
      </c>
      <c r="H34" s="762">
        <f>Input!$FN$8</f>
        <v>0</v>
      </c>
      <c r="I34" s="762">
        <f>Input!$FO$8</f>
        <v>0</v>
      </c>
      <c r="J34" s="762">
        <f>Input!$FP$8</f>
        <v>0</v>
      </c>
      <c r="K34" s="762">
        <f>Input!$FQ$8</f>
        <v>0</v>
      </c>
      <c r="L34" s="762">
        <f>Input!$FR$8</f>
        <v>0</v>
      </c>
      <c r="M34" s="650">
        <f t="shared" si="6"/>
        <v>0</v>
      </c>
      <c r="O34" s="807" t="s">
        <v>650</v>
      </c>
      <c r="P34" s="808"/>
      <c r="Q34" s="320" t="s">
        <v>651</v>
      </c>
      <c r="R34" s="805">
        <f>Input!$TJ$8</f>
        <v>-1839654</v>
      </c>
      <c r="S34" s="809"/>
      <c r="U34" s="776" t="s">
        <v>652</v>
      </c>
      <c r="X34" s="739">
        <f>(M24+M37)*-1</f>
        <v>0</v>
      </c>
      <c r="Y34" s="777"/>
    </row>
    <row r="35" spans="1:28" s="320" customFormat="1" ht="13.8" thickBot="1">
      <c r="A35" s="322"/>
      <c r="B35" s="320" t="s">
        <v>595</v>
      </c>
      <c r="D35" s="762">
        <f>Input!$FS$8</f>
        <v>0</v>
      </c>
      <c r="E35" s="762">
        <f>Input!$FT$8</f>
        <v>0</v>
      </c>
      <c r="F35" s="762">
        <f>Input!$FU$8</f>
        <v>0</v>
      </c>
      <c r="G35" s="762">
        <f>Input!$FV$8</f>
        <v>0</v>
      </c>
      <c r="H35" s="762">
        <f>Input!$FW$8</f>
        <v>0</v>
      </c>
      <c r="I35" s="762">
        <f>Input!$FX$8</f>
        <v>0</v>
      </c>
      <c r="J35" s="762">
        <f>Input!$FY$8</f>
        <v>0</v>
      </c>
      <c r="K35" s="762">
        <f>Input!$FZ$8</f>
        <v>0</v>
      </c>
      <c r="L35" s="762">
        <f>Input!$GA$8</f>
        <v>0</v>
      </c>
      <c r="M35" s="650">
        <f t="shared" si="6"/>
        <v>0</v>
      </c>
      <c r="O35" s="810" t="s">
        <v>653</v>
      </c>
      <c r="P35" s="811"/>
      <c r="Q35" s="812">
        <f>Q30-Q32</f>
        <v>0</v>
      </c>
      <c r="R35" s="813">
        <f>R30-R34</f>
        <v>0</v>
      </c>
      <c r="S35" s="814"/>
      <c r="U35" s="780" t="s">
        <v>654</v>
      </c>
      <c r="V35" s="314"/>
      <c r="W35" s="314"/>
      <c r="X35" s="781">
        <f>SUM(X33:X34)</f>
        <v>6929564</v>
      </c>
      <c r="Y35" s="721"/>
    </row>
    <row r="36" spans="1:28" s="320" customFormat="1" ht="13.8" thickTop="1">
      <c r="A36" s="322"/>
      <c r="B36" s="772" t="s">
        <v>239</v>
      </c>
      <c r="C36" s="784"/>
      <c r="D36" s="785">
        <f>Input!$GB$8</f>
        <v>169664</v>
      </c>
      <c r="E36" s="785">
        <f>Input!$GC$8</f>
        <v>12198846</v>
      </c>
      <c r="F36" s="785">
        <f>Input!$GD$8</f>
        <v>2492563</v>
      </c>
      <c r="G36" s="785">
        <f>Input!$GE$8</f>
        <v>0</v>
      </c>
      <c r="H36" s="785">
        <f>Input!$GF$8</f>
        <v>0</v>
      </c>
      <c r="I36" s="785">
        <f>Input!$GG$8</f>
        <v>0</v>
      </c>
      <c r="J36" s="785">
        <f>Input!$GH$8</f>
        <v>0</v>
      </c>
      <c r="K36" s="785">
        <f>Input!$GI$8</f>
        <v>0</v>
      </c>
      <c r="L36" s="785">
        <f>Input!$GJ$8</f>
        <v>0</v>
      </c>
      <c r="M36" s="786">
        <f t="shared" si="6"/>
        <v>14861073</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Input!$GK$8</f>
        <v>0</v>
      </c>
      <c r="E37" s="762">
        <f>Input!$GL$8</f>
        <v>0</v>
      </c>
      <c r="F37" s="762">
        <f>Input!$GM$8</f>
        <v>0</v>
      </c>
      <c r="G37" s="762">
        <f>Input!$GN$8</f>
        <v>0</v>
      </c>
      <c r="H37" s="762">
        <f>Input!$GO$8</f>
        <v>0</v>
      </c>
      <c r="I37" s="762">
        <f>Input!$GP$8</f>
        <v>0</v>
      </c>
      <c r="J37" s="762">
        <f>Input!$GQ$8</f>
        <v>0</v>
      </c>
      <c r="K37" s="762">
        <f>Input!$GR$8</f>
        <v>0</v>
      </c>
      <c r="L37" s="762">
        <f>Input!$GS$8</f>
        <v>0</v>
      </c>
      <c r="M37" s="650">
        <f t="shared" si="6"/>
        <v>0</v>
      </c>
      <c r="U37" s="776" t="s">
        <v>656</v>
      </c>
      <c r="X37" s="739">
        <f>(M25+M38)*-1</f>
        <v>0</v>
      </c>
      <c r="Y37" s="721"/>
    </row>
    <row r="38" spans="1:28" s="320" customFormat="1">
      <c r="A38" s="322"/>
      <c r="B38" s="320" t="s">
        <v>597</v>
      </c>
      <c r="C38" s="751"/>
      <c r="D38" s="762">
        <f>Input!$GT$8</f>
        <v>0</v>
      </c>
      <c r="E38" s="762">
        <f>Input!$GU$8</f>
        <v>0</v>
      </c>
      <c r="F38" s="762">
        <f>Input!$GV$8</f>
        <v>0</v>
      </c>
      <c r="G38" s="762">
        <f>Input!$GW$8</f>
        <v>0</v>
      </c>
      <c r="H38" s="762">
        <f>Input!$GX$8</f>
        <v>0</v>
      </c>
      <c r="I38" s="762">
        <f>Input!$GY$8</f>
        <v>0</v>
      </c>
      <c r="J38" s="762">
        <f>Input!$GZ$8</f>
        <v>0</v>
      </c>
      <c r="K38" s="762">
        <f>Input!$HA$8</f>
        <v>0</v>
      </c>
      <c r="L38" s="762">
        <f>Input!$HB$8</f>
        <v>0</v>
      </c>
      <c r="M38" s="650">
        <f t="shared" si="6"/>
        <v>0</v>
      </c>
      <c r="U38" s="780" t="s">
        <v>657</v>
      </c>
      <c r="V38" s="314"/>
      <c r="W38" s="314"/>
      <c r="X38" s="781">
        <f>SUM(X36:X37)</f>
        <v>0</v>
      </c>
      <c r="Y38" s="777"/>
    </row>
    <row r="39" spans="1:28" s="320" customFormat="1">
      <c r="A39" s="322"/>
      <c r="B39" s="320" t="s">
        <v>598</v>
      </c>
      <c r="C39" s="751"/>
      <c r="D39" s="762">
        <f>Input!$HC$8</f>
        <v>0</v>
      </c>
      <c r="E39" s="762">
        <f>Input!$HD$8</f>
        <v>-220692</v>
      </c>
      <c r="F39" s="762">
        <f>Input!$HE$8</f>
        <v>-40078</v>
      </c>
      <c r="G39" s="762">
        <f>Input!$HF$8</f>
        <v>0</v>
      </c>
      <c r="H39" s="762">
        <f>Input!$HG$8</f>
        <v>0</v>
      </c>
      <c r="I39" s="762">
        <f>Input!$HH$8</f>
        <v>0</v>
      </c>
      <c r="J39" s="762">
        <f>Input!$HI$8</f>
        <v>0</v>
      </c>
      <c r="K39" s="762">
        <f>Input!$HJ$8</f>
        <v>0</v>
      </c>
      <c r="L39" s="762">
        <f>Input!$HK$8</f>
        <v>0</v>
      </c>
      <c r="M39" s="650">
        <f t="shared" si="6"/>
        <v>-260770</v>
      </c>
      <c r="U39" s="776" t="s">
        <v>658</v>
      </c>
      <c r="X39" s="492"/>
      <c r="Y39" s="777">
        <f>X38+X35</f>
        <v>6929564</v>
      </c>
    </row>
    <row r="40" spans="1:28" s="320" customFormat="1">
      <c r="A40" s="322"/>
      <c r="B40" s="320" t="s">
        <v>599</v>
      </c>
      <c r="C40" s="751"/>
      <c r="D40" s="762">
        <f>Input!$HL$8</f>
        <v>0</v>
      </c>
      <c r="E40" s="762">
        <f>Input!$HM$8</f>
        <v>0</v>
      </c>
      <c r="F40" s="762">
        <f>Input!$HN$8</f>
        <v>0</v>
      </c>
      <c r="G40" s="762">
        <f>Input!$HO$8</f>
        <v>0</v>
      </c>
      <c r="H40" s="762">
        <f>Input!$HP$8</f>
        <v>0</v>
      </c>
      <c r="I40" s="762">
        <f>Input!$HQ$8</f>
        <v>0</v>
      </c>
      <c r="J40" s="762">
        <f>Input!$HR$8</f>
        <v>0</v>
      </c>
      <c r="K40" s="762">
        <f>Input!$HS$8</f>
        <v>0</v>
      </c>
      <c r="L40" s="762">
        <f>Input!$HT$8</f>
        <v>0</v>
      </c>
      <c r="M40" s="650">
        <f t="shared" si="6"/>
        <v>0</v>
      </c>
      <c r="U40" s="776"/>
      <c r="Y40" s="721"/>
    </row>
    <row r="41" spans="1:28" s="320" customFormat="1">
      <c r="A41" s="322"/>
      <c r="B41" s="320" t="s">
        <v>600</v>
      </c>
      <c r="C41" s="751"/>
      <c r="D41" s="762">
        <f>Input!$HU$8</f>
        <v>0</v>
      </c>
      <c r="E41" s="762">
        <f>Input!$HV$8</f>
        <v>0</v>
      </c>
      <c r="F41" s="762">
        <f>Input!$HW$8</f>
        <v>-20579</v>
      </c>
      <c r="G41" s="762">
        <f>Input!$HX$8</f>
        <v>0</v>
      </c>
      <c r="H41" s="762">
        <f>Input!$HY$8</f>
        <v>0</v>
      </c>
      <c r="I41" s="762">
        <f>Input!$HZ$8</f>
        <v>0</v>
      </c>
      <c r="J41" s="762">
        <f>Input!$IA$8</f>
        <v>0</v>
      </c>
      <c r="K41" s="762">
        <f>Input!$IB$8</f>
        <v>0</v>
      </c>
      <c r="L41" s="762">
        <f>Input!$IC$8</f>
        <v>0</v>
      </c>
      <c r="M41" s="650">
        <f t="shared" si="6"/>
        <v>-20579</v>
      </c>
      <c r="U41" s="776" t="s">
        <v>639</v>
      </c>
      <c r="X41" s="492">
        <f>(M21+M34)*-1</f>
        <v>0</v>
      </c>
      <c r="Y41" s="777"/>
    </row>
    <row r="42" spans="1:28" s="320" customFormat="1">
      <c r="A42" s="322"/>
      <c r="B42" s="795" t="s">
        <v>166</v>
      </c>
      <c r="C42" s="784"/>
      <c r="D42" s="769">
        <f t="shared" ref="D42:L42" si="7">SUM(D36:D41)</f>
        <v>169664</v>
      </c>
      <c r="E42" s="769">
        <f t="shared" si="7"/>
        <v>11978154</v>
      </c>
      <c r="F42" s="769">
        <f t="shared" si="7"/>
        <v>2431906</v>
      </c>
      <c r="G42" s="769">
        <f t="shared" si="7"/>
        <v>0</v>
      </c>
      <c r="H42" s="769">
        <f t="shared" si="7"/>
        <v>0</v>
      </c>
      <c r="I42" s="769">
        <f t="shared" si="7"/>
        <v>0</v>
      </c>
      <c r="J42" s="769">
        <f t="shared" si="7"/>
        <v>0</v>
      </c>
      <c r="K42" s="769">
        <f t="shared" si="7"/>
        <v>0</v>
      </c>
      <c r="L42" s="769">
        <f t="shared" si="7"/>
        <v>0</v>
      </c>
      <c r="M42" s="769">
        <f t="shared" si="6"/>
        <v>14579724</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26656110</v>
      </c>
      <c r="E44" s="769">
        <f t="shared" si="8"/>
        <v>42708356</v>
      </c>
      <c r="F44" s="769">
        <f t="shared" si="8"/>
        <v>2431906</v>
      </c>
      <c r="G44" s="769">
        <f t="shared" si="8"/>
        <v>0</v>
      </c>
      <c r="H44" s="769">
        <f t="shared" si="8"/>
        <v>0</v>
      </c>
      <c r="I44" s="769">
        <f t="shared" si="8"/>
        <v>0</v>
      </c>
      <c r="J44" s="769">
        <f t="shared" si="8"/>
        <v>0</v>
      </c>
      <c r="K44" s="769">
        <f t="shared" si="8"/>
        <v>0</v>
      </c>
      <c r="L44" s="769">
        <f t="shared" si="8"/>
        <v>0</v>
      </c>
      <c r="M44" s="769">
        <f>D44+E44+F44+G44+H44+I44+J44+K44+L44</f>
        <v>71796372</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Input!$ID$8</f>
        <v>0</v>
      </c>
      <c r="E47" s="815">
        <f>Input!$IE$8</f>
        <v>64550252</v>
      </c>
      <c r="F47" s="815">
        <f>Input!$IF$8</f>
        <v>0</v>
      </c>
      <c r="G47" s="815">
        <f>Input!$IG$8</f>
        <v>184674116</v>
      </c>
      <c r="H47" s="815">
        <f>Input!$IH$8</f>
        <v>0</v>
      </c>
      <c r="I47" s="815">
        <f>Input!$II$8</f>
        <v>0</v>
      </c>
      <c r="J47" s="815">
        <f>Input!$IJ$8</f>
        <v>0</v>
      </c>
      <c r="K47" s="815">
        <f>Input!$IK$8</f>
        <v>0</v>
      </c>
      <c r="L47" s="815">
        <f>Input!$IL$8</f>
        <v>0</v>
      </c>
      <c r="M47" s="769">
        <f>D47+E47+F47+G47+H47+I47+J47+K47+L47</f>
        <v>249224368</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80565590</v>
      </c>
      <c r="Z49" s="320"/>
      <c r="AA49" s="320"/>
      <c r="AB49" s="320"/>
    </row>
    <row r="50" spans="1:28" s="752" customFormat="1">
      <c r="A50" s="460">
        <v>33</v>
      </c>
      <c r="B50" s="768" t="s">
        <v>200</v>
      </c>
      <c r="C50" s="768"/>
      <c r="D50" s="815">
        <f>Input!$IM$8</f>
        <v>0</v>
      </c>
      <c r="E50" s="815">
        <f>Input!$IN$8</f>
        <v>456328123</v>
      </c>
      <c r="F50" s="815">
        <f>Input!$IO$8</f>
        <v>0</v>
      </c>
      <c r="G50" s="815">
        <f>Input!$IP$8</f>
        <v>0</v>
      </c>
      <c r="H50" s="815">
        <f>Input!$IQ$8</f>
        <v>0</v>
      </c>
      <c r="I50" s="815">
        <f>Input!$IR$8</f>
        <v>0</v>
      </c>
      <c r="J50" s="815">
        <f>Input!$IS$8</f>
        <v>0</v>
      </c>
      <c r="K50" s="815">
        <f>Input!$IT$8</f>
        <v>0</v>
      </c>
      <c r="L50" s="815">
        <f>Input!$IU$8</f>
        <v>0</v>
      </c>
      <c r="M50" s="769">
        <f>D50+E50+F50+G50+H50+I50+J50+K50+L50</f>
        <v>456328123</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Input!$IV$8</f>
        <v>65848333</v>
      </c>
      <c r="E53" s="815">
        <f>Input!$IW$8</f>
        <v>30989328</v>
      </c>
      <c r="F53" s="815">
        <f>Input!$IX$8</f>
        <v>0</v>
      </c>
      <c r="G53" s="815">
        <f>Input!$IY$8</f>
        <v>0</v>
      </c>
      <c r="H53" s="815">
        <f>Input!$IZ$8</f>
        <v>0</v>
      </c>
      <c r="I53" s="815">
        <f>Input!$JA$8</f>
        <v>0</v>
      </c>
      <c r="J53" s="815">
        <f>Input!$JB$8</f>
        <v>0</v>
      </c>
      <c r="K53" s="815">
        <f>Input!$JC$8</f>
        <v>0</v>
      </c>
      <c r="L53" s="815">
        <f>Input!$JD$8</f>
        <v>0</v>
      </c>
      <c r="M53" s="769">
        <f>D53+E53+F53+G53+H53+I53+J53+K53+L53</f>
        <v>96837661</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Input!$JE$8</f>
        <v>2474331</v>
      </c>
      <c r="E56" s="762">
        <f>Input!$JF$8</f>
        <v>44024315</v>
      </c>
      <c r="F56" s="762">
        <f>Input!$JG$8</f>
        <v>1553241</v>
      </c>
      <c r="G56" s="762">
        <f>Input!$JH$8</f>
        <v>33017782</v>
      </c>
      <c r="H56" s="762">
        <f>Input!$JI$8</f>
        <v>130768</v>
      </c>
      <c r="I56" s="762">
        <f>Input!$JJ$8</f>
        <v>2105069</v>
      </c>
      <c r="J56" s="762">
        <f>Input!$JK$8</f>
        <v>854583</v>
      </c>
      <c r="K56" s="762">
        <f>Input!$JL$8</f>
        <v>0</v>
      </c>
      <c r="L56" s="762">
        <f>Input!$JM$8</f>
        <v>0</v>
      </c>
      <c r="M56" s="723">
        <f t="shared" ref="M56:M62" si="9">D56+E56+F56+G56+H56+I56+J56+K56+L56</f>
        <v>84160089</v>
      </c>
      <c r="O56" s="320"/>
      <c r="P56" s="320"/>
      <c r="Q56" s="320"/>
      <c r="R56" s="320"/>
      <c r="S56" s="320"/>
      <c r="T56" s="320"/>
      <c r="U56" s="320"/>
      <c r="V56" s="320"/>
      <c r="W56" s="320"/>
      <c r="X56" s="322"/>
      <c r="Y56" s="320"/>
      <c r="Z56" s="320"/>
      <c r="AA56" s="320"/>
      <c r="AB56" s="320"/>
    </row>
    <row r="57" spans="1:28" s="752" customFormat="1">
      <c r="A57" s="460">
        <v>40</v>
      </c>
      <c r="B57" s="752" t="s">
        <v>173</v>
      </c>
      <c r="D57" s="762">
        <f>Input!$JN$8</f>
        <v>0</v>
      </c>
      <c r="E57" s="762">
        <f>Input!$JO$8</f>
        <v>615378277</v>
      </c>
      <c r="F57" s="762">
        <f>Input!$JP$8</f>
        <v>0</v>
      </c>
      <c r="G57" s="762">
        <f>Input!$JQ$8</f>
        <v>18128930</v>
      </c>
      <c r="H57" s="762">
        <f>Input!$JR$8</f>
        <v>0</v>
      </c>
      <c r="I57" s="762">
        <f>Input!$JS$8</f>
        <v>0</v>
      </c>
      <c r="J57" s="762">
        <f>Input!$JT$8</f>
        <v>0</v>
      </c>
      <c r="K57" s="762">
        <f>Input!$JU$8</f>
        <v>0</v>
      </c>
      <c r="L57" s="762">
        <f>Input!$JV$8</f>
        <v>0</v>
      </c>
      <c r="M57" s="723">
        <f t="shared" si="9"/>
        <v>633507207</v>
      </c>
      <c r="O57" s="320"/>
      <c r="P57" s="819"/>
      <c r="Q57" s="320"/>
      <c r="R57" s="320"/>
      <c r="S57" s="320"/>
      <c r="T57" s="320"/>
      <c r="U57" s="320"/>
      <c r="V57" s="320"/>
      <c r="W57" s="320"/>
      <c r="X57" s="320"/>
      <c r="Y57" s="320"/>
      <c r="Z57" s="320"/>
      <c r="AA57" s="320"/>
      <c r="AB57" s="320"/>
    </row>
    <row r="58" spans="1:28" s="752" customFormat="1">
      <c r="A58" s="460">
        <v>41</v>
      </c>
      <c r="B58" s="752" t="s">
        <v>174</v>
      </c>
      <c r="D58" s="762">
        <f>Input!$JW$8</f>
        <v>0</v>
      </c>
      <c r="E58" s="762">
        <f>Input!$JX$8</f>
        <v>99555139</v>
      </c>
      <c r="F58" s="762">
        <f>Input!$JY$8</f>
        <v>0</v>
      </c>
      <c r="G58" s="762">
        <f>Input!$JZ$8</f>
        <v>99272158</v>
      </c>
      <c r="H58" s="762">
        <f>Input!$KA$8</f>
        <v>0</v>
      </c>
      <c r="I58" s="762">
        <f>Input!$KB$8</f>
        <v>0</v>
      </c>
      <c r="J58" s="762">
        <f>Input!$KC$8</f>
        <v>0</v>
      </c>
      <c r="K58" s="762">
        <f>Input!$KD$8</f>
        <v>0</v>
      </c>
      <c r="L58" s="762">
        <f>Input!$KE$8</f>
        <v>0</v>
      </c>
      <c r="M58" s="723">
        <f t="shared" si="9"/>
        <v>198827297</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Input!$KF$8</f>
        <v>5662350</v>
      </c>
      <c r="E59" s="762">
        <f>Input!$KG$8</f>
        <v>15735801</v>
      </c>
      <c r="F59" s="762">
        <f>Input!$KH$8</f>
        <v>0</v>
      </c>
      <c r="G59" s="762">
        <f>Input!$KI$8</f>
        <v>19676888</v>
      </c>
      <c r="H59" s="762">
        <f>Input!$KJ$8</f>
        <v>0</v>
      </c>
      <c r="I59" s="762">
        <f>Input!$KK$8</f>
        <v>0</v>
      </c>
      <c r="J59" s="762">
        <f>Input!$KL$8</f>
        <v>0</v>
      </c>
      <c r="K59" s="762">
        <f>Input!$KM$8</f>
        <v>0</v>
      </c>
      <c r="L59" s="762">
        <f>Input!$KN$8</f>
        <v>0</v>
      </c>
      <c r="M59" s="723">
        <f t="shared" si="9"/>
        <v>41075039</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Input!$KO$8</f>
        <v>0</v>
      </c>
      <c r="E60" s="762">
        <f>Input!$KP$8</f>
        <v>0</v>
      </c>
      <c r="F60" s="762">
        <f>Input!$KQ$8</f>
        <v>20906789</v>
      </c>
      <c r="G60" s="762">
        <f>Input!$KR$8</f>
        <v>0</v>
      </c>
      <c r="H60" s="762">
        <f>Input!$KS$8</f>
        <v>0</v>
      </c>
      <c r="I60" s="762">
        <f>Input!$KT$8</f>
        <v>0</v>
      </c>
      <c r="J60" s="762">
        <f>Input!$KU$8</f>
        <v>0</v>
      </c>
      <c r="K60" s="762">
        <f>Input!$KV$8</f>
        <v>0</v>
      </c>
      <c r="L60" s="762">
        <f>Input!$KW$8</f>
        <v>0</v>
      </c>
      <c r="M60" s="723">
        <f t="shared" si="9"/>
        <v>20906789</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Input!$KX$8</f>
        <v>5247104</v>
      </c>
      <c r="E61" s="762">
        <f>Input!$KY$8</f>
        <v>103499027</v>
      </c>
      <c r="F61" s="762">
        <f>Input!$KZ$8</f>
        <v>0</v>
      </c>
      <c r="G61" s="762">
        <f>Input!$LA$8</f>
        <v>863658</v>
      </c>
      <c r="H61" s="762">
        <f>Input!$LB$8</f>
        <v>69525</v>
      </c>
      <c r="I61" s="762">
        <f>Input!$LC$8</f>
        <v>0</v>
      </c>
      <c r="J61" s="762">
        <f>Input!$LD$8</f>
        <v>0</v>
      </c>
      <c r="K61" s="762">
        <f>Input!$LE$8</f>
        <v>0</v>
      </c>
      <c r="L61" s="762">
        <f>Input!$LF$8</f>
        <v>-418149</v>
      </c>
      <c r="M61" s="723">
        <f t="shared" si="9"/>
        <v>109261165</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13383785</v>
      </c>
      <c r="E62" s="769">
        <f t="shared" si="10"/>
        <v>878192559</v>
      </c>
      <c r="F62" s="769">
        <f t="shared" si="10"/>
        <v>22460030</v>
      </c>
      <c r="G62" s="769">
        <f t="shared" si="10"/>
        <v>170959416</v>
      </c>
      <c r="H62" s="769">
        <f t="shared" si="10"/>
        <v>200293</v>
      </c>
      <c r="I62" s="769">
        <f t="shared" si="10"/>
        <v>2105069</v>
      </c>
      <c r="J62" s="769">
        <f t="shared" si="10"/>
        <v>854583</v>
      </c>
      <c r="K62" s="769">
        <f t="shared" si="10"/>
        <v>0</v>
      </c>
      <c r="L62" s="769">
        <f t="shared" si="10"/>
        <v>-418149</v>
      </c>
      <c r="M62" s="769">
        <f t="shared" si="9"/>
        <v>1087737586</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354650877</v>
      </c>
      <c r="E63" s="769">
        <f t="shared" ref="E63:M63" si="11">E15+E44+E47+E50+E53+E62</f>
        <v>1473536823</v>
      </c>
      <c r="F63" s="769">
        <f t="shared" si="11"/>
        <v>24891936</v>
      </c>
      <c r="G63" s="769">
        <f t="shared" si="11"/>
        <v>366404000</v>
      </c>
      <c r="H63" s="769">
        <f t="shared" si="11"/>
        <v>200293</v>
      </c>
      <c r="I63" s="769">
        <f t="shared" si="11"/>
        <v>2105069</v>
      </c>
      <c r="J63" s="769">
        <f t="shared" si="11"/>
        <v>854583</v>
      </c>
      <c r="K63" s="769">
        <f t="shared" si="11"/>
        <v>0</v>
      </c>
      <c r="L63" s="769">
        <f t="shared" si="11"/>
        <v>-418149</v>
      </c>
      <c r="M63" s="769">
        <f t="shared" si="11"/>
        <v>2222225432</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Input!$LG$8</f>
        <v>115279335</v>
      </c>
      <c r="E65" s="762">
        <f>Input!$LH$8</f>
        <v>795202246</v>
      </c>
      <c r="F65" s="762">
        <f>Input!$LI$8</f>
        <v>0</v>
      </c>
      <c r="G65" s="762">
        <f>Input!$LJ$8</f>
        <v>10408435</v>
      </c>
      <c r="H65" s="762">
        <f>Input!$LK$8</f>
        <v>0</v>
      </c>
      <c r="I65" s="762">
        <f>Input!$LL$8</f>
        <v>0</v>
      </c>
      <c r="J65" s="762">
        <f>Input!$LM$8</f>
        <v>0</v>
      </c>
      <c r="K65" s="762">
        <f>Input!$LN$8</f>
        <v>0</v>
      </c>
      <c r="L65" s="762">
        <f>Input!$LO$8</f>
        <v>0</v>
      </c>
      <c r="M65" s="723">
        <f t="shared" ref="M65:M77" si="12">D65+E65+F65+G65+H65+I65+J65+K65+L65</f>
        <v>920890016</v>
      </c>
      <c r="O65" s="824">
        <f>D65+E65+G65</f>
        <v>920890016</v>
      </c>
      <c r="P65" s="825">
        <f>Input!$TK$8</f>
        <v>1781475</v>
      </c>
      <c r="Q65" s="825">
        <f>Input!$TU$8</f>
        <v>637108</v>
      </c>
      <c r="R65" s="825">
        <f>Input!$UD$8</f>
        <v>14283</v>
      </c>
      <c r="S65" s="826">
        <f>O65+P65-Q65-R65</f>
        <v>922020100</v>
      </c>
      <c r="T65" s="492"/>
      <c r="U65" s="827">
        <f>D65+E65+F65+G65+J65</f>
        <v>920890016</v>
      </c>
      <c r="V65" s="492"/>
      <c r="W65" s="828" t="s">
        <v>92</v>
      </c>
      <c r="X65" s="829">
        <f>Input!$UO$8</f>
        <v>920890016</v>
      </c>
      <c r="Y65" s="830">
        <f t="shared" ref="Y65:Y74" si="13">X65-M65</f>
        <v>0</v>
      </c>
      <c r="Z65" s="492"/>
      <c r="AA65" s="492"/>
      <c r="AB65" s="492"/>
    </row>
    <row r="66" spans="1:28" s="752" customFormat="1" ht="14.4" thickTop="1" thickBot="1">
      <c r="A66" s="460">
        <v>49</v>
      </c>
      <c r="B66" s="823" t="s">
        <v>179</v>
      </c>
      <c r="C66" s="823"/>
      <c r="D66" s="762">
        <f>Input!$LP$8</f>
        <v>27975970</v>
      </c>
      <c r="E66" s="762">
        <f>Input!$LQ$8</f>
        <v>30987037</v>
      </c>
      <c r="F66" s="762">
        <f>Input!$LR$8</f>
        <v>0</v>
      </c>
      <c r="G66" s="762">
        <f>Input!$LS$8</f>
        <v>191639647</v>
      </c>
      <c r="H66" s="762">
        <f>Input!$LT$8</f>
        <v>0</v>
      </c>
      <c r="I66" s="762">
        <f>Input!$LU$8</f>
        <v>0</v>
      </c>
      <c r="J66" s="762">
        <f>Input!$LV$8</f>
        <v>0</v>
      </c>
      <c r="K66" s="762">
        <f>Input!$LW$8</f>
        <v>0</v>
      </c>
      <c r="L66" s="762">
        <f>Input!$LX$8</f>
        <v>0</v>
      </c>
      <c r="M66" s="723">
        <f t="shared" si="12"/>
        <v>250602654</v>
      </c>
      <c r="O66" s="831">
        <f t="shared" ref="O66:O72" si="14">D66+E66+G66</f>
        <v>250602654</v>
      </c>
      <c r="P66" s="832">
        <f>Input!$TL$8</f>
        <v>6887548</v>
      </c>
      <c r="Q66" s="832">
        <f>Input!$TV$8</f>
        <v>5684707</v>
      </c>
      <c r="R66" s="832">
        <f>Input!$UE$8</f>
        <v>303622</v>
      </c>
      <c r="S66" s="833">
        <f>O66+P66-Q66-R66</f>
        <v>251501873</v>
      </c>
      <c r="T66" s="492"/>
      <c r="U66" s="834">
        <f t="shared" ref="U66:U76" si="15">D66+E66+F66+G66+J66</f>
        <v>250602654</v>
      </c>
      <c r="V66" s="492"/>
      <c r="W66" s="828" t="s">
        <v>179</v>
      </c>
      <c r="X66" s="835">
        <f>Input!$UP$8</f>
        <v>250602654</v>
      </c>
      <c r="Y66" s="836">
        <f t="shared" si="13"/>
        <v>0</v>
      </c>
      <c r="Z66" s="723"/>
      <c r="AA66" s="723"/>
      <c r="AB66" s="723"/>
    </row>
    <row r="67" spans="1:28" s="752" customFormat="1" ht="13.8" thickTop="1">
      <c r="A67" s="460">
        <v>50</v>
      </c>
      <c r="B67" s="823" t="s">
        <v>180</v>
      </c>
      <c r="C67" s="823"/>
      <c r="D67" s="762">
        <f>Input!$LY$8</f>
        <v>5474835</v>
      </c>
      <c r="E67" s="762">
        <f>Input!$LZ$8</f>
        <v>5824197</v>
      </c>
      <c r="F67" s="762">
        <f>Input!$MA$8</f>
        <v>0</v>
      </c>
      <c r="G67" s="762">
        <f>Input!$MB$8</f>
        <v>49469787</v>
      </c>
      <c r="H67" s="762">
        <f>Input!$MC$8</f>
        <v>0</v>
      </c>
      <c r="I67" s="762">
        <f>Input!$MD$8</f>
        <v>0</v>
      </c>
      <c r="J67" s="762">
        <f>Input!$ME$8</f>
        <v>0</v>
      </c>
      <c r="K67" s="762">
        <f>Input!$MF$8</f>
        <v>0</v>
      </c>
      <c r="L67" s="762">
        <f>Input!$MG$8</f>
        <v>0</v>
      </c>
      <c r="M67" s="723">
        <f t="shared" si="12"/>
        <v>60768819</v>
      </c>
      <c r="O67" s="831">
        <f t="shared" si="14"/>
        <v>60768819</v>
      </c>
      <c r="P67" s="832">
        <f>Input!$TM$8</f>
        <v>1614873</v>
      </c>
      <c r="Q67" s="832">
        <f>Input!$TW$8</f>
        <v>2770312</v>
      </c>
      <c r="R67" s="832">
        <f>Input!$UF$8</f>
        <v>0</v>
      </c>
      <c r="S67" s="837">
        <f t="shared" ref="S67:S72" si="16">O67+P67-Q67-R67</f>
        <v>59613380</v>
      </c>
      <c r="T67" s="723"/>
      <c r="U67" s="834">
        <f t="shared" si="15"/>
        <v>60768819</v>
      </c>
      <c r="V67" s="723"/>
      <c r="W67" s="828" t="s">
        <v>180</v>
      </c>
      <c r="X67" s="835">
        <f>Input!$UQ$8</f>
        <v>60768819</v>
      </c>
      <c r="Y67" s="836">
        <f t="shared" si="13"/>
        <v>0</v>
      </c>
      <c r="Z67" s="723"/>
      <c r="AA67" s="723"/>
      <c r="AB67" s="723"/>
    </row>
    <row r="68" spans="1:28" s="752" customFormat="1">
      <c r="A68" s="460">
        <v>51</v>
      </c>
      <c r="B68" s="823" t="s">
        <v>164</v>
      </c>
      <c r="C68" s="823"/>
      <c r="D68" s="762">
        <f>Input!$MH$8</f>
        <v>83057104</v>
      </c>
      <c r="E68" s="762">
        <f>Input!$MI$8</f>
        <v>387221213</v>
      </c>
      <c r="F68" s="762">
        <f>Input!$MJ$8</f>
        <v>0</v>
      </c>
      <c r="G68" s="762">
        <f>Input!$MK$8</f>
        <v>71095443</v>
      </c>
      <c r="H68" s="762">
        <f>Input!$ML$8</f>
        <v>0</v>
      </c>
      <c r="I68" s="762">
        <f>Input!$MM$8</f>
        <v>0</v>
      </c>
      <c r="J68" s="762">
        <f>Input!$MN$8</f>
        <v>0</v>
      </c>
      <c r="K68" s="762">
        <f>Input!$MO$8</f>
        <v>0</v>
      </c>
      <c r="L68" s="762">
        <f>Input!$MP$8</f>
        <v>0</v>
      </c>
      <c r="M68" s="723">
        <f t="shared" si="12"/>
        <v>541373760</v>
      </c>
      <c r="O68" s="831">
        <f t="shared" si="14"/>
        <v>541373760</v>
      </c>
      <c r="P68" s="832">
        <f>Input!$TN$8</f>
        <v>4732804</v>
      </c>
      <c r="Q68" s="832">
        <f>Input!$TX$8</f>
        <v>0</v>
      </c>
      <c r="R68" s="832">
        <f>Input!$UG$8</f>
        <v>0</v>
      </c>
      <c r="S68" s="837">
        <f t="shared" si="16"/>
        <v>546106564</v>
      </c>
      <c r="T68" s="723"/>
      <c r="U68" s="834">
        <f t="shared" si="15"/>
        <v>541373760</v>
      </c>
      <c r="V68" s="723"/>
      <c r="W68" s="828" t="s">
        <v>164</v>
      </c>
      <c r="X68" s="835">
        <f>Input!$UR$8</f>
        <v>541373760</v>
      </c>
      <c r="Y68" s="836">
        <f t="shared" si="13"/>
        <v>0</v>
      </c>
      <c r="Z68" s="723"/>
      <c r="AA68" s="723"/>
      <c r="AB68" s="723"/>
    </row>
    <row r="69" spans="1:28" s="752" customFormat="1">
      <c r="A69" s="460">
        <v>52</v>
      </c>
      <c r="B69" s="823" t="s">
        <v>181</v>
      </c>
      <c r="C69" s="823"/>
      <c r="D69" s="762">
        <f>Input!$MQ$8</f>
        <v>31120162</v>
      </c>
      <c r="E69" s="762">
        <f>Input!$MR$8</f>
        <v>30269467</v>
      </c>
      <c r="F69" s="762">
        <f>Input!$MS$8</f>
        <v>0</v>
      </c>
      <c r="G69" s="762">
        <f>Input!$MT$8</f>
        <v>5951230</v>
      </c>
      <c r="H69" s="762">
        <f>Input!$MU$8</f>
        <v>0</v>
      </c>
      <c r="I69" s="762">
        <f>Input!$MV$8</f>
        <v>0</v>
      </c>
      <c r="J69" s="762">
        <f>Input!$MW$8</f>
        <v>0</v>
      </c>
      <c r="K69" s="762">
        <f>Input!$MX$8</f>
        <v>0</v>
      </c>
      <c r="L69" s="762">
        <f>Input!$MY$8</f>
        <v>0</v>
      </c>
      <c r="M69" s="723">
        <f t="shared" si="12"/>
        <v>67340859</v>
      </c>
      <c r="O69" s="831">
        <f t="shared" si="14"/>
        <v>67340859</v>
      </c>
      <c r="P69" s="832">
        <f>Input!$TO$8</f>
        <v>550071</v>
      </c>
      <c r="Q69" s="832">
        <f>Input!$TY$8</f>
        <v>0</v>
      </c>
      <c r="R69" s="832">
        <f>Input!$UH$8</f>
        <v>0</v>
      </c>
      <c r="S69" s="837">
        <f t="shared" si="16"/>
        <v>67890930</v>
      </c>
      <c r="T69" s="723"/>
      <c r="U69" s="834">
        <f t="shared" si="15"/>
        <v>67340859</v>
      </c>
      <c r="V69" s="723"/>
      <c r="W69" s="828" t="s">
        <v>181</v>
      </c>
      <c r="X69" s="835">
        <f>Input!$US$8</f>
        <v>67340859</v>
      </c>
      <c r="Y69" s="836">
        <f t="shared" si="13"/>
        <v>0</v>
      </c>
      <c r="Z69" s="723"/>
      <c r="AA69" s="723"/>
      <c r="AB69" s="723"/>
    </row>
    <row r="70" spans="1:28" s="752" customFormat="1">
      <c r="A70" s="460">
        <v>53</v>
      </c>
      <c r="B70" s="823" t="s">
        <v>182</v>
      </c>
      <c r="C70" s="823"/>
      <c r="D70" s="762">
        <f>Input!$MZ$8</f>
        <v>2922371</v>
      </c>
      <c r="E70" s="762">
        <f>Input!$NA$8</f>
        <v>7592363</v>
      </c>
      <c r="F70" s="762">
        <f>Input!$NB$8</f>
        <v>0</v>
      </c>
      <c r="G70" s="762">
        <f>Input!$NC$8</f>
        <v>2542220</v>
      </c>
      <c r="H70" s="762">
        <f>Input!$ND$8</f>
        <v>93316</v>
      </c>
      <c r="I70" s="762">
        <f>Input!$NE$8</f>
        <v>0</v>
      </c>
      <c r="J70" s="762">
        <f>Input!$NF$8</f>
        <v>0</v>
      </c>
      <c r="K70" s="762">
        <f>Input!$NG$8</f>
        <v>0</v>
      </c>
      <c r="L70" s="762">
        <f>Input!$NH$8</f>
        <v>0</v>
      </c>
      <c r="M70" s="723">
        <f t="shared" si="12"/>
        <v>13150270</v>
      </c>
      <c r="O70" s="831">
        <f t="shared" si="14"/>
        <v>13056954</v>
      </c>
      <c r="P70" s="832">
        <f>Input!$TP$8</f>
        <v>36477</v>
      </c>
      <c r="Q70" s="832">
        <f>Input!$TZ$8</f>
        <v>0</v>
      </c>
      <c r="R70" s="832">
        <f>Input!$UI$8</f>
        <v>0</v>
      </c>
      <c r="S70" s="837">
        <f t="shared" si="16"/>
        <v>13093431</v>
      </c>
      <c r="T70" s="723"/>
      <c r="U70" s="834">
        <f t="shared" si="15"/>
        <v>13056954</v>
      </c>
      <c r="V70" s="723"/>
      <c r="W70" s="828" t="s">
        <v>182</v>
      </c>
      <c r="X70" s="835">
        <f>Input!$UT$8</f>
        <v>13150270</v>
      </c>
      <c r="Y70" s="836">
        <f t="shared" si="13"/>
        <v>0</v>
      </c>
      <c r="Z70" s="723"/>
      <c r="AA70" s="723"/>
      <c r="AB70" s="723"/>
    </row>
    <row r="71" spans="1:28" s="752" customFormat="1">
      <c r="A71" s="460">
        <v>54</v>
      </c>
      <c r="B71" s="823" t="s">
        <v>183</v>
      </c>
      <c r="C71" s="823"/>
      <c r="D71" s="762">
        <f>Input!$NI$8</f>
        <v>46767228</v>
      </c>
      <c r="E71" s="762">
        <f>Input!$NJ$8</f>
        <v>40048082</v>
      </c>
      <c r="F71" s="762">
        <f>Input!$NK$8</f>
        <v>0</v>
      </c>
      <c r="G71" s="762">
        <f>Input!$NL$8</f>
        <v>2030709</v>
      </c>
      <c r="H71" s="762">
        <f>Input!$NM$8</f>
        <v>0</v>
      </c>
      <c r="I71" s="762">
        <f>Input!$NN$8</f>
        <v>0</v>
      </c>
      <c r="J71" s="762">
        <f>Input!$NO$8</f>
        <v>0</v>
      </c>
      <c r="K71" s="762">
        <f>Input!$NP$8</f>
        <v>0</v>
      </c>
      <c r="L71" s="762">
        <f>Input!$NQ$8</f>
        <v>0</v>
      </c>
      <c r="M71" s="723">
        <f t="shared" si="12"/>
        <v>88846019</v>
      </c>
      <c r="O71" s="831">
        <f t="shared" si="14"/>
        <v>88846019</v>
      </c>
      <c r="P71" s="832">
        <f>Input!$TQ$8</f>
        <v>1826572</v>
      </c>
      <c r="Q71" s="832">
        <f>Input!$UA$8</f>
        <v>0</v>
      </c>
      <c r="R71" s="832">
        <f>Input!$UJ$8</f>
        <v>0</v>
      </c>
      <c r="S71" s="837">
        <f t="shared" si="16"/>
        <v>90672591</v>
      </c>
      <c r="T71" s="723"/>
      <c r="U71" s="834">
        <f t="shared" si="15"/>
        <v>88846019</v>
      </c>
      <c r="V71" s="723"/>
      <c r="W71" s="828" t="s">
        <v>183</v>
      </c>
      <c r="X71" s="835">
        <f>Input!$UU$8</f>
        <v>88846019</v>
      </c>
      <c r="Y71" s="836">
        <f t="shared" si="13"/>
        <v>0</v>
      </c>
      <c r="Z71" s="723"/>
      <c r="AA71" s="723"/>
      <c r="AB71" s="723"/>
    </row>
    <row r="72" spans="1:28" s="752" customFormat="1">
      <c r="A72" s="460">
        <v>55</v>
      </c>
      <c r="B72" s="823" t="s">
        <v>184</v>
      </c>
      <c r="C72" s="823"/>
      <c r="D72" s="762">
        <f>Input!$NR$8</f>
        <v>29682185</v>
      </c>
      <c r="E72" s="762">
        <f>Input!$NS$8</f>
        <v>7756353</v>
      </c>
      <c r="F72" s="762">
        <f>Input!$NT$8</f>
        <v>0</v>
      </c>
      <c r="G72" s="762">
        <f>Input!$NU$8</f>
        <v>79487</v>
      </c>
      <c r="H72" s="762">
        <f>Input!$NV$8</f>
        <v>0</v>
      </c>
      <c r="I72" s="762">
        <f>Input!$NW$8</f>
        <v>0</v>
      </c>
      <c r="J72" s="762">
        <f>Input!$NX$8</f>
        <v>2671071</v>
      </c>
      <c r="K72" s="762">
        <f>Input!$NY$8</f>
        <v>0</v>
      </c>
      <c r="L72" s="762">
        <f>Input!$NZ$8</f>
        <v>0</v>
      </c>
      <c r="M72" s="723">
        <f t="shared" si="12"/>
        <v>40189096</v>
      </c>
      <c r="O72" s="831">
        <f t="shared" si="14"/>
        <v>37518025</v>
      </c>
      <c r="P72" s="832">
        <f>Input!$TR$8</f>
        <v>82307</v>
      </c>
      <c r="Q72" s="832">
        <f>Input!$UB$8</f>
        <v>0</v>
      </c>
      <c r="R72" s="832">
        <f>Input!$UK$8</f>
        <v>0</v>
      </c>
      <c r="S72" s="837">
        <f t="shared" si="16"/>
        <v>37600332</v>
      </c>
      <c r="T72" s="723"/>
      <c r="U72" s="834">
        <f t="shared" si="15"/>
        <v>40189096</v>
      </c>
      <c r="V72" s="723"/>
      <c r="W72" s="828" t="s">
        <v>671</v>
      </c>
      <c r="X72" s="835">
        <f>Input!$UV$8</f>
        <v>40189096</v>
      </c>
      <c r="Y72" s="836">
        <f t="shared" si="13"/>
        <v>0</v>
      </c>
      <c r="Z72" s="723"/>
      <c r="AA72" s="723"/>
      <c r="AB72" s="723"/>
    </row>
    <row r="73" spans="1:28" s="752" customFormat="1" ht="13.8" thickBot="1">
      <c r="A73" s="460">
        <v>56</v>
      </c>
      <c r="B73" s="823" t="s">
        <v>185</v>
      </c>
      <c r="C73" s="823"/>
      <c r="D73" s="762">
        <f>Input!$OA$8</f>
        <v>121033</v>
      </c>
      <c r="E73" s="762">
        <f>Input!$OB$8</f>
        <v>3737776</v>
      </c>
      <c r="F73" s="762">
        <f>Input!$OC$8</f>
        <v>0</v>
      </c>
      <c r="G73" s="762">
        <f>Input!$OD$8</f>
        <v>9599300</v>
      </c>
      <c r="H73" s="762">
        <f>Input!$OE$8</f>
        <v>0</v>
      </c>
      <c r="I73" s="762">
        <f>Input!$OF$8</f>
        <v>0</v>
      </c>
      <c r="J73" s="762">
        <f>Input!$OG$8</f>
        <v>0</v>
      </c>
      <c r="K73" s="762">
        <f>Input!$OH$8</f>
        <v>0</v>
      </c>
      <c r="L73" s="762">
        <f>Input!$OI$8</f>
        <v>0</v>
      </c>
      <c r="M73" s="723">
        <f t="shared" si="12"/>
        <v>13458109</v>
      </c>
      <c r="O73" s="838">
        <f>D73+E73+G73</f>
        <v>13458109</v>
      </c>
      <c r="P73" s="832">
        <f>Input!$TS$8</f>
        <v>0</v>
      </c>
      <c r="Q73" s="839">
        <f>Input!$UC$8</f>
        <v>0</v>
      </c>
      <c r="R73" s="839">
        <f>Input!$UL$8</f>
        <v>0</v>
      </c>
      <c r="S73" s="840">
        <f>O73+P73-Q73-R73</f>
        <v>13458109</v>
      </c>
      <c r="T73" s="841"/>
      <c r="U73" s="834">
        <f t="shared" si="15"/>
        <v>13458109</v>
      </c>
      <c r="V73" s="841"/>
      <c r="W73" s="828" t="s">
        <v>185</v>
      </c>
      <c r="X73" s="835">
        <f>Input!$UW$8</f>
        <v>13458109</v>
      </c>
      <c r="Y73" s="836">
        <f t="shared" si="13"/>
        <v>0</v>
      </c>
      <c r="Z73" s="723"/>
      <c r="AA73" s="723"/>
      <c r="AB73" s="723"/>
    </row>
    <row r="74" spans="1:28" s="752" customFormat="1" ht="13.8" thickTop="1">
      <c r="A74" s="460">
        <v>57</v>
      </c>
      <c r="B74" s="823" t="s">
        <v>472</v>
      </c>
      <c r="C74" s="823"/>
      <c r="D74" s="762">
        <f>Input!$OJ$8</f>
        <v>0</v>
      </c>
      <c r="E74" s="762">
        <f>Input!$OK$8</f>
        <v>0</v>
      </c>
      <c r="F74" s="762">
        <f>Input!$OL$8</f>
        <v>15658968</v>
      </c>
      <c r="G74" s="762">
        <f>Input!$OM$8</f>
        <v>0</v>
      </c>
      <c r="H74" s="762">
        <f>Input!$ON$8</f>
        <v>0</v>
      </c>
      <c r="I74" s="762">
        <f>Input!$OO$8</f>
        <v>0</v>
      </c>
      <c r="J74" s="762">
        <f>Input!$OP$8</f>
        <v>0</v>
      </c>
      <c r="K74" s="762">
        <f>Input!$OQ$8</f>
        <v>0</v>
      </c>
      <c r="L74" s="762">
        <f>Input!$OR$8</f>
        <v>0</v>
      </c>
      <c r="M74" s="723">
        <f t="shared" si="12"/>
        <v>15658968</v>
      </c>
      <c r="O74" s="492"/>
      <c r="P74" s="842">
        <f>Input!$TT$8</f>
        <v>342364</v>
      </c>
      <c r="Q74" s="843"/>
      <c r="R74" s="844"/>
      <c r="S74" s="845">
        <f>SUM(S65:S73)</f>
        <v>2001957310</v>
      </c>
      <c r="T74" s="844"/>
      <c r="U74" s="834">
        <f t="shared" si="15"/>
        <v>15658968</v>
      </c>
      <c r="V74" s="844"/>
      <c r="W74" s="828" t="s">
        <v>186</v>
      </c>
      <c r="X74" s="835">
        <f>Input!$UX$8</f>
        <v>15658968</v>
      </c>
      <c r="Y74" s="836">
        <f t="shared" si="13"/>
        <v>0</v>
      </c>
      <c r="Z74" s="723"/>
      <c r="AA74" s="723"/>
      <c r="AB74" s="723"/>
    </row>
    <row r="75" spans="1:28" s="752" customFormat="1">
      <c r="A75" s="460">
        <v>58</v>
      </c>
      <c r="B75" s="846" t="s">
        <v>602</v>
      </c>
      <c r="C75" s="846"/>
      <c r="D75" s="762">
        <f>Input!$OS$8</f>
        <v>461388</v>
      </c>
      <c r="E75" s="762">
        <f>Input!$OT$8</f>
        <v>9429979</v>
      </c>
      <c r="F75" s="762">
        <f>Input!$OU$8</f>
        <v>342364</v>
      </c>
      <c r="G75" s="762">
        <f>Input!$OV$8</f>
        <v>7620760</v>
      </c>
      <c r="H75" s="762">
        <f>Input!$OW$8</f>
        <v>0</v>
      </c>
      <c r="I75" s="762">
        <f>Input!$OX$8</f>
        <v>0</v>
      </c>
      <c r="J75" s="762">
        <f>Input!$OY$8</f>
        <v>0</v>
      </c>
      <c r="K75" s="762">
        <f>Input!$OZ$8</f>
        <v>0</v>
      </c>
      <c r="L75" s="762">
        <f>Input!$PA$8</f>
        <v>0</v>
      </c>
      <c r="M75" s="723">
        <f t="shared" si="12"/>
        <v>17854491</v>
      </c>
      <c r="O75" s="492"/>
      <c r="P75" s="492">
        <f>SUM(P65:P74)</f>
        <v>17854491</v>
      </c>
      <c r="Q75" s="843" t="s">
        <v>672</v>
      </c>
      <c r="R75" s="844"/>
      <c r="S75" s="847"/>
      <c r="T75" s="844"/>
      <c r="U75" s="834">
        <f t="shared" si="15"/>
        <v>17854491</v>
      </c>
      <c r="V75" s="844"/>
      <c r="W75" s="828" t="s">
        <v>673</v>
      </c>
      <c r="X75" s="848">
        <f>M93*-1</f>
        <v>102585352</v>
      </c>
      <c r="Y75" s="836">
        <f>X75+M93</f>
        <v>0</v>
      </c>
      <c r="Z75" s="849"/>
      <c r="AA75" s="849"/>
      <c r="AB75" s="849"/>
    </row>
    <row r="76" spans="1:28" s="752" customFormat="1" ht="13.8" thickBot="1">
      <c r="A76" s="460">
        <v>59</v>
      </c>
      <c r="B76" s="850" t="s">
        <v>603</v>
      </c>
      <c r="C76" s="850"/>
      <c r="D76" s="851">
        <f>Input!$PB$8</f>
        <v>208</v>
      </c>
      <c r="E76" s="851">
        <f>Input!$PC$8</f>
        <v>1558577</v>
      </c>
      <c r="F76" s="851">
        <f>Input!$PD$8</f>
        <v>380233</v>
      </c>
      <c r="G76" s="851">
        <f>Input!$PE$8</f>
        <v>6003</v>
      </c>
      <c r="H76" s="851">
        <f>Input!$PF$8</f>
        <v>536747</v>
      </c>
      <c r="I76" s="851">
        <f>Input!$PG$8</f>
        <v>0</v>
      </c>
      <c r="J76" s="851">
        <f>Input!$PH$8</f>
        <v>0</v>
      </c>
      <c r="K76" s="851">
        <f>Input!$PI$8</f>
        <v>0</v>
      </c>
      <c r="L76" s="851">
        <f>Input!$PJ$8</f>
        <v>0</v>
      </c>
      <c r="M76" s="723">
        <f t="shared" si="12"/>
        <v>2481768</v>
      </c>
      <c r="O76" s="492"/>
      <c r="P76" s="852" t="str">
        <f>IF(P75&lt;&gt;M75,"Out of Balance","Balanced")</f>
        <v>Balanced</v>
      </c>
      <c r="Q76" s="1213" t="s">
        <v>674</v>
      </c>
      <c r="R76" s="1214"/>
      <c r="S76" s="853">
        <f>Input!$UM$8</f>
        <v>167771771</v>
      </c>
      <c r="T76" s="492"/>
      <c r="U76" s="854">
        <f t="shared" si="15"/>
        <v>1945021</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342861819</v>
      </c>
      <c r="E77" s="769">
        <f t="shared" si="17"/>
        <v>1319627290</v>
      </c>
      <c r="F77" s="769">
        <f t="shared" si="17"/>
        <v>16381565</v>
      </c>
      <c r="G77" s="769">
        <f t="shared" si="17"/>
        <v>350443021</v>
      </c>
      <c r="H77" s="769">
        <f t="shared" si="17"/>
        <v>630063</v>
      </c>
      <c r="I77" s="769">
        <f t="shared" si="17"/>
        <v>0</v>
      </c>
      <c r="J77" s="769">
        <f t="shared" si="17"/>
        <v>2671071</v>
      </c>
      <c r="K77" s="769">
        <f t="shared" si="17"/>
        <v>0</v>
      </c>
      <c r="L77" s="769">
        <f t="shared" si="17"/>
        <v>0</v>
      </c>
      <c r="M77" s="769">
        <f t="shared" si="12"/>
        <v>2032614829</v>
      </c>
      <c r="O77" s="320"/>
      <c r="P77" s="492"/>
      <c r="Q77" s="859" t="s">
        <v>676</v>
      </c>
      <c r="R77" s="860"/>
      <c r="S77" s="861">
        <f>Input!$UN$8</f>
        <v>70934110</v>
      </c>
      <c r="T77" s="320"/>
      <c r="U77" s="862">
        <f>SUM(U65:U76)</f>
        <v>2031984766</v>
      </c>
      <c r="V77" s="320"/>
      <c r="W77" s="320"/>
      <c r="X77" s="863">
        <f>SUM(X65:X76)</f>
        <v>2114863922</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1905119649</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Input!$PK$8</f>
        <v>0</v>
      </c>
      <c r="E80" s="762">
        <f>Input!$PL$8</f>
        <v>0</v>
      </c>
      <c r="F80" s="762">
        <f>Input!$PM$8</f>
        <v>0</v>
      </c>
      <c r="G80" s="762">
        <f>Input!$PN$8</f>
        <v>0</v>
      </c>
      <c r="H80" s="762">
        <f>Input!$PO$8</f>
        <v>0</v>
      </c>
      <c r="I80" s="762">
        <f>Input!$PP$8</f>
        <v>0</v>
      </c>
      <c r="J80" s="762">
        <f>Input!$PQ$8</f>
        <v>-34540001</v>
      </c>
      <c r="K80" s="762">
        <f>Input!$PR$8</f>
        <v>0</v>
      </c>
      <c r="L80" s="762">
        <f>Input!$PS$8</f>
        <v>0</v>
      </c>
      <c r="M80" s="723">
        <f>D80+E80+F80+G80+H80+I80+J80+K80+L80</f>
        <v>-34540001</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Input!$PT$8</f>
        <v>-1321405</v>
      </c>
      <c r="E81" s="762">
        <f>Input!$PU$8</f>
        <v>-132918637</v>
      </c>
      <c r="F81" s="762">
        <f>Input!$PV$8</f>
        <v>7400913</v>
      </c>
      <c r="G81" s="762">
        <f>Input!$PW$8</f>
        <v>-8146137</v>
      </c>
      <c r="H81" s="762">
        <f>Input!$PX$8</f>
        <v>-85571</v>
      </c>
      <c r="I81" s="762">
        <f>Input!$PY$8</f>
        <v>96165752</v>
      </c>
      <c r="J81" s="762">
        <f>Input!$PZ$8</f>
        <v>18259473</v>
      </c>
      <c r="K81" s="762">
        <f>Input!$QA$8</f>
        <v>0</v>
      </c>
      <c r="L81" s="762">
        <f>Input!$QB$8</f>
        <v>23648990</v>
      </c>
      <c r="M81" s="723">
        <f>D81+E81+F81+G81+H81+I81+J81+K81+L81</f>
        <v>3003378</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Input!$QC$8</f>
        <v>0</v>
      </c>
      <c r="E82" s="762">
        <f>Input!$QD$8</f>
        <v>0</v>
      </c>
      <c r="F82" s="762">
        <f>Input!$QE$8</f>
        <v>0</v>
      </c>
      <c r="G82" s="762">
        <f>Input!$QF$8</f>
        <v>0</v>
      </c>
      <c r="H82" s="762">
        <f>Input!$QG$8</f>
        <v>0</v>
      </c>
      <c r="I82" s="762">
        <f>Input!$QH$8</f>
        <v>0</v>
      </c>
      <c r="J82" s="762">
        <f>Input!$QI$8</f>
        <v>8991780</v>
      </c>
      <c r="K82" s="762">
        <f>Input!$QJ$8</f>
        <v>0</v>
      </c>
      <c r="L82" s="762">
        <f>Input!$QK$8</f>
        <v>0</v>
      </c>
      <c r="M82" s="723">
        <f>D82+E82+F82+G82+H82+I82+J82+K82+L82</f>
        <v>8991780</v>
      </c>
      <c r="O82" s="492"/>
      <c r="P82" s="1218" t="str">
        <f>IF(M91&lt;0,"Footnote 11 is N/A - No Data Entry Required","Footnote 11")</f>
        <v>Footnote 11 is N/A - No Data Entry Required</v>
      </c>
      <c r="Q82" s="1219"/>
      <c r="R82" s="1219"/>
      <c r="S82" s="1220"/>
      <c r="T82" s="443"/>
      <c r="U82" s="443"/>
      <c r="V82" s="320"/>
      <c r="W82" s="320"/>
      <c r="X82" s="320"/>
      <c r="Y82" s="320"/>
      <c r="Z82" s="320"/>
      <c r="AA82" s="320"/>
      <c r="AB82" s="320"/>
    </row>
    <row r="83" spans="1:28" s="752" customFormat="1" ht="13.8" thickTop="1">
      <c r="A83" s="460">
        <v>66</v>
      </c>
      <c r="B83" s="752" t="s">
        <v>477</v>
      </c>
      <c r="D83" s="762">
        <f>Input!$QL$8</f>
        <v>-18749450</v>
      </c>
      <c r="E83" s="762">
        <f>Input!$QM$8</f>
        <v>-11414381</v>
      </c>
      <c r="F83" s="762">
        <f>Input!$QN$8</f>
        <v>-4955223</v>
      </c>
      <c r="G83" s="762">
        <f>Input!$QO$8</f>
        <v>0</v>
      </c>
      <c r="H83" s="762">
        <f>Input!$QP$8</f>
        <v>0</v>
      </c>
      <c r="I83" s="762">
        <f>Input!$QQ$8</f>
        <v>0</v>
      </c>
      <c r="J83" s="762">
        <f>Input!$QR$8</f>
        <v>0</v>
      </c>
      <c r="K83" s="762">
        <f>Input!$QS$8</f>
        <v>0</v>
      </c>
      <c r="L83" s="762">
        <f>Input!$QT$8</f>
        <v>0</v>
      </c>
      <c r="M83" s="723">
        <f>D83+E83+F83+G83+H83+I83+J83+K83+L83</f>
        <v>-35119054</v>
      </c>
      <c r="O83" s="723"/>
      <c r="P83" s="869" t="s">
        <v>678</v>
      </c>
      <c r="Q83" s="870"/>
      <c r="R83" s="871"/>
      <c r="S83" s="872" t="str">
        <f>IF(M91&lt;0,"N/A",M91)</f>
        <v>N/A</v>
      </c>
      <c r="T83" s="492"/>
      <c r="U83" s="443"/>
      <c r="V83" s="320"/>
      <c r="W83" s="320"/>
      <c r="X83" s="443"/>
      <c r="Y83" s="443"/>
      <c r="Z83" s="320"/>
      <c r="AA83" s="320"/>
      <c r="AB83" s="320"/>
    </row>
    <row r="84" spans="1:28" s="752" customFormat="1">
      <c r="A84" s="460">
        <v>67</v>
      </c>
      <c r="B84" s="858" t="s">
        <v>155</v>
      </c>
      <c r="C84" s="858"/>
      <c r="D84" s="769">
        <f t="shared" ref="D84:L84" si="18">SUM(D80:D83)</f>
        <v>-20070855</v>
      </c>
      <c r="E84" s="769">
        <f t="shared" si="18"/>
        <v>-144333018</v>
      </c>
      <c r="F84" s="769">
        <f t="shared" si="18"/>
        <v>2445690</v>
      </c>
      <c r="G84" s="769">
        <f t="shared" si="18"/>
        <v>-8146137</v>
      </c>
      <c r="H84" s="769">
        <f t="shared" si="18"/>
        <v>-85571</v>
      </c>
      <c r="I84" s="769">
        <f t="shared" si="18"/>
        <v>96165752</v>
      </c>
      <c r="J84" s="769">
        <f t="shared" si="18"/>
        <v>-7288748</v>
      </c>
      <c r="K84" s="769">
        <f t="shared" si="18"/>
        <v>0</v>
      </c>
      <c r="L84" s="769">
        <f t="shared" si="18"/>
        <v>23648990</v>
      </c>
      <c r="M84" s="769">
        <f>D84+E84+F84+G84+H84+I84+J84+K84+L84</f>
        <v>-57663897</v>
      </c>
      <c r="O84" s="723"/>
      <c r="P84" s="873" t="s">
        <v>679</v>
      </c>
      <c r="Q84" s="492"/>
      <c r="R84" s="492"/>
      <c r="S84" s="874">
        <f>Input!$UY$8</f>
        <v>0</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t="str">
        <f>IF(M91&lt;0,"",S83-S84)</f>
        <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Input!$QU$8</f>
        <v>0</v>
      </c>
      <c r="E87" s="762">
        <f>Input!$QV$8</f>
        <v>-101440882</v>
      </c>
      <c r="F87" s="762">
        <f>Input!$QW$8</f>
        <v>0</v>
      </c>
      <c r="G87" s="762">
        <f>Input!$QX$8</f>
        <v>-1</v>
      </c>
      <c r="H87" s="762">
        <f>Input!$QY$8</f>
        <v>0</v>
      </c>
      <c r="I87" s="762">
        <f>Input!$QZ$8</f>
        <v>-98653840</v>
      </c>
      <c r="J87" s="762">
        <f>Input!$RA$8</f>
        <v>0</v>
      </c>
      <c r="K87" s="762">
        <f>Input!$RB$8</f>
        <v>0</v>
      </c>
      <c r="L87" s="762">
        <f>Input!$RC$8</f>
        <v>0</v>
      </c>
      <c r="M87" s="723">
        <f>D87+E87+F87+G87+H87+I87+J87+K87+L87</f>
        <v>-200094723</v>
      </c>
      <c r="O87" s="320"/>
      <c r="P87" s="873" t="s">
        <v>681</v>
      </c>
      <c r="Q87" s="320"/>
      <c r="R87" s="492"/>
      <c r="S87" s="878">
        <f>Input!$UZ$8</f>
        <v>0</v>
      </c>
      <c r="T87" s="320"/>
      <c r="U87" s="320"/>
      <c r="V87" s="320"/>
      <c r="W87" s="320"/>
      <c r="X87" s="443"/>
      <c r="Y87" s="443"/>
      <c r="Z87" s="320"/>
      <c r="AA87" s="320"/>
      <c r="AB87" s="320"/>
    </row>
    <row r="88" spans="1:28" s="752" customFormat="1">
      <c r="A88" s="460">
        <v>71</v>
      </c>
      <c r="B88" s="752" t="s">
        <v>480</v>
      </c>
      <c r="D88" s="762">
        <f>Input!$RD$8</f>
        <v>0</v>
      </c>
      <c r="E88" s="762">
        <f>Input!$RE$8</f>
        <v>0</v>
      </c>
      <c r="F88" s="762">
        <f>Input!$RF$8</f>
        <v>0</v>
      </c>
      <c r="G88" s="762">
        <f>Input!$RG$8</f>
        <v>0</v>
      </c>
      <c r="H88" s="762">
        <f>Input!$RH$8</f>
        <v>0</v>
      </c>
      <c r="I88" s="762">
        <f>Input!$RI$8</f>
        <v>46142799</v>
      </c>
      <c r="J88" s="762">
        <f>Input!$RJ$8</f>
        <v>0</v>
      </c>
      <c r="K88" s="762">
        <f>Input!$RK$8</f>
        <v>0</v>
      </c>
      <c r="L88" s="762">
        <f>Input!$RL$8</f>
        <v>0</v>
      </c>
      <c r="M88" s="723">
        <f>D88+E88+F88+G88+H88+I88+J88+K88+L88</f>
        <v>46142799</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0</v>
      </c>
      <c r="E89" s="769">
        <f t="shared" si="19"/>
        <v>-101440882</v>
      </c>
      <c r="F89" s="769">
        <f t="shared" si="19"/>
        <v>0</v>
      </c>
      <c r="G89" s="769">
        <f t="shared" si="19"/>
        <v>-1</v>
      </c>
      <c r="H89" s="769">
        <f t="shared" si="19"/>
        <v>0</v>
      </c>
      <c r="I89" s="769">
        <f t="shared" si="19"/>
        <v>-52511041</v>
      </c>
      <c r="J89" s="769">
        <f t="shared" si="19"/>
        <v>0</v>
      </c>
      <c r="K89" s="769">
        <f t="shared" si="19"/>
        <v>0</v>
      </c>
      <c r="L89" s="769">
        <f t="shared" si="19"/>
        <v>0</v>
      </c>
      <c r="M89" s="769">
        <f>D89+E89+F89+G89+H89+I89+J89+K89+L89</f>
        <v>-153951924</v>
      </c>
      <c r="O89" s="320"/>
      <c r="P89" s="873" t="s">
        <v>683</v>
      </c>
      <c r="Q89" s="320"/>
      <c r="R89" s="320"/>
      <c r="S89" s="875" t="str">
        <f>IFERROR(S85-S87,"")</f>
        <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-8281797</v>
      </c>
      <c r="E91" s="769">
        <f t="shared" si="20"/>
        <v>-91864367</v>
      </c>
      <c r="F91" s="769">
        <f t="shared" si="20"/>
        <v>10956061</v>
      </c>
      <c r="G91" s="769">
        <f t="shared" si="20"/>
        <v>7814841</v>
      </c>
      <c r="H91" s="769">
        <f t="shared" si="20"/>
        <v>-515341</v>
      </c>
      <c r="I91" s="769">
        <f t="shared" si="20"/>
        <v>45759780</v>
      </c>
      <c r="J91" s="769">
        <f t="shared" si="20"/>
        <v>-9105236</v>
      </c>
      <c r="K91" s="769">
        <f t="shared" si="20"/>
        <v>0</v>
      </c>
      <c r="L91" s="769">
        <f>L63-L77+L84+L89</f>
        <v>23230841</v>
      </c>
      <c r="M91" s="769">
        <f>D91+E91+F91+G91+H91+I91+J91+K91+L91</f>
        <v>-22005218</v>
      </c>
      <c r="O91" s="320"/>
      <c r="P91" s="881" t="s">
        <v>684</v>
      </c>
      <c r="Q91" s="882"/>
      <c r="R91" s="882"/>
      <c r="S91" s="883" t="str">
        <f>IFERROR((S89+S87)-S85,"")</f>
        <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Input!$RM$8</f>
        <v>0</v>
      </c>
      <c r="E93" s="762">
        <f>Input!$RN$8</f>
        <v>0</v>
      </c>
      <c r="F93" s="762">
        <f>Input!$RO$8</f>
        <v>0</v>
      </c>
      <c r="G93" s="762">
        <f>Input!$RP$8</f>
        <v>0</v>
      </c>
      <c r="H93" s="762">
        <f>Input!$RQ$8</f>
        <v>0</v>
      </c>
      <c r="I93" s="762">
        <f>Input!$RR$8</f>
        <v>0</v>
      </c>
      <c r="J93" s="762">
        <f>Input!$RS$8</f>
        <v>0</v>
      </c>
      <c r="K93" s="762">
        <f>Input!$RT$8</f>
        <v>0</v>
      </c>
      <c r="L93" s="762">
        <f>Input!$RU$8</f>
        <v>-102585352</v>
      </c>
      <c r="M93" s="723">
        <f>D93+E93+F93+G93+H93+I93+J93+K93+L93</f>
        <v>-102585352</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Input!$RV$8</f>
        <v>0</v>
      </c>
      <c r="E94" s="762">
        <f>Input!$RW$8</f>
        <v>0</v>
      </c>
      <c r="F94" s="762">
        <f>Input!$RX$8</f>
        <v>0</v>
      </c>
      <c r="G94" s="762">
        <f>Input!$RY$8</f>
        <v>0</v>
      </c>
      <c r="H94" s="762">
        <f>Input!$RZ$8</f>
        <v>0</v>
      </c>
      <c r="I94" s="762">
        <f>Input!$SA$8</f>
        <v>0</v>
      </c>
      <c r="J94" s="762">
        <f>Input!$SB$8</f>
        <v>0</v>
      </c>
      <c r="K94" s="762">
        <f>Input!$SC$8</f>
        <v>0</v>
      </c>
      <c r="L94" s="762">
        <f>Input!$SD$8</f>
        <v>0</v>
      </c>
      <c r="M94" s="723">
        <f>D94+E94+F94+G94+H94+I94+J94+K94+L94</f>
        <v>0</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Input!$SE$8</f>
        <v>0</v>
      </c>
      <c r="E95" s="762">
        <f>Input!$SF$8</f>
        <v>0</v>
      </c>
      <c r="F95" s="762">
        <f>Input!$SG$8</f>
        <v>0</v>
      </c>
      <c r="G95" s="762">
        <f>Input!$SH$8</f>
        <v>0</v>
      </c>
      <c r="H95" s="762">
        <f>Input!$SI$8</f>
        <v>0</v>
      </c>
      <c r="I95" s="762">
        <f>Input!$SJ$8</f>
        <v>0</v>
      </c>
      <c r="J95" s="762">
        <f>Input!$SK$8</f>
        <v>0</v>
      </c>
      <c r="K95" s="762">
        <f>Input!$SL$8</f>
        <v>0</v>
      </c>
      <c r="L95" s="762">
        <f>Input!$SM$8</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Input!$SN$8</f>
        <v>0</v>
      </c>
      <c r="E96" s="762">
        <f>Input!$SO$8</f>
        <v>0</v>
      </c>
      <c r="F96" s="762">
        <f>Input!$SP$8</f>
        <v>0</v>
      </c>
      <c r="G96" s="762">
        <f>Input!$SQ$8</f>
        <v>0</v>
      </c>
      <c r="H96" s="762">
        <f>Input!$SR$8</f>
        <v>0</v>
      </c>
      <c r="I96" s="762">
        <f>Input!$SS$8</f>
        <v>0</v>
      </c>
      <c r="J96" s="762">
        <f>Input!$ST$8</f>
        <v>0</v>
      </c>
      <c r="K96" s="762">
        <f>Input!$SU$8</f>
        <v>0</v>
      </c>
      <c r="L96" s="762">
        <f>Input!$SV$8</f>
        <v>0</v>
      </c>
      <c r="M96" s="723">
        <f>D96+E96+F96+G96+H96+I96+J96+K96+L96</f>
        <v>0</v>
      </c>
      <c r="O96" s="884"/>
      <c r="P96" s="320"/>
      <c r="Q96" s="320"/>
      <c r="R96" s="320"/>
      <c r="S96" s="320"/>
      <c r="Y96" s="320"/>
      <c r="Z96" s="320"/>
      <c r="AA96" s="320"/>
      <c r="AB96" s="320"/>
    </row>
    <row r="97" spans="1:28" s="752" customFormat="1">
      <c r="A97" s="460">
        <v>79</v>
      </c>
      <c r="B97" s="320" t="s">
        <v>486</v>
      </c>
      <c r="C97" s="320"/>
      <c r="D97" s="762">
        <f>Input!$SW$8</f>
        <v>0</v>
      </c>
      <c r="E97" s="762">
        <f>Input!$SX$8</f>
        <v>0</v>
      </c>
      <c r="F97" s="762">
        <f>Input!$SY$8</f>
        <v>0</v>
      </c>
      <c r="G97" s="762">
        <f>Input!$SZ$8</f>
        <v>0</v>
      </c>
      <c r="H97" s="762">
        <f>Input!$TA$8</f>
        <v>0</v>
      </c>
      <c r="I97" s="762">
        <f>Input!$TB$8</f>
        <v>0</v>
      </c>
      <c r="J97" s="762">
        <f>Input!$TC$8</f>
        <v>0</v>
      </c>
      <c r="K97" s="762">
        <f>Input!$TD$8</f>
        <v>0</v>
      </c>
      <c r="L97" s="762">
        <f>Input!$TE$8</f>
        <v>52394492</v>
      </c>
      <c r="M97" s="723">
        <f>D97+E97+F97+G97+H97+I97+J97+K97+L97</f>
        <v>52394492</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-8281797</v>
      </c>
      <c r="E98" s="886">
        <f t="shared" si="21"/>
        <v>-91864367</v>
      </c>
      <c r="F98" s="886">
        <f t="shared" si="21"/>
        <v>10956061</v>
      </c>
      <c r="G98" s="886">
        <f t="shared" si="21"/>
        <v>7814841</v>
      </c>
      <c r="H98" s="886">
        <f t="shared" si="21"/>
        <v>-515341</v>
      </c>
      <c r="I98" s="886">
        <f t="shared" si="21"/>
        <v>45759780</v>
      </c>
      <c r="J98" s="886">
        <f t="shared" si="21"/>
        <v>-9105236</v>
      </c>
      <c r="K98" s="886">
        <f t="shared" si="21"/>
        <v>0</v>
      </c>
      <c r="L98" s="886">
        <f t="shared" si="21"/>
        <v>-26960019</v>
      </c>
      <c r="M98" s="886">
        <f>SUM(M91:M97)</f>
        <v>-72196078</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4" t="str">
        <f>Input!$VC$8</f>
        <v>Scott Barnett</v>
      </c>
      <c r="Q103" s="1225"/>
      <c r="R103" s="1224" t="str">
        <f>Input!$VD$8</f>
        <v>713-500-4915</v>
      </c>
      <c r="S103" s="1225"/>
      <c r="T103" s="320"/>
      <c r="U103" s="1226" t="str">
        <f>HYPERLINK("Mailto:"&amp;Input!$VE$8,Input!$VE$8)</f>
        <v>Scott.Barnett@uth.tmc.edu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Input!$TF$8</f>
        <v>-72196078</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IF($L$123&lt;&gt;Input!$F$8,"Out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670559997</v>
      </c>
      <c r="E110" s="723">
        <f>SUM($E$10:$E$14)+SUM($E$19:$E$28)+SUM($E$50)+$E$53+SUM($E$56:$E$61)+SUM($E$65:$E$76)+SUM($E$80:$E$83)+SUM($E$87:$E$88)+SUM($E$93:$E$97)+SUM($E$32:$E$41)+$E$47</f>
        <v>2547342493</v>
      </c>
      <c r="F110" s="723">
        <f>SUM($F$10:$F$14)+SUM($F$19:$F$28)+SUM($F$50)+$F$53+SUM($F$56:$F$61)+SUM($F$65:$F$76)+SUM($F$80:$F$83)+SUM($F$87:$F$88)+SUM($F$93:$F$97)+SUM($F$32:$F$41)+$F$47</f>
        <v>43719191</v>
      </c>
      <c r="G110" s="723">
        <f>SUM($G$10:$G$14)+SUM($G$19:$G$28)+SUM($G$50)+$G$53+SUM($G$56:$G$61)+SUM($G$65:$G$76)+SUM($G$80:$G$83)+SUM($G$87:$G$88)+SUM($G$93:$G$97)+SUM($G$32:$G$41)+$G$47</f>
        <v>708700883</v>
      </c>
      <c r="H110" s="723">
        <f>SUM($H$10:$H$14)+SUM($H$19:$H$28)+SUM($H$50)+$H$53+SUM($H$56:$H$61)+SUM($H$65:$H$76)+SUM($H$80:$H$83)+SUM($H$87:$H$88)+SUM($H$93:$H$97)+SUM($H$32:$H$41)+$H$47</f>
        <v>744785</v>
      </c>
      <c r="I110" s="723">
        <f>SUM($I$10:$I$14)+SUM($I$19:$I$28)+SUM($I$50)+$I$53+SUM($I$56:$I$61)+SUM($I$65:$I$76)+SUM($I$80:$I$83)+SUM($I$87:$I$88)+SUM($I$93:$I$97)+SUM($I$32:$I$41)+$I$47</f>
        <v>45759780</v>
      </c>
      <c r="J110" s="723">
        <f>SUM($J$10:$J$14)+SUM($J$19:$J$28)+SUM($J$50)+$J$53+SUM($J$56:$J$61)+SUM($J$65:$J$76)+SUM($J$80:$J$83)+SUM($J$87:$J$88)+SUM($J$93:$J$97)+SUM($J$32:$J$41)+$J$47</f>
        <v>-3763094</v>
      </c>
      <c r="K110" s="723">
        <f>SUM($K$10:$K$14)+SUM($K$19:$K$28)+SUM($K$50)+$K$53+SUM($K$56:$K$61)+SUM($K$65:$K$76)+SUM($K$80:$K$83)+SUM($K$87:$K$88)+SUM($K$93:$K$97)+SUM($K$32:$K$41)+$K$47</f>
        <v>0</v>
      </c>
      <c r="L110" s="723">
        <f>SUM($L$10:$L$14)+SUM($L$19:$L$28)+SUM($L$50)+$L$53+SUM($L$56:$L$61)+SUM($L$65:$L$76)+SUM($L$80:$L$83)+SUM($L$87:$L$88)+SUM($L$93:$L$97)+SUM($L$32:$L$41)+$L$47</f>
        <v>-26960019</v>
      </c>
    </row>
    <row r="111" spans="1:28" s="320" customFormat="1">
      <c r="A111" s="322"/>
      <c r="L111" s="723">
        <f>SUM($D$110:$L$110)</f>
        <v>3986104016</v>
      </c>
    </row>
    <row r="112" spans="1:28" s="320" customFormat="1">
      <c r="A112" s="322"/>
      <c r="J112" s="320" t="s">
        <v>690</v>
      </c>
      <c r="L112" s="723">
        <f>$M$105</f>
        <v>-72196078</v>
      </c>
    </row>
    <row r="113" spans="1:12" s="320" customFormat="1">
      <c r="A113" s="322"/>
      <c r="J113" s="320" t="s">
        <v>691</v>
      </c>
      <c r="L113" s="492">
        <f>$Q$32</f>
        <v>73636026</v>
      </c>
    </row>
    <row r="114" spans="1:12" s="320" customFormat="1">
      <c r="A114" s="322"/>
      <c r="J114" s="320" t="s">
        <v>691</v>
      </c>
      <c r="L114" s="492">
        <f>$R$34</f>
        <v>-1839654</v>
      </c>
    </row>
    <row r="115" spans="1:12" s="320" customFormat="1">
      <c r="A115" s="322"/>
      <c r="J115" s="320" t="s">
        <v>521</v>
      </c>
      <c r="L115" s="492">
        <f>SUM($P$65:$P$74)</f>
        <v>17854491</v>
      </c>
    </row>
    <row r="116" spans="1:12" s="320" customFormat="1">
      <c r="A116" s="322"/>
      <c r="J116" s="320" t="s">
        <v>692</v>
      </c>
      <c r="L116" s="492">
        <f>$S$76+$S$77</f>
        <v>238705881</v>
      </c>
    </row>
    <row r="117" spans="1:12" s="320" customFormat="1">
      <c r="A117" s="322"/>
      <c r="J117" s="320" t="s">
        <v>693</v>
      </c>
      <c r="L117" s="492">
        <f>SUM($Q$65:$Q$73)</f>
        <v>9092127</v>
      </c>
    </row>
    <row r="118" spans="1:12" s="320" customFormat="1">
      <c r="A118" s="322"/>
      <c r="J118" s="320" t="s">
        <v>694</v>
      </c>
      <c r="L118" s="492">
        <f>SUM($R$65:$R$73)</f>
        <v>317905</v>
      </c>
    </row>
    <row r="119" spans="1:12" s="320" customFormat="1">
      <c r="A119" s="322"/>
      <c r="J119" s="320" t="s">
        <v>695</v>
      </c>
      <c r="L119" s="492">
        <f>SUM($X$65:$X$74)</f>
        <v>2012278570</v>
      </c>
    </row>
    <row r="120" spans="1:12" s="320" customFormat="1">
      <c r="A120" s="322"/>
      <c r="J120" s="320" t="s">
        <v>696</v>
      </c>
      <c r="L120" s="492">
        <f>$S$84</f>
        <v>0</v>
      </c>
    </row>
    <row r="121" spans="1:12" s="320" customFormat="1">
      <c r="A121" s="322"/>
      <c r="J121" s="320" t="s">
        <v>696</v>
      </c>
      <c r="L121" s="492">
        <f>$S$87</f>
        <v>0</v>
      </c>
    </row>
    <row r="122" spans="1:12" s="320" customFormat="1">
      <c r="A122" s="322"/>
      <c r="J122" s="320" t="s">
        <v>697</v>
      </c>
      <c r="L122" s="443">
        <f>VLOOKUP(B2,Names!$B$10:$C$90,2,FALSE)</f>
        <v>11618</v>
      </c>
    </row>
    <row r="123" spans="1:12">
      <c r="L123" s="898">
        <f>SUM($L$111:$L$122)</f>
        <v>6263964902</v>
      </c>
    </row>
  </sheetData>
  <mergeCells count="27">
    <mergeCell ref="Q76:R76"/>
    <mergeCell ref="O60:S60"/>
    <mergeCell ref="W61:W64"/>
    <mergeCell ref="P105:V106"/>
    <mergeCell ref="P82:S82"/>
    <mergeCell ref="P100:V100"/>
    <mergeCell ref="P103:Q103"/>
    <mergeCell ref="R103:S103"/>
    <mergeCell ref="U103:V103"/>
    <mergeCell ref="R61:R64"/>
    <mergeCell ref="S61:S64"/>
    <mergeCell ref="X61:X64"/>
    <mergeCell ref="Y61:Y64"/>
    <mergeCell ref="U61:U64"/>
    <mergeCell ref="W60:Y60"/>
    <mergeCell ref="U19:Y19"/>
    <mergeCell ref="G64:K64"/>
    <mergeCell ref="P10:P11"/>
    <mergeCell ref="O61:O64"/>
    <mergeCell ref="P61:P64"/>
    <mergeCell ref="Q61:Q64"/>
    <mergeCell ref="O19:S19"/>
    <mergeCell ref="B2:F2"/>
    <mergeCell ref="B3:F3"/>
    <mergeCell ref="B4:F4"/>
    <mergeCell ref="B6:M6"/>
    <mergeCell ref="P4:Q4"/>
  </mergeCells>
  <conditionalFormatting sqref="D98:L98">
    <cfRule type="cellIs" dxfId="347" priority="15" stopIfTrue="1" operator="notEqual">
      <formula>#REF!</formula>
    </cfRule>
  </conditionalFormatting>
  <conditionalFormatting sqref="D99:M99">
    <cfRule type="cellIs" dxfId="346" priority="21" stopIfTrue="1" operator="notEqual">
      <formula>#REF!</formula>
    </cfRule>
  </conditionalFormatting>
  <conditionalFormatting sqref="G64:K64">
    <cfRule type="expression" dxfId="345" priority="14">
      <formula>$R$98&lt;&gt;0</formula>
    </cfRule>
  </conditionalFormatting>
  <conditionalFormatting sqref="M15">
    <cfRule type="cellIs" dxfId="344" priority="16" stopIfTrue="1" operator="notEqual">
      <formula>SUM($M$10:$M$14)</formula>
    </cfRule>
  </conditionalFormatting>
  <conditionalFormatting sqref="M62">
    <cfRule type="cellIs" dxfId="343" priority="17" stopIfTrue="1" operator="notEqual">
      <formula>SUM($M$56:$M$61)</formula>
    </cfRule>
  </conditionalFormatting>
  <conditionalFormatting sqref="M77">
    <cfRule type="cellIs" dxfId="342" priority="20" stopIfTrue="1" operator="notEqual">
      <formula>SUM($M$65:$M$76)</formula>
    </cfRule>
  </conditionalFormatting>
  <conditionalFormatting sqref="M84">
    <cfRule type="cellIs" dxfId="341" priority="18" stopIfTrue="1" operator="notEqual">
      <formula>SUM($M$80:$M$83)</formula>
    </cfRule>
  </conditionalFormatting>
  <conditionalFormatting sqref="M89">
    <cfRule type="cellIs" dxfId="340" priority="19" stopIfTrue="1" operator="notEqual">
      <formula>SUM($M$87:$M$88)</formula>
    </cfRule>
  </conditionalFormatting>
  <conditionalFormatting sqref="O12">
    <cfRule type="expression" dxfId="339" priority="11">
      <formula>$Q$12&lt;&gt;$N$12</formula>
    </cfRule>
  </conditionalFormatting>
  <conditionalFormatting sqref="O13">
    <cfRule type="expression" dxfId="338" priority="12">
      <formula>$Q$13&lt;&gt;$N$13</formula>
    </cfRule>
  </conditionalFormatting>
  <conditionalFormatting sqref="O11:P11">
    <cfRule type="expression" dxfId="337" priority="13">
      <formula>#REF!&lt;&gt;$N$11</formula>
    </cfRule>
  </conditionalFormatting>
  <conditionalFormatting sqref="P76">
    <cfRule type="expression" dxfId="336" priority="5">
      <formula>$P$75&lt;&gt;$M$75</formula>
    </cfRule>
  </conditionalFormatting>
  <conditionalFormatting sqref="P94:P101 Q100:R100 U100:V100 S100:T102 U101 R102 S105:U106">
    <cfRule type="cellIs" dxfId="335" priority="6" stopIfTrue="1" operator="notEqual">
      <formula>#REF!</formula>
    </cfRule>
  </conditionalFormatting>
  <conditionalFormatting sqref="Q35">
    <cfRule type="expression" dxfId="334" priority="1">
      <formula>#REF!&lt;&gt;0</formula>
    </cfRule>
  </conditionalFormatting>
  <conditionalFormatting sqref="Q93:Q100 U93:W100 T95:T102 R99:S102 O93:O100 R95:R97 S95:S98 X95:AB102">
    <cfRule type="cellIs" dxfId="333" priority="57" stopIfTrue="1" operator="notEqual">
      <formula>#REF!</formula>
    </cfRule>
  </conditionalFormatting>
  <conditionalFormatting sqref="Q36:R36">
    <cfRule type="expression" dxfId="332" priority="3">
      <formula>#REF!&lt;&gt;#REF!</formula>
    </cfRule>
  </conditionalFormatting>
  <conditionalFormatting sqref="R35">
    <cfRule type="expression" dxfId="331" priority="2">
      <formula>#REF!&lt;&gt;0</formula>
    </cfRule>
  </conditionalFormatting>
  <conditionalFormatting sqref="S84 S87">
    <cfRule type="expression" dxfId="330" priority="7" stopIfTrue="1">
      <formula>$M$91&gt;=0</formula>
    </cfRule>
    <cfRule type="expression" priority="8">
      <formula>$M$91&lt;0</formula>
    </cfRule>
    <cfRule type="expression" dxfId="329" priority="33" stopIfTrue="1">
      <formula>$M$91&gt;=0</formula>
    </cfRule>
    <cfRule type="expression" priority="34">
      <formula>$M$91&lt;0</formula>
    </cfRule>
  </conditionalFormatting>
  <conditionalFormatting sqref="S91">
    <cfRule type="expression" priority="9" stopIfTrue="1">
      <formula>$N$91&lt;0</formula>
    </cfRule>
    <cfRule type="expression" dxfId="328" priority="10">
      <formula>$T$91&lt;&gt;0</formula>
    </cfRule>
    <cfRule type="expression" priority="35" stopIfTrue="1">
      <formula>$N$91&lt;0</formula>
    </cfRule>
    <cfRule type="expression" dxfId="327" priority="36">
      <formula>$T$91&lt;&gt;0</formula>
    </cfRule>
  </conditionalFormatting>
  <conditionalFormatting sqref="Y78">
    <cfRule type="expression" dxfId="326" priority="4">
      <formula>$Y$77&lt;&gt;0</formula>
    </cfRule>
  </conditionalFormatting>
  <hyperlinks>
    <hyperlink ref="O2" location="Index!A1" display="Return to Index" xr:uid="{00000000-0004-0000-20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2" style="277" customWidth="1"/>
    <col min="11" max="16384" width="9.109375" style="277"/>
  </cols>
  <sheetData>
    <row r="1" spans="1:6">
      <c r="B1" s="742" t="str">
        <f>'HSH Chts'!$A$1</f>
        <v>The University of Texas Health Science Center at Houston</v>
      </c>
      <c r="D1" s="321" t="s">
        <v>51</v>
      </c>
    </row>
    <row r="2" spans="1:6">
      <c r="B2" s="742" t="str">
        <f>'Smmy Chts'!$A$2</f>
        <v>For the Year Ended August 31, 2022</v>
      </c>
    </row>
    <row r="3" spans="1:6">
      <c r="B3" s="742" t="str">
        <f>'Smmy Chts'!$A$3</f>
        <v>Source: FY 2022 Annual Financial Report</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str">
        <f>IF('HSH FGD'!$S$83="N/A","FN11.  N/A",$B$14&amp;$B$15&amp;$B$16&amp;$B$17&amp;$B$18&amp;$B$19&amp;$B$20&amp;$B$21&amp;$B$22&amp;$B$23&amp;$B$24)</f>
        <v>FN11.  N/A</v>
      </c>
      <c r="E9" s="669"/>
    </row>
    <row r="14" spans="1:6">
      <c r="B14" s="277" t="s">
        <v>698</v>
      </c>
    </row>
    <row r="15" spans="1:6">
      <c r="A15" s="277">
        <v>75</v>
      </c>
      <c r="B15" s="669" t="str">
        <f>TEXT(IF('HSH FGD'!$M$91&lt;0,"N/A",'HSH FGD'!$M$91),"$* #,##0;$* (#,##0)")</f>
        <v>N/A</v>
      </c>
      <c r="C15" s="282"/>
      <c r="F15" s="282"/>
    </row>
    <row r="16" spans="1:6">
      <c r="B16" s="277" t="s">
        <v>699</v>
      </c>
    </row>
    <row r="17" spans="1:6">
      <c r="A17" s="277">
        <v>68</v>
      </c>
      <c r="B17" s="748" t="str">
        <f>IF(ABS('HSH FGD'!$S$84)&gt;=1000000,TEXT('HSH FGD'!$S$84/1000000,"$* #,##0.0;$* (#,##0.0)")&amp;" million",IF(ABS('HSH FGD'!$S$84)&lt;1000,TEXT('HSH FGD'!$S$84,"$* #,##0;$* (#,##0)"),TEXT('HSH FGD'!$S$84/1000,"$* #,##0;$* (#,##0)")&amp;" thousand"))</f>
        <v>$0</v>
      </c>
      <c r="C17" s="748"/>
      <c r="F17" s="748"/>
    </row>
    <row r="18" spans="1:6">
      <c r="B18" s="277" t="s">
        <v>700</v>
      </c>
    </row>
    <row r="19" spans="1:6">
      <c r="A19" s="277">
        <v>69</v>
      </c>
      <c r="B19" s="277" t="e">
        <f>IF(ABS('HSH FGD'!$S$85)&gt;=1000000,TEXT('HSH FGD'!$S$85/1000000,"$* #,##0.0;$* (#,##0.0)")&amp;" million",IF(ABS('HSH FGD'!$S$85)&lt;1000,TEXT('HSH FGD'!$S$85,"$* #,##0;$* (#,##0)"),TEXT('HSH FGD'!$S$85/1000,"$* #,##0;$* (#,##0)")&amp;" thousand"))</f>
        <v>#VALUE!</v>
      </c>
    </row>
    <row r="20" spans="1:6">
      <c r="B20" s="277" t="s">
        <v>701</v>
      </c>
    </row>
    <row r="21" spans="1:6">
      <c r="A21" s="277">
        <v>71</v>
      </c>
      <c r="B21" s="277" t="str">
        <f>IF(ABS('HSH FGD'!$S$87)&gt;=1000000,TEXT('HSH FGD'!$S$87/1000000,"$* #,##0.0;$* (#,##0.0)")&amp;" million",IF(ABS('HSH FGD'!$S$87)&lt;1000,TEXT('HSH FGD'!$S$87,"$* #,##0;$* (#,##0)"),TEXT('HSH FGD'!$S$87/1000,"$* #,##0;$* (#,##0)")&amp;" thousand"))</f>
        <v>$0</v>
      </c>
    </row>
    <row r="22" spans="1:6">
      <c r="B22" s="277" t="s">
        <v>702</v>
      </c>
    </row>
    <row r="23" spans="1:6">
      <c r="A23" s="277">
        <v>73</v>
      </c>
      <c r="B23" s="277" t="e">
        <f>IF(ABS('HSH FGD'!$S$89)&gt;=1000000,TEXT('HSH FGD'!$S$89/1000000,"$* #,##0.0;$* (#,##0.0)")&amp;" million",IF(ABS('HSH FGD'!$S$89)&lt;1000,TEXT('HSH FGD'!$S$89,"$* #,##0;$* (#,##0)"),TEXT('HSH FGD'!$S$89/1000,"$* #,##0;$* (#,##0)")&amp;" thousand"))</f>
        <v>#VALUE!</v>
      </c>
    </row>
    <row r="24" spans="1:6">
      <c r="B24" s="277" t="s">
        <v>703</v>
      </c>
    </row>
  </sheetData>
  <hyperlinks>
    <hyperlink ref="D1" location="Index!A1" display="Return to Index" xr:uid="{00000000-0004-0000-2100-000000000000}"/>
  </hyperlinks>
  <pageMargins left="0.25" right="0.25" top="0.5" bottom="0.25" header="0.5" footer="0.5"/>
  <pageSetup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9.44140625" style="277" customWidth="1"/>
    <col min="3" max="3" width="55" style="277" customWidth="1"/>
    <col min="4" max="4" width="20.109375" style="277" customWidth="1"/>
    <col min="5" max="16384" width="9.109375" style="277"/>
  </cols>
  <sheetData>
    <row r="1" spans="1:5" ht="27.75" customHeight="1">
      <c r="A1" s="989" t="s">
        <v>22</v>
      </c>
      <c r="C1" s="321" t="s">
        <v>51</v>
      </c>
    </row>
    <row r="2" spans="1:5" ht="27.75" customHeight="1">
      <c r="A2" s="990" t="str">
        <f>'Smmy Chts'!$A$2</f>
        <v>For the Year Ended August 31, 2022</v>
      </c>
    </row>
    <row r="3" spans="1:5" ht="27" customHeight="1">
      <c r="A3" s="990" t="str">
        <f>'Smmy Chts'!$A$3</f>
        <v>Source: FY 2022 Annual Financial Report</v>
      </c>
      <c r="C3" s="991" t="s">
        <v>493</v>
      </c>
    </row>
    <row r="4" spans="1:5" ht="12.9" customHeight="1">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'HSSA Sum'!A9</f>
        <v>State of Texas</v>
      </c>
      <c r="D11" s="994">
        <f>'HSSA Sum'!B15</f>
        <v>202667107</v>
      </c>
      <c r="E11" s="995">
        <f>ROUND(D11/$D$17,3)</f>
        <v>0.16600000000000001</v>
      </c>
    </row>
    <row r="12" spans="1:5" ht="12.9" customHeight="1">
      <c r="C12" s="993" t="str">
        <f>'HSSA Sum'!A17</f>
        <v>Student &amp; Parent</v>
      </c>
      <c r="D12" s="994">
        <f>'HSSA Sum'!B20</f>
        <v>55639094</v>
      </c>
      <c r="E12" s="995">
        <f t="shared" ref="E12:E15" si="0">ROUND(D12/$D$17,3)</f>
        <v>4.4999999999999998E-2</v>
      </c>
    </row>
    <row r="13" spans="1:5" ht="12.9" customHeight="1">
      <c r="C13" s="993" t="str">
        <f>'HSSA Sum'!A22</f>
        <v>Federal Government</v>
      </c>
      <c r="D13" s="994">
        <f>'HSSA Sum'!B23</f>
        <v>207996481</v>
      </c>
      <c r="E13" s="995">
        <f t="shared" si="0"/>
        <v>0.17</v>
      </c>
    </row>
    <row r="14" spans="1:5" ht="12.9" customHeight="1">
      <c r="C14" s="993" t="str">
        <f>'HSSA Sum'!A31</f>
        <v>Institutional Resources</v>
      </c>
      <c r="D14" s="994">
        <f>'HSSA Sum'!B38</f>
        <v>424421379</v>
      </c>
      <c r="E14" s="995">
        <f t="shared" si="0"/>
        <v>0.34699999999999998</v>
      </c>
    </row>
    <row r="15" spans="1:5" ht="12.9" customHeight="1">
      <c r="C15" s="996" t="s">
        <v>497</v>
      </c>
      <c r="D15" s="994">
        <f>'HSSA Sum'!B29+'HSSA Sum'!B26</f>
        <v>332331158</v>
      </c>
      <c r="E15" s="995">
        <f t="shared" si="0"/>
        <v>0.27200000000000002</v>
      </c>
    </row>
    <row r="16" spans="1:5" ht="12.9" customHeight="1">
      <c r="C16" s="991"/>
      <c r="D16" s="992"/>
    </row>
    <row r="17" spans="3:5" ht="12.9" customHeight="1">
      <c r="C17" s="997" t="s">
        <v>201</v>
      </c>
      <c r="D17" s="998">
        <f>SUM(D11:D16)</f>
        <v>1223055219</v>
      </c>
      <c r="E17" s="999">
        <f>SUM(E11:E15)</f>
        <v>1</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$1,223,055,219</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2.9" customHeight="1">
      <c r="C53" s="993" t="s">
        <v>101</v>
      </c>
      <c r="D53" s="994">
        <f>'HSSA Sum'!B10</f>
        <v>183996390</v>
      </c>
      <c r="E53" s="995">
        <f>ROUND(D53/$D$68,3)</f>
        <v>0.15</v>
      </c>
    </row>
    <row r="54" spans="3:5" ht="12.9" customHeight="1">
      <c r="C54" s="993" t="s">
        <v>510</v>
      </c>
      <c r="D54" s="994">
        <f>'HSSA Sum'!B11</f>
        <v>18670717</v>
      </c>
      <c r="E54" s="995">
        <f t="shared" ref="E54:E67" si="1">ROUND(D54/$D$68,3)</f>
        <v>1.4999999999999999E-2</v>
      </c>
    </row>
    <row r="55" spans="3:5" ht="12.9" customHeight="1">
      <c r="C55" s="1001"/>
      <c r="D55" s="994"/>
      <c r="E55" s="995"/>
    </row>
    <row r="56" spans="3:5" ht="12.9" customHeight="1">
      <c r="C56" s="1001" t="str">
        <f>'HSSA Sum'!A13</f>
        <v>Higher Education Fund</v>
      </c>
      <c r="D56" s="994">
        <f>'HSSA Sum'!B13</f>
        <v>0</v>
      </c>
      <c r="E56" s="995">
        <f t="shared" si="1"/>
        <v>0</v>
      </c>
    </row>
    <row r="57" spans="3:5" ht="12.9" customHeight="1">
      <c r="C57" s="1001" t="s">
        <v>511</v>
      </c>
      <c r="D57" s="994">
        <f>'HSSA Sum'!B14</f>
        <v>0</v>
      </c>
      <c r="E57" s="995">
        <f t="shared" si="1"/>
        <v>0</v>
      </c>
    </row>
    <row r="58" spans="3:5" ht="12.9" customHeight="1">
      <c r="C58" s="993" t="s">
        <v>460</v>
      </c>
      <c r="D58" s="994">
        <f>'HSSA Sum'!B20</f>
        <v>55639094</v>
      </c>
      <c r="E58" s="995">
        <f t="shared" si="1"/>
        <v>4.4999999999999998E-2</v>
      </c>
    </row>
    <row r="59" spans="3:5" ht="12.9" customHeight="1">
      <c r="C59" s="993" t="s">
        <v>512</v>
      </c>
      <c r="D59" s="994">
        <f>'HSSA Sum'!B23</f>
        <v>207996481</v>
      </c>
      <c r="E59" s="995">
        <f t="shared" si="1"/>
        <v>0.17</v>
      </c>
    </row>
    <row r="60" spans="3:5" ht="12.9" customHeight="1">
      <c r="C60" s="993" t="s">
        <v>513</v>
      </c>
      <c r="D60" s="994">
        <f>'HSSA Sum'!B32</f>
        <v>55696429</v>
      </c>
      <c r="E60" s="995">
        <f t="shared" si="1"/>
        <v>4.5999999999999999E-2</v>
      </c>
    </row>
    <row r="61" spans="3:5" ht="12.9" customHeight="1">
      <c r="C61" s="993" t="s">
        <v>514</v>
      </c>
      <c r="D61" s="994">
        <f>'HSSA Sum'!B33</f>
        <v>216812826</v>
      </c>
      <c r="E61" s="995">
        <f t="shared" si="1"/>
        <v>0.17699999999999999</v>
      </c>
    </row>
    <row r="62" spans="3:5" ht="12.9" customHeight="1">
      <c r="C62" s="993" t="s">
        <v>515</v>
      </c>
      <c r="D62" s="994">
        <f>'HSSA Sum'!B34</f>
        <v>47825441</v>
      </c>
      <c r="E62" s="995">
        <f t="shared" si="1"/>
        <v>3.9E-2</v>
      </c>
    </row>
    <row r="63" spans="3:5" ht="12.9" customHeight="1">
      <c r="C63" s="993" t="s">
        <v>516</v>
      </c>
      <c r="D63" s="994">
        <f>'HSSA Sum'!B35</f>
        <v>53892737</v>
      </c>
      <c r="E63" s="995">
        <f t="shared" si="1"/>
        <v>4.3999999999999997E-2</v>
      </c>
    </row>
    <row r="64" spans="3:5" ht="12.9" customHeight="1">
      <c r="C64" s="993" t="s">
        <v>176</v>
      </c>
      <c r="D64" s="994">
        <f>'HSSA Sum'!B36</f>
        <v>5080625</v>
      </c>
      <c r="E64" s="995">
        <f t="shared" si="1"/>
        <v>4.0000000000000001E-3</v>
      </c>
    </row>
    <row r="65" spans="3:5" ht="12.9" customHeight="1">
      <c r="C65" s="993" t="s">
        <v>517</v>
      </c>
      <c r="D65" s="994">
        <f>'HSSA Sum'!B37</f>
        <v>45113321</v>
      </c>
      <c r="E65" s="995">
        <f t="shared" si="1"/>
        <v>3.6999999999999998E-2</v>
      </c>
    </row>
    <row r="66" spans="3:5" ht="12.9" customHeight="1">
      <c r="C66" s="993" t="s">
        <v>163</v>
      </c>
      <c r="D66" s="994">
        <f>'HSSA Sum'!B26</f>
        <v>332331158</v>
      </c>
      <c r="E66" s="995">
        <f t="shared" si="1"/>
        <v>0.27200000000000002</v>
      </c>
    </row>
    <row r="67" spans="3:5" ht="12.9" customHeight="1">
      <c r="C67" s="996" t="s">
        <v>497</v>
      </c>
      <c r="D67" s="994">
        <f>'HSSA Sum'!B29</f>
        <v>0</v>
      </c>
      <c r="E67" s="995">
        <f t="shared" si="1"/>
        <v>0</v>
      </c>
    </row>
    <row r="68" spans="3:5" ht="12.9" customHeight="1">
      <c r="C68" s="997" t="s">
        <v>201</v>
      </c>
      <c r="D68" s="998">
        <f>SUM(D53:D67)</f>
        <v>1223055219</v>
      </c>
      <c r="E68" s="999">
        <f>SUM(E53:E67)</f>
        <v>0.99900000000000011</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$1,223,055,219</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'HSSA Sum'!B42</f>
        <v>447297039</v>
      </c>
      <c r="E102" s="995">
        <f>ROUND(D102/$D$115,3)</f>
        <v>0.39600000000000002</v>
      </c>
    </row>
    <row r="103" spans="1:5" ht="12.9" customHeight="1">
      <c r="C103" s="1004" t="s">
        <v>179</v>
      </c>
      <c r="D103" s="994">
        <f>'HSSA Sum'!B43</f>
        <v>169090146</v>
      </c>
      <c r="E103" s="995">
        <f t="shared" ref="E103:E113" si="2">ROUND(D103/$D$115,3)</f>
        <v>0.15</v>
      </c>
    </row>
    <row r="104" spans="1:5" ht="12.9" customHeight="1">
      <c r="C104" s="1004" t="s">
        <v>180</v>
      </c>
      <c r="D104" s="994">
        <f>'HSSA Sum'!B44</f>
        <v>101179829</v>
      </c>
      <c r="E104" s="995">
        <f t="shared" si="2"/>
        <v>0.09</v>
      </c>
    </row>
    <row r="105" spans="1:5" ht="12.9" customHeight="1">
      <c r="C105" s="1004" t="s">
        <v>181</v>
      </c>
      <c r="D105" s="994">
        <f>'HSSA Sum'!B46</f>
        <v>53922284</v>
      </c>
      <c r="E105" s="995">
        <f t="shared" si="2"/>
        <v>4.8000000000000001E-2</v>
      </c>
    </row>
    <row r="106" spans="1:5" ht="12.9" customHeight="1">
      <c r="C106" s="1004" t="s">
        <v>182</v>
      </c>
      <c r="D106" s="994">
        <f>'HSSA Sum'!B47</f>
        <v>2828020</v>
      </c>
      <c r="E106" s="995">
        <f t="shared" si="2"/>
        <v>3.0000000000000001E-3</v>
      </c>
    </row>
    <row r="107" spans="1:5" ht="12.9" customHeight="1">
      <c r="C107" s="1004" t="s">
        <v>183</v>
      </c>
      <c r="D107" s="994">
        <f>'HSSA Sum'!B48</f>
        <v>63711677</v>
      </c>
      <c r="E107" s="995">
        <f t="shared" si="2"/>
        <v>5.6000000000000001E-2</v>
      </c>
    </row>
    <row r="108" spans="1:5" ht="12.9" customHeight="1">
      <c r="C108" s="1004" t="s">
        <v>519</v>
      </c>
      <c r="D108" s="994">
        <f>'HSSA Sum'!B49</f>
        <v>47092554</v>
      </c>
      <c r="E108" s="995">
        <f t="shared" si="2"/>
        <v>4.2000000000000003E-2</v>
      </c>
    </row>
    <row r="109" spans="1:5" ht="12.9" customHeight="1">
      <c r="C109" s="1004" t="s">
        <v>520</v>
      </c>
      <c r="D109" s="994">
        <f>'HSSA Sum'!B50</f>
        <v>12861287</v>
      </c>
      <c r="E109" s="995">
        <f t="shared" si="2"/>
        <v>1.0999999999999999E-2</v>
      </c>
    </row>
    <row r="110" spans="1:5" ht="12.9" customHeight="1">
      <c r="C110" s="1004" t="s">
        <v>186</v>
      </c>
      <c r="D110" s="994">
        <f>'HSSA Sum'!B51</f>
        <v>5170202</v>
      </c>
      <c r="E110" s="995">
        <f t="shared" si="2"/>
        <v>5.0000000000000001E-3</v>
      </c>
    </row>
    <row r="111" spans="1:5" ht="12.9" customHeight="1">
      <c r="C111" s="1015" t="s">
        <v>521</v>
      </c>
      <c r="D111" s="994">
        <f>'HSSA Sum'!B52</f>
        <v>17765317</v>
      </c>
      <c r="E111" s="995">
        <f t="shared" si="2"/>
        <v>1.6E-2</v>
      </c>
    </row>
    <row r="112" spans="1:5" ht="12.9" customHeight="1">
      <c r="C112" s="993" t="s">
        <v>522</v>
      </c>
      <c r="D112" s="994">
        <f>'HSSA Sum'!B53</f>
        <v>751756</v>
      </c>
      <c r="E112" s="995">
        <f t="shared" si="2"/>
        <v>1E-3</v>
      </c>
    </row>
    <row r="113" spans="3:5" ht="12.9" customHeight="1">
      <c r="C113" s="996" t="s">
        <v>523</v>
      </c>
      <c r="D113" s="994">
        <f>'HSSA Sum'!B45</f>
        <v>207378571</v>
      </c>
      <c r="E113" s="995">
        <f t="shared" si="2"/>
        <v>0.184</v>
      </c>
    </row>
    <row r="114" spans="3:5" ht="12.9" customHeight="1">
      <c r="C114" s="991"/>
      <c r="D114" s="991"/>
      <c r="E114" s="999"/>
    </row>
    <row r="115" spans="3:5" ht="12.9" customHeight="1">
      <c r="C115" s="1005" t="s">
        <v>189</v>
      </c>
      <c r="D115" s="998">
        <f>SUM(D102:D114)</f>
        <v>1129048682</v>
      </c>
      <c r="E115" s="999">
        <f>SUM(E102:E113)</f>
        <v>1.0020000000000002</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$1,129,048,682</v>
      </c>
    </row>
    <row r="137" spans="1:1" ht="12.9" customHeight="1">
      <c r="A137" s="1136"/>
    </row>
    <row r="138" spans="1:1" ht="12.9" customHeight="1"/>
    <row r="139" spans="1:1" ht="12.9" customHeight="1">
      <c r="A139" s="1006" t="s">
        <v>524</v>
      </c>
    </row>
    <row r="140" spans="1:1" ht="12.9"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C101:D101"/>
    <mergeCell ref="A136:A137"/>
    <mergeCell ref="C9:D9"/>
    <mergeCell ref="A47:A48"/>
    <mergeCell ref="A92:A93"/>
    <mergeCell ref="C100:D100"/>
  </mergeCells>
  <hyperlinks>
    <hyperlink ref="C1" location="Index!A1" display="Return to Index" xr:uid="{00000000-0004-0000-2200-000000000000}"/>
  </hyperlinks>
  <printOptions horizontalCentered="1"/>
  <pageMargins left="0.5" right="0.5" top="0.25" bottom="0.25" header="0.25" footer="0.25"/>
  <pageSetup scale="41"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ransitionEvaluation="1" transitionEntry="1">
    <tabColor indexed="13"/>
  </sheetPr>
  <dimension ref="A1:AD83"/>
  <sheetViews>
    <sheetView showGridLines="0" zoomScale="85" zoomScaleNormal="85"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2.33203125" style="277" customWidth="1"/>
    <col min="16" max="16384" width="9.109375" style="277"/>
  </cols>
  <sheetData>
    <row r="1" spans="1:15" ht="16.8" thickTop="1" thickBot="1">
      <c r="A1" s="899" t="str">
        <f>'HSSA Chts'!$A$1</f>
        <v>The University of Texas Health Science Center at San Antonio</v>
      </c>
      <c r="B1" s="754"/>
      <c r="C1" s="754"/>
      <c r="D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1007">
        <f>VLOOKUP(A1,NamesLU,2,FALSE)</f>
        <v>40</v>
      </c>
      <c r="J2" s="901"/>
      <c r="K2" s="901"/>
      <c r="L2" s="901"/>
      <c r="M2" s="901"/>
      <c r="O2" s="320"/>
    </row>
    <row r="3" spans="1:15" ht="15.75" customHeight="1">
      <c r="A3" s="900" t="str">
        <f>'Smmy Chts'!$A$3</f>
        <v>Source: FY 2022 Annual Financial Report</v>
      </c>
      <c r="B3" s="754"/>
      <c r="C3" s="754"/>
      <c r="O3" s="320"/>
    </row>
    <row r="4" spans="1:15" ht="13.5" customHeight="1">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909"/>
      <c r="C6" s="427">
        <f>VLOOKUP($G$2,FTSELU,10,FALSE)</f>
        <v>3971.78</v>
      </c>
      <c r="J6" s="910"/>
      <c r="O6" s="320"/>
    </row>
    <row r="7" spans="1:15">
      <c r="B7" s="909"/>
      <c r="C7" s="909"/>
      <c r="I7" s="446" t="s">
        <v>533</v>
      </c>
      <c r="J7" s="911"/>
      <c r="O7" s="320"/>
    </row>
    <row r="8" spans="1:15">
      <c r="A8" s="912" t="s">
        <v>151</v>
      </c>
      <c r="B8" s="912"/>
      <c r="C8" s="913"/>
      <c r="I8" s="914">
        <f>VLOOKUP($G$2,FTSELU,11,FALSE)</f>
        <v>1604.18</v>
      </c>
      <c r="J8" s="910"/>
      <c r="O8" s="320"/>
    </row>
    <row r="9" spans="1:15" ht="12.75" customHeight="1" thickBot="1">
      <c r="A9" s="279" t="s">
        <v>152</v>
      </c>
      <c r="B9" s="915"/>
      <c r="C9" s="915"/>
      <c r="J9" s="910"/>
      <c r="O9" s="320"/>
    </row>
    <row r="10" spans="1:15" ht="12.75" customHeight="1" thickTop="1">
      <c r="A10" s="277" t="s">
        <v>535</v>
      </c>
      <c r="B10" s="501">
        <f>'HSSA FGD'!M10</f>
        <v>183996390</v>
      </c>
      <c r="C10" s="501">
        <f>ROUND(B10/$C$6,0)</f>
        <v>46326</v>
      </c>
      <c r="D10" s="492">
        <f>'HSSA FGD'!F10</f>
        <v>0</v>
      </c>
      <c r="E10" s="492"/>
      <c r="F10" s="916">
        <f>B10-(SUM(D10:E10))</f>
        <v>183996390</v>
      </c>
      <c r="G10" s="917" t="s">
        <v>101</v>
      </c>
      <c r="H10" s="918"/>
      <c r="I10" s="919" t="s">
        <v>536</v>
      </c>
      <c r="J10" s="920">
        <f>ROUND(F10/$C$6,0)</f>
        <v>46326</v>
      </c>
      <c r="O10" s="320"/>
    </row>
    <row r="11" spans="1:15" ht="12.75" customHeight="1" thickBot="1">
      <c r="A11" s="277" t="s">
        <v>134</v>
      </c>
      <c r="B11" s="669">
        <f>'HSSA FGD'!M11</f>
        <v>18670717</v>
      </c>
      <c r="C11" s="669">
        <f t="shared" ref="C11:C14" si="0">ROUND(B11/$C$6,0)</f>
        <v>4701</v>
      </c>
      <c r="D11" s="921">
        <f>'HSSA FGD'!F11</f>
        <v>0</v>
      </c>
      <c r="E11" s="754"/>
      <c r="F11" s="922">
        <f t="shared" ref="F11:F14" si="1">B11-(SUM(D11:E11))</f>
        <v>18670717</v>
      </c>
      <c r="G11" s="923">
        <f>SUM(F10:F11)</f>
        <v>202667107</v>
      </c>
      <c r="H11" s="924"/>
      <c r="I11" s="925">
        <f>ROUND($G$11/$C$6,0)</f>
        <v>51027</v>
      </c>
      <c r="J11" s="926">
        <f t="shared" ref="J11:J14" si="2">ROUND(F11/$C$6,0)</f>
        <v>4701</v>
      </c>
      <c r="O11" s="320"/>
    </row>
    <row r="12" spans="1:15" ht="12.75" hidden="1" customHeight="1" thickTop="1" thickBot="1">
      <c r="A12" s="277" t="s">
        <v>537</v>
      </c>
      <c r="B12" s="669"/>
      <c r="C12" s="669"/>
      <c r="D12" s="921"/>
      <c r="E12" s="754"/>
      <c r="F12" s="927"/>
      <c r="J12" s="926"/>
      <c r="O12" s="928"/>
    </row>
    <row r="13" spans="1:15" ht="12.75" customHeight="1" thickTop="1">
      <c r="A13" s="277" t="s">
        <v>468</v>
      </c>
      <c r="B13" s="669">
        <f>'HSSA FGD'!M13</f>
        <v>0</v>
      </c>
      <c r="C13" s="669">
        <f t="shared" si="0"/>
        <v>0</v>
      </c>
      <c r="D13" s="921">
        <f>'HSSA FGD'!F13</f>
        <v>0</v>
      </c>
      <c r="E13" s="754"/>
      <c r="F13" s="929">
        <f t="shared" si="1"/>
        <v>0</v>
      </c>
      <c r="G13" s="930" t="s">
        <v>102</v>
      </c>
      <c r="H13" s="931"/>
      <c r="I13" s="417" t="s">
        <v>538</v>
      </c>
      <c r="J13" s="926">
        <f t="shared" si="2"/>
        <v>0</v>
      </c>
      <c r="O13" s="320"/>
    </row>
    <row r="14" spans="1:15" ht="12.75" customHeight="1" thickBot="1">
      <c r="A14" s="277" t="s">
        <v>135</v>
      </c>
      <c r="B14" s="669">
        <f>'HSSA FGD'!M14</f>
        <v>0</v>
      </c>
      <c r="C14" s="669">
        <f t="shared" si="0"/>
        <v>0</v>
      </c>
      <c r="D14" s="921">
        <f>'HSSA FGD'!F14</f>
        <v>0</v>
      </c>
      <c r="E14" s="754"/>
      <c r="F14" s="927">
        <f t="shared" si="1"/>
        <v>0</v>
      </c>
      <c r="G14" s="932">
        <f>SUM(F13:F14)</f>
        <v>0</v>
      </c>
      <c r="H14" s="933"/>
      <c r="I14" s="934">
        <f>ROUND($G$11/$I$8,0)</f>
        <v>126337</v>
      </c>
      <c r="J14" s="935">
        <f t="shared" si="2"/>
        <v>0</v>
      </c>
      <c r="O14" s="320"/>
    </row>
    <row r="15" spans="1:15" ht="12.75" customHeight="1" thickTop="1">
      <c r="A15" s="936" t="s">
        <v>155</v>
      </c>
      <c r="B15" s="937">
        <f>SUM(B10:B14)</f>
        <v>202667107</v>
      </c>
      <c r="C15" s="937">
        <f>SUM(C10:C14)</f>
        <v>51027</v>
      </c>
      <c r="D15" s="937">
        <f>SUM(D10:D14)</f>
        <v>0</v>
      </c>
      <c r="E15" s="937">
        <f>SUM(E10:E14)</f>
        <v>0</v>
      </c>
      <c r="F15" s="938">
        <f>SUM(F10:F14)</f>
        <v>202667107</v>
      </c>
      <c r="I15" s="345"/>
      <c r="J15" s="939">
        <f>SUM(J10:J14)</f>
        <v>51027</v>
      </c>
      <c r="O15" s="320"/>
    </row>
    <row r="16" spans="1:15">
      <c r="C16" s="277"/>
      <c r="J16" s="910"/>
      <c r="O16" s="320"/>
    </row>
    <row r="17" spans="1:15" ht="12.75" customHeight="1">
      <c r="A17" s="279" t="s">
        <v>161</v>
      </c>
      <c r="C17" s="277"/>
      <c r="J17" s="910"/>
      <c r="O17" s="320"/>
    </row>
    <row r="18" spans="1:15">
      <c r="A18" s="277" t="s">
        <v>165</v>
      </c>
      <c r="B18" s="501">
        <f>'HSSA FGD'!M29</f>
        <v>52886022</v>
      </c>
      <c r="C18" s="501">
        <f t="shared" ref="C18:C19" si="3">ROUND(B18/$C$6,0)</f>
        <v>13315</v>
      </c>
      <c r="D18" s="492">
        <f>'HSSA FGD'!$F$29</f>
        <v>0</v>
      </c>
      <c r="E18" s="492"/>
      <c r="F18" s="492">
        <f t="shared" ref="F18:F19" si="4">B18-(SUM(D18:E18))</f>
        <v>52886022</v>
      </c>
      <c r="J18" s="920">
        <f>ROUND(F18/$C$6,0)</f>
        <v>13315</v>
      </c>
      <c r="O18" s="320"/>
    </row>
    <row r="19" spans="1:15" ht="13.8" thickBot="1">
      <c r="A19" s="277" t="s">
        <v>166</v>
      </c>
      <c r="B19" s="669">
        <f>'HSSA FGD'!M42</f>
        <v>2753072</v>
      </c>
      <c r="C19" s="669">
        <f t="shared" si="3"/>
        <v>693</v>
      </c>
      <c r="D19" s="754">
        <f>'HSSA FGD'!$F$42</f>
        <v>3100750</v>
      </c>
      <c r="E19" s="754"/>
      <c r="F19" s="754">
        <f t="shared" si="4"/>
        <v>-347678</v>
      </c>
      <c r="J19" s="926">
        <f>ROUND(F19/$C$6,0)</f>
        <v>-88</v>
      </c>
      <c r="O19" s="320"/>
    </row>
    <row r="20" spans="1:15" ht="14.4" thickTop="1" thickBot="1">
      <c r="A20" s="936" t="s">
        <v>167</v>
      </c>
      <c r="B20" s="937">
        <f>SUM(B18:B19)</f>
        <v>55639094</v>
      </c>
      <c r="C20" s="937">
        <f>SUM(C18:C19)</f>
        <v>14008</v>
      </c>
      <c r="D20" s="798">
        <f>SUM(D18:D19)</f>
        <v>3100750</v>
      </c>
      <c r="E20" s="940">
        <f>SUM(E18:E19)</f>
        <v>0</v>
      </c>
      <c r="F20" s="941">
        <f>SUM(F18:F19)</f>
        <v>52538344</v>
      </c>
      <c r="G20" s="942" t="s">
        <v>539</v>
      </c>
      <c r="H20" s="943"/>
      <c r="J20" s="944">
        <f>SUM(J18:J19)</f>
        <v>13227</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'HSSA FGD'!M47</f>
        <v>207996481</v>
      </c>
      <c r="C23" s="937"/>
      <c r="D23" s="798">
        <f>'HSSA FGD'!F47</f>
        <v>0</v>
      </c>
      <c r="E23" s="940"/>
      <c r="F23" s="941">
        <f>B23-(SUM(D23:E23))</f>
        <v>207996481</v>
      </c>
      <c r="G23" s="946" t="s">
        <v>540</v>
      </c>
      <c r="H23" s="943"/>
      <c r="J23" s="947">
        <f>ROUND(F23/$C$6,0)</f>
        <v>52369</v>
      </c>
      <c r="O23" s="320"/>
    </row>
    <row r="24" spans="1:15" ht="13.8" thickTop="1">
      <c r="C24" s="277"/>
      <c r="J24" s="910"/>
      <c r="O24" s="320"/>
    </row>
    <row r="25" spans="1:15">
      <c r="A25" s="279" t="s">
        <v>163</v>
      </c>
      <c r="C25" s="277"/>
      <c r="D25" s="754"/>
      <c r="J25" s="910"/>
      <c r="O25" s="320"/>
    </row>
    <row r="26" spans="1:15">
      <c r="A26" s="936" t="s">
        <v>200</v>
      </c>
      <c r="B26" s="937">
        <f>'HSSA FGD'!M50</f>
        <v>332331158</v>
      </c>
      <c r="C26" s="937"/>
      <c r="D26" s="937">
        <f>'HSSA FGD'!F50</f>
        <v>0</v>
      </c>
      <c r="E26" s="937">
        <f>B26-D26</f>
        <v>332331158</v>
      </c>
      <c r="F26" s="937">
        <f t="shared" ref="F26" si="5">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'HSSA FGD'!M53</f>
        <v>0</v>
      </c>
      <c r="C29" s="937"/>
      <c r="D29" s="937">
        <f>'HSSA FGD'!F53</f>
        <v>0</v>
      </c>
      <c r="E29" s="937">
        <f>B29-D29</f>
        <v>0</v>
      </c>
      <c r="F29" s="937">
        <f t="shared" ref="F29" si="6">B29-(SUM(D29:E29))</f>
        <v>0</v>
      </c>
      <c r="J29" s="926"/>
      <c r="O29" s="320"/>
    </row>
    <row r="30" spans="1:15">
      <c r="C30" s="277"/>
      <c r="E30" s="754"/>
      <c r="F30" s="754"/>
      <c r="J30" s="926"/>
      <c r="O30" s="320"/>
    </row>
    <row r="31" spans="1:15">
      <c r="A31" s="279" t="s">
        <v>171</v>
      </c>
      <c r="C31" s="277"/>
      <c r="E31" s="754"/>
      <c r="F31" s="754"/>
      <c r="G31" s="400"/>
      <c r="H31" s="400"/>
      <c r="I31" s="400"/>
      <c r="J31" s="926"/>
      <c r="O31" s="320"/>
    </row>
    <row r="32" spans="1:15">
      <c r="A32" s="277" t="s">
        <v>172</v>
      </c>
      <c r="B32" s="501">
        <f>'HSSA FGD'!M56</f>
        <v>55696429</v>
      </c>
      <c r="C32" s="501"/>
      <c r="D32" s="492">
        <f>'HSSA FGD'!F56</f>
        <v>97699</v>
      </c>
      <c r="E32" s="492"/>
      <c r="F32" s="492">
        <f t="shared" ref="F32:F37" si="7">B32-(SUM(D32:E32))</f>
        <v>55598730</v>
      </c>
      <c r="J32" s="920">
        <f>ROUND(F32/$C$6,0)</f>
        <v>13998</v>
      </c>
      <c r="O32" s="320"/>
    </row>
    <row r="33" spans="1:30">
      <c r="A33" s="277" t="s">
        <v>173</v>
      </c>
      <c r="B33" s="669">
        <f>'HSSA FGD'!M57</f>
        <v>216812826</v>
      </c>
      <c r="C33" s="669"/>
      <c r="D33" s="921">
        <f>'HSSA FGD'!F57</f>
        <v>0</v>
      </c>
      <c r="E33" s="754"/>
      <c r="F33" s="754">
        <f t="shared" si="7"/>
        <v>216812826</v>
      </c>
      <c r="J33" s="926">
        <f t="shared" ref="J33:J37" si="8">ROUND(F33/$C$6,0)</f>
        <v>54588</v>
      </c>
      <c r="O33" s="320"/>
    </row>
    <row r="34" spans="1:30" ht="13.8" thickBot="1">
      <c r="A34" s="277" t="s">
        <v>174</v>
      </c>
      <c r="B34" s="669">
        <f>'HSSA FGD'!M58</f>
        <v>47825441</v>
      </c>
      <c r="C34" s="669"/>
      <c r="D34" s="921">
        <f>'HSSA FGD'!F58</f>
        <v>0</v>
      </c>
      <c r="E34" s="754"/>
      <c r="F34" s="754">
        <f t="shared" si="7"/>
        <v>47825441</v>
      </c>
      <c r="J34" s="926">
        <f t="shared" si="8"/>
        <v>12041</v>
      </c>
      <c r="O34" s="320"/>
    </row>
    <row r="35" spans="1:30" ht="13.8" thickBot="1">
      <c r="A35" s="277" t="s">
        <v>175</v>
      </c>
      <c r="B35" s="669">
        <f>'HSSA FGD'!M59</f>
        <v>53892737</v>
      </c>
      <c r="C35" s="669"/>
      <c r="D35" s="921">
        <f>'HSSA FGD'!F59</f>
        <v>0</v>
      </c>
      <c r="E35" s="754"/>
      <c r="F35" s="754">
        <f t="shared" si="7"/>
        <v>53892737</v>
      </c>
      <c r="J35" s="926">
        <f t="shared" si="8"/>
        <v>13569</v>
      </c>
      <c r="K35" s="1157"/>
      <c r="L35" s="1140"/>
      <c r="M35" s="1140"/>
      <c r="N35" s="1140"/>
      <c r="O35" s="1141"/>
    </row>
    <row r="36" spans="1:30" ht="13.8" thickBot="1">
      <c r="A36" s="277" t="s">
        <v>471</v>
      </c>
      <c r="B36" s="669">
        <f>'HSSA FGD'!M60</f>
        <v>5080625</v>
      </c>
      <c r="C36" s="669"/>
      <c r="D36" s="921">
        <f>'HSSA FGD'!F60</f>
        <v>5080625</v>
      </c>
      <c r="E36" s="754"/>
      <c r="F36" s="754">
        <f t="shared" si="7"/>
        <v>0</v>
      </c>
      <c r="J36" s="926">
        <f t="shared" si="8"/>
        <v>0</v>
      </c>
      <c r="K36" s="1157" t="s">
        <v>268</v>
      </c>
      <c r="L36" s="1140"/>
      <c r="M36" s="1140"/>
      <c r="N36" s="1140"/>
      <c r="O36" s="1141"/>
    </row>
    <row r="37" spans="1:30" ht="13.5" customHeight="1" thickBot="1">
      <c r="A37" s="538" t="s">
        <v>177</v>
      </c>
      <c r="B37" s="669">
        <f>'HSSA FGD'!M61</f>
        <v>45113321</v>
      </c>
      <c r="C37" s="669"/>
      <c r="D37" s="921">
        <f>'HSSA FGD'!F61</f>
        <v>0</v>
      </c>
      <c r="E37" s="754"/>
      <c r="F37" s="754">
        <f t="shared" si="7"/>
        <v>45113321</v>
      </c>
      <c r="G37" s="400"/>
      <c r="H37" s="400"/>
      <c r="I37" s="400"/>
      <c r="J37" s="926">
        <f t="shared" si="8"/>
        <v>11358</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424421379</v>
      </c>
      <c r="C38" s="937"/>
      <c r="D38" s="949">
        <f>SUM(D32:D37)</f>
        <v>5178324</v>
      </c>
      <c r="E38" s="949">
        <f>SUM(E32:E37)</f>
        <v>0</v>
      </c>
      <c r="F38" s="950">
        <f>SUM(F32:F37)</f>
        <v>419243055</v>
      </c>
      <c r="G38" s="1154" t="s">
        <v>171</v>
      </c>
      <c r="H38" s="1155"/>
      <c r="I38" s="951" t="s">
        <v>542</v>
      </c>
      <c r="J38" s="952">
        <f>SUM(J32:J37)</f>
        <v>105554</v>
      </c>
      <c r="K38" s="1159"/>
      <c r="L38" s="1159"/>
      <c r="M38" s="1159"/>
      <c r="N38" s="1159" t="s">
        <v>543</v>
      </c>
      <c r="O38" s="1159" t="s">
        <v>280</v>
      </c>
    </row>
    <row r="39" spans="1:30" ht="13.8" thickTop="1">
      <c r="A39" s="953" t="s">
        <v>201</v>
      </c>
      <c r="B39" s="954">
        <f>B15+B20+B23+B26+B29+B38</f>
        <v>1223055219</v>
      </c>
      <c r="C39" s="955"/>
      <c r="D39" s="954">
        <f>D15+D20+D23+D26+D29+D38</f>
        <v>8279074</v>
      </c>
      <c r="E39" s="954">
        <f>E15+E20+E23+E26+E29+E38</f>
        <v>332331158</v>
      </c>
      <c r="F39" s="956">
        <f>F38+F23+F20+F15</f>
        <v>882444987</v>
      </c>
      <c r="G39" s="1156" t="s">
        <v>271</v>
      </c>
      <c r="H39" s="1156"/>
      <c r="I39" s="957">
        <f>ROUND($G$41/$C$6,0)</f>
        <v>222179</v>
      </c>
      <c r="J39" s="958">
        <f>J15+J20+J23+J38</f>
        <v>222177</v>
      </c>
      <c r="K39" s="1159"/>
      <c r="L39" s="1159"/>
      <c r="M39" s="1159"/>
      <c r="N39" s="1159"/>
      <c r="O39" s="1159"/>
    </row>
    <row r="40" spans="1:30" ht="13.8" thickBot="1">
      <c r="C40" s="277"/>
      <c r="F40" s="320" t="s">
        <v>544</v>
      </c>
      <c r="G40" s="959">
        <f>G14*-1</f>
        <v>0</v>
      </c>
      <c r="I40" s="951" t="s">
        <v>545</v>
      </c>
      <c r="J40" s="960"/>
      <c r="K40" s="1160"/>
      <c r="L40" s="1160"/>
      <c r="M40" s="1160"/>
      <c r="N40" s="1160"/>
      <c r="O40" s="1160"/>
    </row>
    <row r="41" spans="1:30" ht="14.4" thickTop="1" thickBot="1">
      <c r="A41" s="912" t="s">
        <v>178</v>
      </c>
      <c r="B41" s="912"/>
      <c r="C41" s="912"/>
      <c r="D41" s="344"/>
      <c r="E41" s="344"/>
      <c r="F41" s="961" t="s">
        <v>546</v>
      </c>
      <c r="G41" s="962">
        <f>F39+G40</f>
        <v>882444987</v>
      </c>
      <c r="I41" s="963">
        <f>ROUND($G$41/$I$8,0)</f>
        <v>550091</v>
      </c>
      <c r="K41" s="964"/>
      <c r="L41" s="964"/>
      <c r="M41" s="964"/>
      <c r="N41" s="964"/>
      <c r="O41" s="964"/>
    </row>
    <row r="42" spans="1:30" ht="13.8" thickTop="1">
      <c r="A42" s="490" t="s">
        <v>92</v>
      </c>
      <c r="B42" s="501">
        <f>'HSSA FGD'!M65</f>
        <v>447297039</v>
      </c>
      <c r="C42" s="501">
        <f t="shared" ref="C42:C52" si="9">ROUND(B42/$C$6,0)</f>
        <v>112619</v>
      </c>
      <c r="D42" s="492">
        <f>'HSSA FGD'!F65</f>
        <v>0</v>
      </c>
      <c r="E42" s="492"/>
      <c r="F42" s="492">
        <f t="shared" ref="F42" si="10">B42-(SUM(D42:E42))</f>
        <v>447297039</v>
      </c>
      <c r="H42" s="965" t="s">
        <v>547</v>
      </c>
      <c r="I42" s="966">
        <f>ROUND(F42/$C$6,0)</f>
        <v>112619</v>
      </c>
      <c r="J42" s="320" t="s">
        <v>548</v>
      </c>
      <c r="K42" s="492">
        <f>F42</f>
        <v>447297039</v>
      </c>
      <c r="L42" s="492">
        <f>K42</f>
        <v>447297039</v>
      </c>
      <c r="M42" s="492"/>
      <c r="N42" s="492"/>
      <c r="O42" s="492"/>
    </row>
    <row r="43" spans="1:30">
      <c r="A43" s="490" t="s">
        <v>179</v>
      </c>
      <c r="B43" s="669">
        <f>'HSSA FGD'!M66</f>
        <v>169090146</v>
      </c>
      <c r="C43" s="669">
        <f t="shared" si="9"/>
        <v>42573</v>
      </c>
      <c r="D43" s="723">
        <f>'HSSA FGD'!F66</f>
        <v>0</v>
      </c>
      <c r="E43" s="754"/>
      <c r="F43" s="754">
        <f t="shared" ref="F43:F44" si="11">B43-(SUM(D43:E43))</f>
        <v>169090146</v>
      </c>
      <c r="J43" s="320" t="s">
        <v>549</v>
      </c>
      <c r="K43" s="723">
        <f>F43</f>
        <v>169090146</v>
      </c>
      <c r="L43" s="723">
        <f>K43</f>
        <v>169090146</v>
      </c>
      <c r="M43" s="723"/>
      <c r="N43" s="723"/>
      <c r="O43" s="723"/>
    </row>
    <row r="44" spans="1:30">
      <c r="A44" s="490" t="s">
        <v>180</v>
      </c>
      <c r="B44" s="669">
        <f>'HSSA FGD'!M67</f>
        <v>101179829</v>
      </c>
      <c r="C44" s="669"/>
      <c r="D44" s="723">
        <f>'HSSA FGD'!F67</f>
        <v>0</v>
      </c>
      <c r="E44" s="921">
        <f>B44-D44</f>
        <v>101179829</v>
      </c>
      <c r="F44" s="754">
        <f t="shared" si="11"/>
        <v>0</v>
      </c>
      <c r="J44" s="320" t="s">
        <v>550</v>
      </c>
      <c r="K44" s="967"/>
      <c r="L44" s="769"/>
      <c r="M44" s="769" t="s">
        <v>551</v>
      </c>
      <c r="N44" s="769"/>
      <c r="O44" s="968"/>
    </row>
    <row r="45" spans="1:30">
      <c r="A45" s="300" t="s">
        <v>164</v>
      </c>
      <c r="B45" s="669">
        <f>'HSSA FGD'!M68</f>
        <v>207378571</v>
      </c>
      <c r="C45" s="669"/>
      <c r="D45" s="723">
        <f>'HSSA FGD'!F68</f>
        <v>0</v>
      </c>
      <c r="E45" s="921">
        <f>B45-D45</f>
        <v>207378571</v>
      </c>
      <c r="F45" s="754">
        <f t="shared" ref="F45" si="12">B45-(SUM(D45:E45))</f>
        <v>0</v>
      </c>
      <c r="G45" s="492"/>
      <c r="J45" s="320" t="s">
        <v>552</v>
      </c>
      <c r="K45" s="1161" t="s">
        <v>551</v>
      </c>
      <c r="L45" s="1162"/>
      <c r="M45" s="1162"/>
      <c r="N45" s="1162"/>
      <c r="O45" s="1163"/>
    </row>
    <row r="46" spans="1:30">
      <c r="A46" s="490" t="s">
        <v>181</v>
      </c>
      <c r="B46" s="669">
        <f>'HSSA FGD'!M69</f>
        <v>53922284</v>
      </c>
      <c r="C46" s="669">
        <f t="shared" si="9"/>
        <v>13576</v>
      </c>
      <c r="D46" s="723">
        <f>'HSSA FGD'!F69</f>
        <v>0</v>
      </c>
      <c r="E46" s="754"/>
      <c r="F46" s="754">
        <f t="shared" ref="F46:F53" si="13">B46-(SUM(D46:E46))</f>
        <v>53922284</v>
      </c>
      <c r="H46" s="965" t="s">
        <v>553</v>
      </c>
      <c r="I46" s="966">
        <f>ROUND(F46/$C$6,0)</f>
        <v>13576</v>
      </c>
      <c r="J46" s="320" t="s">
        <v>554</v>
      </c>
      <c r="K46" s="723">
        <f t="shared" ref="K46:K50" si="14">F46</f>
        <v>53922284</v>
      </c>
      <c r="L46" s="723">
        <f>K46</f>
        <v>53922284</v>
      </c>
      <c r="M46" s="723"/>
      <c r="N46" s="723"/>
      <c r="O46" s="723"/>
    </row>
    <row r="47" spans="1:30">
      <c r="A47" s="490" t="s">
        <v>182</v>
      </c>
      <c r="B47" s="669">
        <f>'HSSA FGD'!M70</f>
        <v>2828020</v>
      </c>
      <c r="C47" s="669">
        <f t="shared" si="9"/>
        <v>712</v>
      </c>
      <c r="D47" s="723">
        <f>'HSSA FGD'!F70</f>
        <v>0</v>
      </c>
      <c r="E47" s="754"/>
      <c r="F47" s="754">
        <f t="shared" si="13"/>
        <v>2828020</v>
      </c>
      <c r="J47" s="320" t="s">
        <v>555</v>
      </c>
      <c r="K47" s="723">
        <f t="shared" si="14"/>
        <v>2828020</v>
      </c>
      <c r="L47" s="723"/>
      <c r="M47" s="723">
        <f>K47</f>
        <v>2828020</v>
      </c>
      <c r="N47" s="723"/>
      <c r="O47" s="723"/>
    </row>
    <row r="48" spans="1:30">
      <c r="A48" s="490" t="s">
        <v>183</v>
      </c>
      <c r="B48" s="669">
        <f>'HSSA FGD'!M71</f>
        <v>63711677</v>
      </c>
      <c r="C48" s="669">
        <f t="shared" si="9"/>
        <v>16041</v>
      </c>
      <c r="D48" s="723">
        <f>'HSSA FGD'!F71</f>
        <v>0</v>
      </c>
      <c r="E48" s="754"/>
      <c r="F48" s="754">
        <f t="shared" si="13"/>
        <v>63711677</v>
      </c>
      <c r="H48" s="965" t="s">
        <v>556</v>
      </c>
      <c r="I48" s="966">
        <f>ROUND(F48/$C$6,0)</f>
        <v>16041</v>
      </c>
      <c r="J48" s="320" t="s">
        <v>557</v>
      </c>
      <c r="K48" s="723">
        <f t="shared" si="14"/>
        <v>63711677</v>
      </c>
      <c r="L48" s="723"/>
      <c r="M48" s="723"/>
      <c r="N48" s="723">
        <f>K48</f>
        <v>63711677</v>
      </c>
      <c r="O48" s="723"/>
    </row>
    <row r="49" spans="1:30">
      <c r="A49" s="490" t="s">
        <v>184</v>
      </c>
      <c r="B49" s="669">
        <f>'HSSA FGD'!M72</f>
        <v>47092554</v>
      </c>
      <c r="C49" s="669"/>
      <c r="D49" s="723">
        <f>'HSSA FGD'!F72</f>
        <v>0</v>
      </c>
      <c r="E49" s="754"/>
      <c r="F49" s="754">
        <f t="shared" si="13"/>
        <v>47092554</v>
      </c>
      <c r="J49" s="320" t="s">
        <v>558</v>
      </c>
      <c r="K49" s="723">
        <f t="shared" si="14"/>
        <v>47092554</v>
      </c>
      <c r="L49" s="723"/>
      <c r="M49" s="723"/>
      <c r="N49" s="723">
        <f>K49</f>
        <v>47092554</v>
      </c>
      <c r="O49" s="723"/>
    </row>
    <row r="50" spans="1:30">
      <c r="A50" s="490" t="s">
        <v>185</v>
      </c>
      <c r="B50" s="669">
        <f>'HSSA FGD'!M73</f>
        <v>12861287</v>
      </c>
      <c r="C50" s="669">
        <f t="shared" si="9"/>
        <v>3238</v>
      </c>
      <c r="D50" s="723">
        <f>'HSSA FGD'!F73</f>
        <v>0</v>
      </c>
      <c r="E50" s="754"/>
      <c r="F50" s="754">
        <f t="shared" si="13"/>
        <v>12861287</v>
      </c>
      <c r="J50" s="320" t="s">
        <v>559</v>
      </c>
      <c r="K50" s="723">
        <f t="shared" si="14"/>
        <v>12861287</v>
      </c>
      <c r="L50" s="723"/>
      <c r="M50" s="723">
        <f>K50</f>
        <v>12861287</v>
      </c>
      <c r="N50" s="723"/>
      <c r="O50" s="723"/>
    </row>
    <row r="51" spans="1:30">
      <c r="A51" s="490" t="s">
        <v>472</v>
      </c>
      <c r="B51" s="669">
        <f>'HSSA FGD'!M74</f>
        <v>5170202</v>
      </c>
      <c r="C51" s="669"/>
      <c r="D51" s="969">
        <f>B51</f>
        <v>5170202</v>
      </c>
      <c r="E51" s="754"/>
      <c r="F51" s="754">
        <f t="shared" si="13"/>
        <v>0</v>
      </c>
      <c r="J51" s="320" t="s">
        <v>560</v>
      </c>
      <c r="K51" s="967"/>
      <c r="L51" s="769"/>
      <c r="M51" s="769" t="s">
        <v>551</v>
      </c>
      <c r="N51" s="769"/>
      <c r="O51" s="968"/>
    </row>
    <row r="52" spans="1:30">
      <c r="A52" s="490" t="s">
        <v>187</v>
      </c>
      <c r="B52" s="669">
        <f>'HSSA FGD'!M75</f>
        <v>17765317</v>
      </c>
      <c r="C52" s="669">
        <f t="shared" si="9"/>
        <v>4473</v>
      </c>
      <c r="D52" s="723">
        <f>'HSSA FGD'!F75</f>
        <v>425351</v>
      </c>
      <c r="E52" s="754"/>
      <c r="F52" s="754">
        <f t="shared" si="13"/>
        <v>17339966</v>
      </c>
      <c r="J52" s="320" t="s">
        <v>561</v>
      </c>
      <c r="K52" s="723">
        <f t="shared" ref="K52:K53" si="15">F52</f>
        <v>17339966</v>
      </c>
      <c r="L52" s="723"/>
      <c r="M52" s="723"/>
      <c r="N52" s="723"/>
      <c r="O52" s="723">
        <f>K52</f>
        <v>17339966</v>
      </c>
    </row>
    <row r="53" spans="1:30" ht="13.8" thickBot="1">
      <c r="A53" s="277" t="s">
        <v>1713</v>
      </c>
      <c r="B53" s="669">
        <f>'HSSA FGD'!M76</f>
        <v>751756</v>
      </c>
      <c r="C53" s="669"/>
      <c r="D53" s="723">
        <f>'HSSA FGD'!F76</f>
        <v>0</v>
      </c>
      <c r="E53" s="754"/>
      <c r="F53" s="754">
        <f t="shared" si="13"/>
        <v>751756</v>
      </c>
      <c r="G53" s="400"/>
      <c r="H53" s="965" t="s">
        <v>562</v>
      </c>
      <c r="I53" s="966">
        <f>ROUND(SUM(F43+F47+F49+F50+F52+F53)/$C$6,0)</f>
        <v>62935</v>
      </c>
      <c r="J53" s="400" t="s">
        <v>280</v>
      </c>
      <c r="K53" s="723">
        <f t="shared" si="15"/>
        <v>751756</v>
      </c>
      <c r="L53" s="970"/>
      <c r="M53" s="970"/>
      <c r="N53" s="970"/>
      <c r="O53" s="723">
        <f>K53</f>
        <v>751756</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1129048682</v>
      </c>
      <c r="C54" s="972">
        <f>SUM(C42:C53)</f>
        <v>193232</v>
      </c>
      <c r="D54" s="972">
        <f>SUM(D42:D53)</f>
        <v>5595553</v>
      </c>
      <c r="E54" s="973">
        <f>SUM(E43:E53)</f>
        <v>308558400</v>
      </c>
      <c r="F54" s="974">
        <f>SUM(F42:F53)</f>
        <v>814894729</v>
      </c>
      <c r="G54" s="1174" t="s">
        <v>563</v>
      </c>
      <c r="H54" s="1175"/>
      <c r="I54" s="975" t="s">
        <v>623</v>
      </c>
      <c r="J54" s="400" t="s">
        <v>564</v>
      </c>
      <c r="K54" s="976">
        <f>SUM(K42:K53)</f>
        <v>814894729</v>
      </c>
      <c r="L54" s="976">
        <f t="shared" ref="L54:O54" si="16">SUM(L42:L53)</f>
        <v>670309469</v>
      </c>
      <c r="M54" s="976">
        <f t="shared" si="16"/>
        <v>15689307</v>
      </c>
      <c r="N54" s="976">
        <f t="shared" si="16"/>
        <v>110804231</v>
      </c>
      <c r="O54" s="976">
        <f t="shared" si="16"/>
        <v>18091722</v>
      </c>
    </row>
    <row r="55" spans="1:30" ht="14.25" customHeight="1" thickTop="1" thickBot="1">
      <c r="C55" s="277"/>
      <c r="F55" s="931"/>
      <c r="G55" s="1176"/>
      <c r="H55" s="1177"/>
      <c r="I55" s="977">
        <f>ROUND(F54/C6,0)</f>
        <v>205171</v>
      </c>
      <c r="J55" s="1153" t="s">
        <v>565</v>
      </c>
      <c r="K55" s="970"/>
      <c r="L55" s="970"/>
      <c r="M55" s="970"/>
      <c r="N55" s="970"/>
      <c r="O55" s="970"/>
    </row>
    <row r="56" spans="1:30" ht="16.5" customHeight="1" thickBot="1">
      <c r="A56" s="279" t="s">
        <v>473</v>
      </c>
      <c r="C56" s="277"/>
      <c r="F56" s="978"/>
      <c r="G56" s="1178"/>
      <c r="H56" s="1179"/>
      <c r="I56" s="951" t="s">
        <v>624</v>
      </c>
      <c r="J56" s="1153"/>
      <c r="K56" s="979">
        <f>ROUND(K54/$C$6,2)</f>
        <v>205171.16</v>
      </c>
      <c r="L56" s="979">
        <f t="shared" ref="L56:O56" si="17">ROUND(L54/$C$6,2)</f>
        <v>168768.03</v>
      </c>
      <c r="M56" s="979">
        <f t="shared" si="17"/>
        <v>3950.2</v>
      </c>
      <c r="N56" s="979">
        <f t="shared" si="17"/>
        <v>27897.88</v>
      </c>
      <c r="O56" s="979">
        <f t="shared" si="17"/>
        <v>4555.07</v>
      </c>
      <c r="P56" s="333"/>
      <c r="Q56" s="333"/>
      <c r="R56" s="333"/>
      <c r="S56" s="333"/>
      <c r="T56" s="333"/>
      <c r="U56" s="333"/>
      <c r="V56" s="333"/>
      <c r="W56" s="333"/>
      <c r="X56" s="333"/>
      <c r="Y56" s="333"/>
      <c r="Z56" s="333"/>
      <c r="AA56" s="333"/>
      <c r="AB56" s="333"/>
      <c r="AC56" s="333"/>
      <c r="AD56" s="333"/>
    </row>
    <row r="57" spans="1:30" ht="13.8" thickTop="1">
      <c r="A57" s="277" t="s">
        <v>474</v>
      </c>
      <c r="B57" s="669">
        <f>'HSSA FGD'!M80</f>
        <v>-124934051</v>
      </c>
      <c r="C57" s="669"/>
      <c r="D57" s="492">
        <f>'HSSA FGD'!F80</f>
        <v>0</v>
      </c>
      <c r="E57" s="492"/>
      <c r="F57" s="980">
        <f t="shared" ref="F57:F60" si="18">B57-(SUM(D57:E57))</f>
        <v>-124934051</v>
      </c>
      <c r="G57" s="930"/>
      <c r="I57" s="981">
        <f>ROUND($F$54/$I$8,0)</f>
        <v>507982</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'HSSA FGD'!M81</f>
        <v>-5772118</v>
      </c>
      <c r="C58" s="669"/>
      <c r="D58" s="982">
        <f>'HSSA FGD'!F81</f>
        <v>-51900</v>
      </c>
      <c r="E58" s="915"/>
      <c r="F58" s="754">
        <f t="shared" si="18"/>
        <v>-5720218</v>
      </c>
      <c r="K58" s="980"/>
      <c r="L58" s="980"/>
      <c r="M58" s="980"/>
      <c r="N58" s="980"/>
      <c r="O58" s="980"/>
    </row>
    <row r="59" spans="1:30">
      <c r="A59" s="983" t="s">
        <v>567</v>
      </c>
      <c r="B59" s="669">
        <f>'HSSA FGD'!M82</f>
        <v>88553289</v>
      </c>
      <c r="C59" s="669"/>
      <c r="D59" s="982">
        <f>'HSSA FGD'!F82</f>
        <v>0</v>
      </c>
      <c r="E59" s="915"/>
      <c r="F59" s="754">
        <f t="shared" si="18"/>
        <v>88553289</v>
      </c>
      <c r="G59" s="400"/>
      <c r="J59" s="400"/>
      <c r="K59" s="400"/>
      <c r="L59" s="400"/>
      <c r="M59" s="400"/>
      <c r="N59" s="400"/>
      <c r="O59" s="400"/>
    </row>
    <row r="60" spans="1:30" ht="12" customHeight="1">
      <c r="A60" s="277" t="s">
        <v>477</v>
      </c>
      <c r="B60" s="669">
        <f>'HSSA FGD'!M83</f>
        <v>-21646690</v>
      </c>
      <c r="C60" s="669"/>
      <c r="D60" s="982">
        <f>'HSSA FGD'!F83</f>
        <v>-227944</v>
      </c>
      <c r="E60" s="915"/>
      <c r="F60" s="754">
        <f t="shared" si="18"/>
        <v>-21418746</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-63799570</v>
      </c>
      <c r="C61" s="937"/>
      <c r="D61" s="937">
        <f>SUM(D57:D60)</f>
        <v>-279844</v>
      </c>
      <c r="E61" s="937">
        <f>SUM(E57:E60)</f>
        <v>0</v>
      </c>
      <c r="F61" s="984">
        <f>SUM(F57:F60)</f>
        <v>-63519726</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'HSSA FGD'!M87</f>
        <v>-138578463</v>
      </c>
      <c r="C64" s="669"/>
      <c r="D64" s="492">
        <f>'HSSA FGD'!F87</f>
        <v>0</v>
      </c>
      <c r="E64" s="492"/>
      <c r="F64" s="492">
        <f t="shared" ref="F64:F65" si="19">B64-(SUM(D64:E64))</f>
        <v>-138578463</v>
      </c>
      <c r="O64" s="320"/>
    </row>
    <row r="65" spans="1:30">
      <c r="A65" s="277" t="s">
        <v>480</v>
      </c>
      <c r="B65" s="669">
        <f>'HSSA FGD'!M88</f>
        <v>6666640</v>
      </c>
      <c r="C65" s="669"/>
      <c r="D65" s="982">
        <f>'HSSA FGD'!F88</f>
        <v>0</v>
      </c>
      <c r="E65" s="915"/>
      <c r="F65" s="754">
        <f t="shared" si="19"/>
        <v>6666640</v>
      </c>
      <c r="O65" s="320"/>
      <c r="P65" s="333"/>
      <c r="Q65" s="333"/>
      <c r="R65" s="333"/>
      <c r="S65" s="333"/>
      <c r="T65" s="333"/>
      <c r="U65" s="333"/>
      <c r="V65" s="333"/>
      <c r="W65" s="333"/>
      <c r="X65" s="333"/>
      <c r="Y65" s="333"/>
      <c r="Z65" s="333"/>
      <c r="AA65" s="333"/>
      <c r="AB65" s="333"/>
      <c r="AC65" s="333"/>
      <c r="AD65" s="333"/>
    </row>
    <row r="66" spans="1:30">
      <c r="A66" s="936" t="s">
        <v>155</v>
      </c>
      <c r="B66" s="937">
        <f>SUM(B64:B65)</f>
        <v>-131911823</v>
      </c>
      <c r="C66" s="937"/>
      <c r="D66" s="937">
        <f>SUM(D64:D65)</f>
        <v>0</v>
      </c>
      <c r="E66" s="937">
        <f>SUM(E64:E65)</f>
        <v>0</v>
      </c>
      <c r="F66" s="937">
        <f>SUM(F64:F65)</f>
        <v>-131911823</v>
      </c>
      <c r="O66" s="320"/>
    </row>
    <row r="67" spans="1:30">
      <c r="C67" s="277"/>
      <c r="O67" s="320"/>
    </row>
    <row r="68" spans="1:30" ht="13.8" thickBot="1">
      <c r="A68" s="985" t="s">
        <v>572</v>
      </c>
      <c r="B68" s="590">
        <f>B39-B54+B61+B66</f>
        <v>-101704856</v>
      </c>
      <c r="C68" s="590"/>
      <c r="D68" s="590">
        <f>D39-D54+D61+D66</f>
        <v>2403677</v>
      </c>
      <c r="E68" s="590">
        <f>E39-E54+E61+E66</f>
        <v>23772758</v>
      </c>
      <c r="F68" s="590">
        <f>F39-F54+F61+F66</f>
        <v>-127881291</v>
      </c>
      <c r="O68" s="320"/>
    </row>
    <row r="69" spans="1:30" ht="13.8" thickTop="1"/>
    <row r="70" spans="1:30">
      <c r="A70" s="320" t="s">
        <v>573</v>
      </c>
      <c r="D70" s="492"/>
    </row>
    <row r="71" spans="1:30">
      <c r="A71" s="277" t="s">
        <v>7</v>
      </c>
    </row>
    <row r="72" spans="1:30">
      <c r="B72" s="986">
        <f>'HSSA FGD'!$M$91</f>
        <v>-101704856</v>
      </c>
      <c r="C72" s="277"/>
      <c r="D72" s="986">
        <f>'HSSA FGD'!F91</f>
        <v>2403677</v>
      </c>
      <c r="E72" s="986">
        <f>'HSSA FGD'!M50</f>
        <v>332331158</v>
      </c>
      <c r="F72" s="277"/>
    </row>
    <row r="73" spans="1:30">
      <c r="B73" s="986"/>
      <c r="C73" s="277"/>
      <c r="D73" s="986">
        <f>'HSSA FGD'!F74</f>
        <v>5170202</v>
      </c>
      <c r="E73" s="986">
        <f>'HSSA FGD'!M53</f>
        <v>0</v>
      </c>
      <c r="F73" s="986"/>
    </row>
    <row r="74" spans="1:30">
      <c r="B74" s="986"/>
      <c r="C74" s="277"/>
      <c r="D74" s="986">
        <f>-'HSSA FGD'!M74</f>
        <v>-5170202</v>
      </c>
      <c r="E74" s="986">
        <f>-'HSSA FGD'!M68</f>
        <v>-207378571</v>
      </c>
      <c r="F74" s="986"/>
    </row>
    <row r="75" spans="1:30">
      <c r="B75" s="986"/>
      <c r="C75" s="277"/>
      <c r="D75" s="986"/>
      <c r="E75" s="986">
        <f>-'HSSA FGD'!M67</f>
        <v>-101179829</v>
      </c>
      <c r="F75" s="986"/>
    </row>
    <row r="76" spans="1:30" ht="12.75" customHeight="1">
      <c r="B76" s="987"/>
      <c r="C76" s="277"/>
      <c r="D76" s="987"/>
      <c r="E76" s="987">
        <f>-D26</f>
        <v>0</v>
      </c>
      <c r="F76" s="986"/>
    </row>
    <row r="77" spans="1:30" ht="12.75" customHeight="1">
      <c r="B77" s="986">
        <f>SUM(B72:B76)</f>
        <v>-101704856</v>
      </c>
      <c r="C77" s="277"/>
      <c r="D77" s="986">
        <f>SUM(D72:D76)</f>
        <v>2403677</v>
      </c>
      <c r="E77" s="986">
        <f>SUM(E72:E76)</f>
        <v>23772758</v>
      </c>
      <c r="F77" s="986">
        <f>B77-D77-E77</f>
        <v>-127881291</v>
      </c>
    </row>
    <row r="78" spans="1:30" ht="12.75" customHeight="1">
      <c r="B78" s="986"/>
      <c r="C78" s="277"/>
      <c r="D78" s="986"/>
      <c r="E78" s="986"/>
      <c r="F78" s="986"/>
    </row>
    <row r="79" spans="1:30" ht="12.75" customHeight="1">
      <c r="B79" s="987"/>
      <c r="C79" s="538"/>
      <c r="D79" s="987"/>
      <c r="E79" s="987"/>
      <c r="F79" s="987"/>
    </row>
    <row r="80" spans="1:30" ht="12.75" customHeight="1">
      <c r="B80" s="986">
        <f>SUM(B77:B79)</f>
        <v>-101704856</v>
      </c>
      <c r="C80" s="277"/>
      <c r="D80" s="986">
        <f>SUM(D77:D79)</f>
        <v>2403677</v>
      </c>
      <c r="E80" s="986">
        <f>SUM(E77:E79)</f>
        <v>23772758</v>
      </c>
      <c r="F80" s="986">
        <f>SUM(F77:F79)</f>
        <v>-127881291</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23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11"/>
    <pageSetUpPr fitToPage="1"/>
  </sheetPr>
  <dimension ref="A1:AB123"/>
  <sheetViews>
    <sheetView showGridLines="0" zoomScale="75" zoomScaleNormal="75" workbookViewId="0">
      <pane xSplit="2" ySplit="8" topLeftCell="D9"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5.5546875" style="751" customWidth="1"/>
    <col min="13" max="13" width="17.88671875" style="751" customWidth="1"/>
    <col min="14" max="14" width="4.88671875" style="751" customWidth="1"/>
    <col min="15" max="15" width="16.3320312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N1" s="656">
        <v>12</v>
      </c>
      <c r="O1" s="322"/>
      <c r="P1" s="322"/>
      <c r="Q1" s="322"/>
      <c r="R1" s="322"/>
      <c r="S1" s="322"/>
      <c r="T1" s="322"/>
      <c r="U1" s="322"/>
      <c r="V1" s="322"/>
      <c r="W1" s="322"/>
      <c r="X1" s="322"/>
      <c r="Y1" s="322"/>
      <c r="Z1" s="322"/>
      <c r="AA1" s="322"/>
      <c r="AB1" s="322"/>
    </row>
    <row r="2" spans="1:28" ht="21">
      <c r="A2" s="656">
        <v>1</v>
      </c>
      <c r="B2" s="1168" t="str">
        <f>'HSSA Chts'!$A$1</f>
        <v>The University of Texas Health Science Center at San Antonio</v>
      </c>
      <c r="C2" s="1168"/>
      <c r="D2" s="1168"/>
      <c r="E2" s="1168"/>
      <c r="F2" s="1168"/>
      <c r="G2" s="1168"/>
      <c r="H2" s="750"/>
      <c r="I2" s="752" t="str">
        <f>IF($B$2&lt;&gt;Input!$H$9,"Name Mismatch","")</f>
        <v/>
      </c>
      <c r="K2" s="750"/>
      <c r="L2" s="750"/>
      <c r="M2" s="672"/>
      <c r="O2" s="321" t="s">
        <v>51</v>
      </c>
      <c r="P2" s="334"/>
    </row>
    <row r="3" spans="1:28" ht="21">
      <c r="A3" s="656">
        <v>2</v>
      </c>
      <c r="B3" s="1168" t="str">
        <f>'Smmy Chts'!$A$2</f>
        <v>For the Year Ended August 31, 2022</v>
      </c>
      <c r="C3" s="1168"/>
      <c r="D3" s="1168"/>
      <c r="E3" s="1168"/>
      <c r="F3" s="1168"/>
      <c r="H3" s="750"/>
      <c r="K3" s="750"/>
      <c r="L3" s="750"/>
      <c r="M3" s="672"/>
      <c r="O3" s="754"/>
    </row>
    <row r="4" spans="1:28" ht="21">
      <c r="A4" s="656">
        <v>3</v>
      </c>
      <c r="B4" s="1168" t="str">
        <f>'Smmy Chts'!$A$3</f>
        <v>Source: FY 2022 Annual Financial Report</v>
      </c>
      <c r="C4" s="1168"/>
      <c r="D4" s="1168"/>
      <c r="E4" s="1168"/>
      <c r="F4" s="1168"/>
      <c r="H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Input!$M$9</f>
        <v>183996390</v>
      </c>
      <c r="E10" s="762">
        <f>Input!$N$9</f>
        <v>0</v>
      </c>
      <c r="F10" s="762">
        <f>Input!$O$9</f>
        <v>0</v>
      </c>
      <c r="G10" s="762">
        <f>Input!$P$9</f>
        <v>0</v>
      </c>
      <c r="H10" s="762">
        <f>Input!$Q$9</f>
        <v>0</v>
      </c>
      <c r="I10" s="762">
        <f>Input!$R$9</f>
        <v>0</v>
      </c>
      <c r="J10" s="762">
        <f>Input!$S$9</f>
        <v>0</v>
      </c>
      <c r="K10" s="762">
        <f>Input!$T$9</f>
        <v>0</v>
      </c>
      <c r="L10" s="762">
        <f>Input!$U$9</f>
        <v>0</v>
      </c>
      <c r="M10" s="723">
        <f t="shared" ref="M10:M15" si="0">D10+E10+F10+G10+H10+I10+J10+K10+L10</f>
        <v>183996390</v>
      </c>
      <c r="O10" s="763"/>
      <c r="P10" s="1200" t="s">
        <v>627</v>
      </c>
      <c r="Q10" s="320"/>
      <c r="R10" s="320"/>
      <c r="S10" s="320"/>
      <c r="V10" s="320"/>
      <c r="W10" s="320"/>
      <c r="X10" s="320"/>
      <c r="Y10" s="320"/>
      <c r="Z10" s="320"/>
      <c r="AA10" s="320"/>
      <c r="AB10" s="320"/>
    </row>
    <row r="11" spans="1:28" s="752" customFormat="1">
      <c r="A11" s="460">
        <v>10</v>
      </c>
      <c r="B11" s="752" t="s">
        <v>134</v>
      </c>
      <c r="D11" s="762">
        <f>Input!$V$9</f>
        <v>4527251</v>
      </c>
      <c r="E11" s="762">
        <f>Input!$W$9</f>
        <v>1802627</v>
      </c>
      <c r="F11" s="762">
        <f>Input!$X$9</f>
        <v>0</v>
      </c>
      <c r="G11" s="762">
        <f>Input!$Y$9</f>
        <v>12340839</v>
      </c>
      <c r="H11" s="762">
        <f>Input!$Z$9</f>
        <v>0</v>
      </c>
      <c r="I11" s="762">
        <f>Input!$AA$9</f>
        <v>0</v>
      </c>
      <c r="J11" s="762">
        <f>Input!$AB$9</f>
        <v>0</v>
      </c>
      <c r="K11" s="762">
        <f>Input!$AC$9</f>
        <v>0</v>
      </c>
      <c r="L11" s="762">
        <f>Input!$AD$9</f>
        <v>0</v>
      </c>
      <c r="M11" s="723">
        <f t="shared" si="0"/>
        <v>18670717</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Input!$AN$9</f>
        <v>0</v>
      </c>
      <c r="E13" s="762">
        <f>Input!$AO$9</f>
        <v>0</v>
      </c>
      <c r="F13" s="762">
        <f>Input!$AP$9</f>
        <v>0</v>
      </c>
      <c r="G13" s="762">
        <f>Input!$AQ$9</f>
        <v>0</v>
      </c>
      <c r="H13" s="762">
        <f>Input!$AR$9</f>
        <v>0</v>
      </c>
      <c r="I13" s="762">
        <f>Input!$AS$9</f>
        <v>0</v>
      </c>
      <c r="J13" s="762">
        <f>Input!$AT$9</f>
        <v>0</v>
      </c>
      <c r="K13" s="762">
        <f>Input!$AU$9</f>
        <v>0</v>
      </c>
      <c r="L13" s="762">
        <f>Input!$AV$9</f>
        <v>0</v>
      </c>
      <c r="M13" s="723">
        <f t="shared" si="0"/>
        <v>0</v>
      </c>
      <c r="O13" s="764" t="str">
        <f>IF(P13&lt;&gt;M13,"Out of Balance","Balanced")</f>
        <v>Balanced</v>
      </c>
      <c r="P13" s="767">
        <f>IFERROR(VLOOKUP($B$2,AMTLU,6,FALSE),0)</f>
        <v>0</v>
      </c>
      <c r="Q13" s="320"/>
      <c r="R13" s="320"/>
      <c r="S13" s="320"/>
      <c r="V13" s="320"/>
      <c r="W13" s="320"/>
      <c r="X13" s="320"/>
      <c r="Y13" s="320"/>
      <c r="Z13" s="320"/>
      <c r="AA13" s="320"/>
      <c r="AB13" s="320"/>
    </row>
    <row r="14" spans="1:28" s="752" customFormat="1" ht="15">
      <c r="A14" s="460">
        <v>13</v>
      </c>
      <c r="B14" s="752" t="s">
        <v>135</v>
      </c>
      <c r="D14" s="762">
        <f>Input!$AW$9</f>
        <v>0</v>
      </c>
      <c r="E14" s="762">
        <f>Input!$AX$9</f>
        <v>0</v>
      </c>
      <c r="F14" s="762">
        <f>Input!$AY$9</f>
        <v>0</v>
      </c>
      <c r="G14" s="762">
        <f>Input!$AZ$9</f>
        <v>0</v>
      </c>
      <c r="H14" s="762">
        <f>Input!$BA$9</f>
        <v>0</v>
      </c>
      <c r="I14" s="762">
        <f>Input!$BB$9</f>
        <v>0</v>
      </c>
      <c r="J14" s="762">
        <f>Input!$BC$9</f>
        <v>0</v>
      </c>
      <c r="K14" s="762">
        <f>Input!$BD$9</f>
        <v>0</v>
      </c>
      <c r="L14" s="762">
        <f>Input!$BE$9</f>
        <v>0</v>
      </c>
      <c r="M14" s="723">
        <f t="shared" si="0"/>
        <v>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188523641</v>
      </c>
      <c r="E15" s="769">
        <f t="shared" ref="E15:L15" si="1">SUM(E10:E14)</f>
        <v>1802627</v>
      </c>
      <c r="F15" s="769">
        <f t="shared" si="1"/>
        <v>0</v>
      </c>
      <c r="G15" s="769">
        <f t="shared" si="1"/>
        <v>12340839</v>
      </c>
      <c r="H15" s="769">
        <f t="shared" si="1"/>
        <v>0</v>
      </c>
      <c r="I15" s="769">
        <f t="shared" si="1"/>
        <v>0</v>
      </c>
      <c r="J15" s="769">
        <f t="shared" si="1"/>
        <v>0</v>
      </c>
      <c r="K15" s="769">
        <f t="shared" si="1"/>
        <v>0</v>
      </c>
      <c r="L15" s="769">
        <f t="shared" si="1"/>
        <v>0</v>
      </c>
      <c r="M15" s="769">
        <f t="shared" si="0"/>
        <v>202667107</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20976285</v>
      </c>
      <c r="E18" s="769">
        <f t="shared" si="2"/>
        <v>38469051</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59445336</v>
      </c>
      <c r="V18" s="723"/>
      <c r="X18" s="492"/>
    </row>
    <row r="19" spans="1:26" s="320" customFormat="1" ht="12.75" customHeight="1" thickTop="1" thickBot="1">
      <c r="A19" s="322"/>
      <c r="B19" s="320" t="s">
        <v>592</v>
      </c>
      <c r="D19" s="762">
        <f>Input!$BF$9</f>
        <v>-3430208</v>
      </c>
      <c r="E19" s="762">
        <f>Input!$BG$9</f>
        <v>0</v>
      </c>
      <c r="F19" s="762">
        <f>Input!$BH$9</f>
        <v>0</v>
      </c>
      <c r="G19" s="762">
        <f>Input!$BI$9</f>
        <v>0</v>
      </c>
      <c r="H19" s="762">
        <f>Input!$BJ$9</f>
        <v>0</v>
      </c>
      <c r="I19" s="762">
        <f>Input!BK6</f>
        <v>0</v>
      </c>
      <c r="J19" s="762">
        <f>Input!$BL$9</f>
        <v>0</v>
      </c>
      <c r="K19" s="762">
        <f>Input!BM6</f>
        <v>0</v>
      </c>
      <c r="L19" s="762">
        <f>Input!BN6</f>
        <v>0</v>
      </c>
      <c r="M19" s="723">
        <f t="shared" si="3"/>
        <v>-3430208</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Input!$BO$9</f>
        <v>0</v>
      </c>
      <c r="E20" s="762">
        <f>Input!$BP$9</f>
        <v>0</v>
      </c>
      <c r="F20" s="762">
        <f>Input!$BQ$9</f>
        <v>0</v>
      </c>
      <c r="G20" s="762">
        <f>Input!$BR$9</f>
        <v>0</v>
      </c>
      <c r="H20" s="762">
        <f>Input!$BS$9</f>
        <v>0</v>
      </c>
      <c r="I20" s="762">
        <f>Input!$BT$9</f>
        <v>0</v>
      </c>
      <c r="J20" s="762">
        <f>Input!BU6</f>
        <v>0</v>
      </c>
      <c r="K20" s="762">
        <f>Input!BV6</f>
        <v>0</v>
      </c>
      <c r="L20" s="762">
        <f>Input!$BW$9</f>
        <v>0</v>
      </c>
      <c r="M20" s="723">
        <f t="shared" si="3"/>
        <v>0</v>
      </c>
      <c r="O20" s="773" t="s">
        <v>631</v>
      </c>
      <c r="P20" s="774"/>
      <c r="Q20" s="774"/>
      <c r="R20" s="774"/>
      <c r="S20" s="775"/>
      <c r="U20" s="776" t="s">
        <v>252</v>
      </c>
      <c r="Y20" s="777"/>
    </row>
    <row r="21" spans="1:26" s="320" customFormat="1">
      <c r="A21" s="322"/>
      <c r="B21" s="320" t="s">
        <v>594</v>
      </c>
      <c r="D21" s="762">
        <f>Input!$BX$9</f>
        <v>0</v>
      </c>
      <c r="E21" s="762">
        <f>Input!$BY$9</f>
        <v>0</v>
      </c>
      <c r="F21" s="762">
        <f>Input!$BZ$9</f>
        <v>0</v>
      </c>
      <c r="G21" s="762">
        <f>Input!$CA$9</f>
        <v>0</v>
      </c>
      <c r="H21" s="762">
        <f>Input!$CB$9</f>
        <v>0</v>
      </c>
      <c r="I21" s="762">
        <f>Input!$CC$9</f>
        <v>0</v>
      </c>
      <c r="J21" s="762">
        <f>Input!$CD$9</f>
        <v>0</v>
      </c>
      <c r="K21" s="762">
        <f>Input!$CE$9</f>
        <v>0</v>
      </c>
      <c r="L21" s="762">
        <f>Input!$CF$9</f>
        <v>0</v>
      </c>
      <c r="M21" s="723">
        <f t="shared" si="3"/>
        <v>0</v>
      </c>
      <c r="O21" s="778"/>
      <c r="R21" s="492"/>
      <c r="S21" s="779"/>
      <c r="U21" s="780" t="s">
        <v>632</v>
      </c>
      <c r="X21" s="781">
        <f>M44</f>
        <v>55639094</v>
      </c>
      <c r="Y21" s="777"/>
      <c r="Z21" s="492"/>
    </row>
    <row r="22" spans="1:26" s="320" customFormat="1">
      <c r="A22" s="322"/>
      <c r="B22" s="320" t="s">
        <v>595</v>
      </c>
      <c r="D22" s="762">
        <f>Input!$CG$9</f>
        <v>0</v>
      </c>
      <c r="E22" s="762">
        <f>Input!$CH$9</f>
        <v>0</v>
      </c>
      <c r="F22" s="762">
        <f>Input!$CI$9</f>
        <v>0</v>
      </c>
      <c r="G22" s="762">
        <f>Input!$CJ$9</f>
        <v>0</v>
      </c>
      <c r="H22" s="762">
        <f>Input!$CK$9</f>
        <v>0</v>
      </c>
      <c r="I22" s="762">
        <f>Input!$CL$9</f>
        <v>0</v>
      </c>
      <c r="J22" s="762">
        <f>Input!$CM$9</f>
        <v>0</v>
      </c>
      <c r="K22" s="762">
        <f>Input!$CN$9</f>
        <v>0</v>
      </c>
      <c r="L22" s="762">
        <f>Input!$CO$9</f>
        <v>0</v>
      </c>
      <c r="M22" s="723">
        <f t="shared" si="3"/>
        <v>0</v>
      </c>
      <c r="N22" s="406"/>
      <c r="O22" s="778" t="s">
        <v>633</v>
      </c>
      <c r="Q22" s="492">
        <f>M23</f>
        <v>56015128</v>
      </c>
      <c r="S22" s="782"/>
      <c r="U22" s="780" t="s">
        <v>634</v>
      </c>
      <c r="X22" s="783">
        <f>R30*-1</f>
        <v>3476784</v>
      </c>
      <c r="Y22" s="777"/>
    </row>
    <row r="23" spans="1:26" s="320" customFormat="1" ht="12.75" customHeight="1">
      <c r="A23" s="322"/>
      <c r="B23" s="772" t="s">
        <v>233</v>
      </c>
      <c r="C23" s="784"/>
      <c r="D23" s="785">
        <f>Input!$CP$9</f>
        <v>17546077</v>
      </c>
      <c r="E23" s="785">
        <f>Input!$CQ$9</f>
        <v>38469051</v>
      </c>
      <c r="F23" s="785">
        <f>Input!$CR$9</f>
        <v>0</v>
      </c>
      <c r="G23" s="785">
        <f>Input!$CS$9</f>
        <v>0</v>
      </c>
      <c r="H23" s="785">
        <f>Input!$CT$9</f>
        <v>0</v>
      </c>
      <c r="I23" s="785">
        <f>Input!$CU$9</f>
        <v>0</v>
      </c>
      <c r="J23" s="785">
        <f>Input!$CV$9</f>
        <v>0</v>
      </c>
      <c r="K23" s="785">
        <f>Input!$CW$9</f>
        <v>0</v>
      </c>
      <c r="L23" s="785">
        <f>Input!$CX$9</f>
        <v>0</v>
      </c>
      <c r="M23" s="786">
        <f t="shared" si="3"/>
        <v>56015128</v>
      </c>
      <c r="O23" s="778"/>
      <c r="Q23" s="492"/>
      <c r="S23" s="782"/>
      <c r="U23" s="776" t="s">
        <v>635</v>
      </c>
      <c r="Y23" s="777">
        <f>SUM(X21:X22)</f>
        <v>59115878</v>
      </c>
      <c r="Z23" s="492"/>
    </row>
    <row r="24" spans="1:26" s="320" customFormat="1" ht="12.75" customHeight="1">
      <c r="A24" s="322"/>
      <c r="B24" s="320" t="s">
        <v>596</v>
      </c>
      <c r="C24" s="751"/>
      <c r="D24" s="762">
        <f>Input!$CY$9</f>
        <v>0</v>
      </c>
      <c r="E24" s="762">
        <f>Input!$CZ$9</f>
        <v>0</v>
      </c>
      <c r="F24" s="762">
        <f>Input!$DA$9</f>
        <v>0</v>
      </c>
      <c r="G24" s="762">
        <f>Input!$DB$9</f>
        <v>0</v>
      </c>
      <c r="H24" s="762">
        <f>Input!$DC$9</f>
        <v>0</v>
      </c>
      <c r="I24" s="762">
        <f>Input!$DD$9</f>
        <v>0</v>
      </c>
      <c r="J24" s="762">
        <f>Input!$DE$9</f>
        <v>0</v>
      </c>
      <c r="K24" s="762">
        <f>Input!$DF$9</f>
        <v>0</v>
      </c>
      <c r="L24" s="762">
        <f>Input!$DG$9</f>
        <v>0</v>
      </c>
      <c r="M24" s="650">
        <f t="shared" si="3"/>
        <v>0</v>
      </c>
      <c r="O24" s="787" t="s">
        <v>636</v>
      </c>
      <c r="Q24" s="723"/>
      <c r="R24" s="723">
        <f>SUM(M24:M28)</f>
        <v>-3129106</v>
      </c>
      <c r="S24" s="782"/>
      <c r="U24" s="776"/>
      <c r="Y24" s="777"/>
      <c r="Z24" s="492"/>
    </row>
    <row r="25" spans="1:26" s="320" customFormat="1" ht="12.75" customHeight="1">
      <c r="A25" s="322"/>
      <c r="B25" s="320" t="s">
        <v>597</v>
      </c>
      <c r="C25" s="751"/>
      <c r="D25" s="762">
        <f>Input!$DH$9</f>
        <v>0</v>
      </c>
      <c r="E25" s="762">
        <f>Input!$DI$9</f>
        <v>0</v>
      </c>
      <c r="F25" s="762">
        <f>Input!$DJ$9</f>
        <v>0</v>
      </c>
      <c r="G25" s="762">
        <f>Input!$DK$9</f>
        <v>0</v>
      </c>
      <c r="H25" s="762">
        <f>Input!$DL$9</f>
        <v>0</v>
      </c>
      <c r="I25" s="762">
        <f>Input!$DM$9</f>
        <v>0</v>
      </c>
      <c r="J25" s="762">
        <f>Input!$DN$9</f>
        <v>0</v>
      </c>
      <c r="K25" s="762">
        <f>Input!$DO$9</f>
        <v>0</v>
      </c>
      <c r="L25" s="762">
        <f>Input!$DP$9</f>
        <v>0</v>
      </c>
      <c r="M25" s="650">
        <f t="shared" si="3"/>
        <v>0</v>
      </c>
      <c r="O25" s="778"/>
      <c r="Q25" s="723"/>
      <c r="R25" s="723"/>
      <c r="S25" s="782"/>
      <c r="U25" s="788" t="s">
        <v>637</v>
      </c>
      <c r="V25" s="789"/>
      <c r="W25" s="789"/>
      <c r="X25" s="790">
        <f>(M26+M39)*-1</f>
        <v>1597381</v>
      </c>
      <c r="Y25" s="777"/>
      <c r="Z25" s="492"/>
    </row>
    <row r="26" spans="1:26" s="320" customFormat="1" ht="12.75" customHeight="1">
      <c r="A26" s="322"/>
      <c r="B26" s="320" t="s">
        <v>598</v>
      </c>
      <c r="C26" s="751"/>
      <c r="D26" s="762">
        <f>Input!$DQ$9</f>
        <v>-1437643</v>
      </c>
      <c r="E26" s="762">
        <f>Input!$DR$9</f>
        <v>0</v>
      </c>
      <c r="F26" s="762">
        <f>Input!$DS$9</f>
        <v>0</v>
      </c>
      <c r="G26" s="762">
        <f>Input!$DT$9</f>
        <v>0</v>
      </c>
      <c r="H26" s="762">
        <f>Input!$DU$9</f>
        <v>0</v>
      </c>
      <c r="I26" s="762">
        <f>Input!$DV$9</f>
        <v>0</v>
      </c>
      <c r="J26" s="762">
        <f>Input!$DW$9</f>
        <v>0</v>
      </c>
      <c r="K26" s="762">
        <f>Input!$DX$9</f>
        <v>0</v>
      </c>
      <c r="L26" s="762">
        <f>Input!$DY$9</f>
        <v>0</v>
      </c>
      <c r="M26" s="650">
        <f t="shared" si="3"/>
        <v>-1437643</v>
      </c>
      <c r="O26" s="778" t="s">
        <v>638</v>
      </c>
      <c r="Q26" s="723">
        <f>M36</f>
        <v>3100750</v>
      </c>
      <c r="R26" s="791"/>
      <c r="S26" s="792"/>
      <c r="U26" s="776" t="s">
        <v>639</v>
      </c>
      <c r="X26" s="793">
        <f>(M21+M34)*-1</f>
        <v>0</v>
      </c>
      <c r="Y26" s="777"/>
      <c r="Z26" s="492"/>
    </row>
    <row r="27" spans="1:26" s="320" customFormat="1">
      <c r="A27" s="322"/>
      <c r="B27" s="320" t="s">
        <v>599</v>
      </c>
      <c r="C27" s="751"/>
      <c r="D27" s="762">
        <f>Input!$DZ$9</f>
        <v>0</v>
      </c>
      <c r="E27" s="762">
        <f>Input!$EA$9</f>
        <v>0</v>
      </c>
      <c r="F27" s="762">
        <f>Input!$EB$9</f>
        <v>0</v>
      </c>
      <c r="G27" s="762">
        <f>Input!$EC$9</f>
        <v>0</v>
      </c>
      <c r="H27" s="762">
        <f>Input!$ED$9</f>
        <v>0</v>
      </c>
      <c r="I27" s="762">
        <f>Input!$EE$9</f>
        <v>0</v>
      </c>
      <c r="J27" s="762">
        <f>Input!$EF$9</f>
        <v>0</v>
      </c>
      <c r="K27" s="762">
        <f>Input!$EG$9</f>
        <v>0</v>
      </c>
      <c r="L27" s="762">
        <f>Input!$EH$9</f>
        <v>0</v>
      </c>
      <c r="M27" s="650">
        <f t="shared" si="3"/>
        <v>0</v>
      </c>
      <c r="O27" s="778"/>
      <c r="Q27" s="723"/>
      <c r="R27" s="791"/>
      <c r="S27" s="792"/>
      <c r="U27" s="780" t="s">
        <v>640</v>
      </c>
      <c r="V27" s="314"/>
      <c r="W27" s="314"/>
      <c r="X27" s="794">
        <f>SUM(X25:X26)</f>
        <v>1597381</v>
      </c>
      <c r="Y27" s="721"/>
    </row>
    <row r="28" spans="1:26" s="320" customFormat="1">
      <c r="A28" s="322"/>
      <c r="B28" s="320" t="s">
        <v>600</v>
      </c>
      <c r="C28" s="751"/>
      <c r="D28" s="762">
        <f>Input!$EI$9</f>
        <v>-1691463</v>
      </c>
      <c r="E28" s="762">
        <f>Input!$EJ$9</f>
        <v>0</v>
      </c>
      <c r="F28" s="762">
        <f>Input!$EK$9</f>
        <v>0</v>
      </c>
      <c r="G28" s="762">
        <f>Input!$EL$9</f>
        <v>0</v>
      </c>
      <c r="H28" s="762">
        <f>Input!$EM$9</f>
        <v>0</v>
      </c>
      <c r="I28" s="762">
        <f>Input!$EN$9</f>
        <v>0</v>
      </c>
      <c r="J28" s="762">
        <f>Input!$EO$9</f>
        <v>0</v>
      </c>
      <c r="K28" s="762">
        <f>Input!$EP$9</f>
        <v>0</v>
      </c>
      <c r="L28" s="762">
        <f>Input!$EQ$9</f>
        <v>0</v>
      </c>
      <c r="M28" s="650">
        <f t="shared" si="3"/>
        <v>-1691463</v>
      </c>
      <c r="O28" s="787" t="s">
        <v>641</v>
      </c>
      <c r="Q28" s="723"/>
      <c r="R28" s="723">
        <f>SUM(M37:M41)</f>
        <v>-347678</v>
      </c>
      <c r="S28" s="782"/>
      <c r="U28" s="776" t="s">
        <v>642</v>
      </c>
      <c r="X28" s="777">
        <f>(M27+M40)*-1</f>
        <v>0</v>
      </c>
      <c r="Y28" s="721"/>
      <c r="Z28" s="492"/>
    </row>
    <row r="29" spans="1:26" s="320" customFormat="1" ht="12" customHeight="1">
      <c r="A29" s="322"/>
      <c r="B29" s="795" t="s">
        <v>165</v>
      </c>
      <c r="C29" s="784"/>
      <c r="D29" s="769">
        <f t="shared" ref="D29:L29" si="4">SUM(D23:D28)</f>
        <v>14416971</v>
      </c>
      <c r="E29" s="769">
        <f t="shared" si="4"/>
        <v>38469051</v>
      </c>
      <c r="F29" s="769">
        <f t="shared" si="4"/>
        <v>0</v>
      </c>
      <c r="G29" s="769">
        <f t="shared" si="4"/>
        <v>0</v>
      </c>
      <c r="H29" s="769">
        <f t="shared" si="4"/>
        <v>0</v>
      </c>
      <c r="I29" s="769">
        <f t="shared" si="4"/>
        <v>0</v>
      </c>
      <c r="J29" s="769">
        <f t="shared" si="4"/>
        <v>0</v>
      </c>
      <c r="K29" s="769">
        <f t="shared" si="4"/>
        <v>0</v>
      </c>
      <c r="L29" s="769">
        <f t="shared" si="4"/>
        <v>0</v>
      </c>
      <c r="M29" s="769">
        <f t="shared" si="3"/>
        <v>52886022</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59115878</v>
      </c>
      <c r="R30" s="798">
        <f>R28+R24</f>
        <v>-3476784</v>
      </c>
      <c r="S30" s="799"/>
      <c r="U30" s="780" t="s">
        <v>645</v>
      </c>
      <c r="V30" s="314"/>
      <c r="W30" s="314"/>
      <c r="X30" s="794">
        <f>SUM(X28:X29)</f>
        <v>0</v>
      </c>
      <c r="Y30" s="721"/>
    </row>
    <row r="31" spans="1:26" s="320" customFormat="1" ht="12.75" customHeight="1">
      <c r="A31" s="322"/>
      <c r="B31" s="772" t="s">
        <v>238</v>
      </c>
      <c r="C31" s="772"/>
      <c r="D31" s="769">
        <f t="shared" ref="D31:L31" si="5">D36-SUM(D32:D35)</f>
        <v>0</v>
      </c>
      <c r="E31" s="769">
        <f t="shared" si="5"/>
        <v>0</v>
      </c>
      <c r="F31" s="769">
        <f t="shared" si="5"/>
        <v>3100750</v>
      </c>
      <c r="G31" s="769">
        <f t="shared" si="5"/>
        <v>0</v>
      </c>
      <c r="H31" s="769">
        <f t="shared" si="5"/>
        <v>0</v>
      </c>
      <c r="I31" s="769">
        <f t="shared" si="5"/>
        <v>0</v>
      </c>
      <c r="J31" s="769">
        <f t="shared" si="5"/>
        <v>0</v>
      </c>
      <c r="K31" s="769">
        <f t="shared" si="5"/>
        <v>0</v>
      </c>
      <c r="L31" s="769">
        <f t="shared" si="5"/>
        <v>0</v>
      </c>
      <c r="M31" s="769">
        <f t="shared" ref="M31:M42" si="6">D31+E31+F31+G31+H31+I31+J31+K31+L31</f>
        <v>3100750</v>
      </c>
      <c r="O31" s="778" t="s">
        <v>646</v>
      </c>
      <c r="Q31" s="406"/>
      <c r="S31" s="782"/>
      <c r="U31" s="800" t="s">
        <v>647</v>
      </c>
      <c r="V31" s="801"/>
      <c r="W31" s="801"/>
      <c r="X31" s="802">
        <f>X27+X30</f>
        <v>1597381</v>
      </c>
      <c r="Y31" s="777"/>
      <c r="Z31" s="492"/>
    </row>
    <row r="32" spans="1:26" s="320" customFormat="1" ht="12.75" customHeight="1">
      <c r="A32" s="322"/>
      <c r="B32" s="320" t="s">
        <v>592</v>
      </c>
      <c r="D32" s="762">
        <f>Input!$ER$9</f>
        <v>0</v>
      </c>
      <c r="E32" s="762">
        <f>Input!$ES$9</f>
        <v>0</v>
      </c>
      <c r="F32" s="762">
        <f>Input!$ET$9</f>
        <v>0</v>
      </c>
      <c r="G32" s="762">
        <f>Input!$EU$9</f>
        <v>0</v>
      </c>
      <c r="H32" s="762">
        <f>Input!$EV$9</f>
        <v>0</v>
      </c>
      <c r="I32" s="762">
        <f>Input!$EW$9</f>
        <v>0</v>
      </c>
      <c r="J32" s="762">
        <f>Input!$EX$9</f>
        <v>0</v>
      </c>
      <c r="K32" s="762">
        <f>Input!$EY$9</f>
        <v>0</v>
      </c>
      <c r="L32" s="762">
        <f>Input!$EZ$9</f>
        <v>0</v>
      </c>
      <c r="M32" s="650">
        <f t="shared" si="6"/>
        <v>0</v>
      </c>
      <c r="O32" s="803" t="s">
        <v>648</v>
      </c>
      <c r="P32" s="804"/>
      <c r="Q32" s="805">
        <f>Input!$TI$9</f>
        <v>59115878</v>
      </c>
      <c r="R32" s="804"/>
      <c r="S32" s="806"/>
      <c r="U32" s="776"/>
      <c r="Y32" s="777"/>
      <c r="Z32" s="492"/>
    </row>
    <row r="33" spans="1:28" s="320" customFormat="1">
      <c r="A33" s="322"/>
      <c r="B33" s="320" t="s">
        <v>593</v>
      </c>
      <c r="D33" s="762">
        <f>Input!$FA$9</f>
        <v>0</v>
      </c>
      <c r="E33" s="762">
        <f>Input!$FB$9</f>
        <v>0</v>
      </c>
      <c r="F33" s="762">
        <f>Input!$FC$9</f>
        <v>0</v>
      </c>
      <c r="G33" s="762">
        <f>Input!$FD$9</f>
        <v>0</v>
      </c>
      <c r="H33" s="762">
        <f>Input!$FE$9</f>
        <v>0</v>
      </c>
      <c r="I33" s="762">
        <f>Input!$FF$9</f>
        <v>0</v>
      </c>
      <c r="J33" s="762">
        <f>Input!$FG$9</f>
        <v>0</v>
      </c>
      <c r="K33" s="762">
        <f>Input!$FH$9</f>
        <v>0</v>
      </c>
      <c r="L33" s="762">
        <f>Input!$FI$9</f>
        <v>0</v>
      </c>
      <c r="M33" s="650">
        <f t="shared" si="6"/>
        <v>0</v>
      </c>
      <c r="O33" s="803"/>
      <c r="P33" s="804"/>
      <c r="Q33" s="723"/>
      <c r="R33" s="804"/>
      <c r="S33" s="806"/>
      <c r="U33" s="776" t="s">
        <v>649</v>
      </c>
      <c r="X33" s="492">
        <f>(M19+M32)*-1</f>
        <v>3430208</v>
      </c>
      <c r="Y33" s="777"/>
    </row>
    <row r="34" spans="1:28" s="320" customFormat="1">
      <c r="A34" s="322"/>
      <c r="B34" s="320" t="s">
        <v>594</v>
      </c>
      <c r="D34" s="762">
        <f>Input!$FJ$9</f>
        <v>0</v>
      </c>
      <c r="E34" s="762">
        <f>Input!$FK$9</f>
        <v>0</v>
      </c>
      <c r="F34" s="762">
        <f>Input!$FL$9</f>
        <v>0</v>
      </c>
      <c r="G34" s="762">
        <f>Input!$FM$9</f>
        <v>0</v>
      </c>
      <c r="H34" s="762">
        <f>Input!$FN$9</f>
        <v>0</v>
      </c>
      <c r="I34" s="762">
        <f>Input!$FO$9</f>
        <v>0</v>
      </c>
      <c r="J34" s="762">
        <f>Input!$FP$9</f>
        <v>0</v>
      </c>
      <c r="K34" s="762">
        <f>Input!$FQ$9</f>
        <v>0</v>
      </c>
      <c r="L34" s="762">
        <f>Input!$FR$9</f>
        <v>0</v>
      </c>
      <c r="M34" s="650">
        <f t="shared" si="6"/>
        <v>0</v>
      </c>
      <c r="O34" s="807" t="s">
        <v>650</v>
      </c>
      <c r="P34" s="808"/>
      <c r="Q34" s="320" t="s">
        <v>651</v>
      </c>
      <c r="R34" s="805">
        <f>Input!$TJ$9</f>
        <v>-3476784</v>
      </c>
      <c r="S34" s="809"/>
      <c r="U34" s="776" t="s">
        <v>652</v>
      </c>
      <c r="X34" s="739">
        <f>(M24+M37)*-1</f>
        <v>0</v>
      </c>
      <c r="Y34" s="777"/>
    </row>
    <row r="35" spans="1:28" s="320" customFormat="1" ht="13.8" thickBot="1">
      <c r="A35" s="322"/>
      <c r="B35" s="320" t="s">
        <v>595</v>
      </c>
      <c r="D35" s="762">
        <f>Input!$FS$9</f>
        <v>0</v>
      </c>
      <c r="E35" s="762">
        <f>Input!$FT$9</f>
        <v>0</v>
      </c>
      <c r="F35" s="762">
        <f>Input!$FU$9</f>
        <v>0</v>
      </c>
      <c r="G35" s="762">
        <f>Input!$FV$9</f>
        <v>0</v>
      </c>
      <c r="H35" s="762">
        <f>Input!$FW$9</f>
        <v>0</v>
      </c>
      <c r="I35" s="762">
        <f>Input!$FX$9</f>
        <v>0</v>
      </c>
      <c r="J35" s="762">
        <f>Input!$FY$9</f>
        <v>0</v>
      </c>
      <c r="K35" s="762">
        <f>Input!$FZ$9</f>
        <v>0</v>
      </c>
      <c r="L35" s="762">
        <f>Input!$GA$9</f>
        <v>0</v>
      </c>
      <c r="M35" s="650">
        <f t="shared" si="6"/>
        <v>0</v>
      </c>
      <c r="O35" s="810" t="s">
        <v>653</v>
      </c>
      <c r="P35" s="811"/>
      <c r="Q35" s="812">
        <f>Q30-Q32</f>
        <v>0</v>
      </c>
      <c r="R35" s="813">
        <f>R30-R34</f>
        <v>0</v>
      </c>
      <c r="S35" s="814"/>
      <c r="U35" s="780" t="s">
        <v>654</v>
      </c>
      <c r="V35" s="314"/>
      <c r="W35" s="314"/>
      <c r="X35" s="781">
        <f>SUM(X33:X34)</f>
        <v>3430208</v>
      </c>
      <c r="Y35" s="721"/>
    </row>
    <row r="36" spans="1:28" s="320" customFormat="1" ht="13.8" thickTop="1">
      <c r="A36" s="322"/>
      <c r="B36" s="772" t="s">
        <v>239</v>
      </c>
      <c r="C36" s="784"/>
      <c r="D36" s="785">
        <f>Input!$GB$9</f>
        <v>0</v>
      </c>
      <c r="E36" s="785">
        <f>Input!$GC$9</f>
        <v>0</v>
      </c>
      <c r="F36" s="785">
        <f>Input!$GD$9</f>
        <v>3100750</v>
      </c>
      <c r="G36" s="785">
        <f>Input!$GE$9</f>
        <v>0</v>
      </c>
      <c r="H36" s="785">
        <f>Input!$GF$9</f>
        <v>0</v>
      </c>
      <c r="I36" s="785">
        <f>Input!$GG$9</f>
        <v>0</v>
      </c>
      <c r="J36" s="785">
        <f>Input!$GH$9</f>
        <v>0</v>
      </c>
      <c r="K36" s="785">
        <f>Input!$GI$9</f>
        <v>0</v>
      </c>
      <c r="L36" s="785">
        <f>Input!$GJ$9</f>
        <v>0</v>
      </c>
      <c r="M36" s="786">
        <f t="shared" si="6"/>
        <v>3100750</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Input!$GK$9</f>
        <v>0</v>
      </c>
      <c r="E37" s="762">
        <f>Input!$GL$9</f>
        <v>0</v>
      </c>
      <c r="F37" s="762">
        <f>Input!$GM$9</f>
        <v>0</v>
      </c>
      <c r="G37" s="762">
        <f>Input!$GN$9</f>
        <v>0</v>
      </c>
      <c r="H37" s="762">
        <f>Input!$GO$9</f>
        <v>0</v>
      </c>
      <c r="I37" s="762">
        <f>Input!$GP$9</f>
        <v>0</v>
      </c>
      <c r="J37" s="762">
        <f>Input!$GQ$9</f>
        <v>0</v>
      </c>
      <c r="K37" s="762">
        <f>Input!$GR$9</f>
        <v>0</v>
      </c>
      <c r="L37" s="762">
        <f>Input!$GS$9</f>
        <v>0</v>
      </c>
      <c r="M37" s="650">
        <f t="shared" si="6"/>
        <v>0</v>
      </c>
      <c r="U37" s="776" t="s">
        <v>656</v>
      </c>
      <c r="X37" s="739">
        <f>(M25+M38)*-1</f>
        <v>0</v>
      </c>
      <c r="Y37" s="721"/>
    </row>
    <row r="38" spans="1:28" s="320" customFormat="1">
      <c r="A38" s="322"/>
      <c r="B38" s="320" t="s">
        <v>597</v>
      </c>
      <c r="C38" s="751"/>
      <c r="D38" s="762">
        <f>Input!$GT$9</f>
        <v>0</v>
      </c>
      <c r="E38" s="762">
        <f>Input!$GU$9</f>
        <v>0</v>
      </c>
      <c r="F38" s="762">
        <f>Input!$GV$9</f>
        <v>0</v>
      </c>
      <c r="G38" s="762">
        <f>Input!$GW$9</f>
        <v>0</v>
      </c>
      <c r="H38" s="762">
        <f>Input!$GX$9</f>
        <v>0</v>
      </c>
      <c r="I38" s="762">
        <f>Input!$GY$9</f>
        <v>0</v>
      </c>
      <c r="J38" s="762">
        <f>Input!$GZ$9</f>
        <v>0</v>
      </c>
      <c r="K38" s="762">
        <f>Input!$HA$9</f>
        <v>0</v>
      </c>
      <c r="L38" s="762">
        <f>Input!$HB$9</f>
        <v>0</v>
      </c>
      <c r="M38" s="650">
        <f t="shared" si="6"/>
        <v>0</v>
      </c>
      <c r="U38" s="780" t="s">
        <v>657</v>
      </c>
      <c r="V38" s="314"/>
      <c r="W38" s="314"/>
      <c r="X38" s="781">
        <f>SUM(X36:X37)</f>
        <v>0</v>
      </c>
      <c r="Y38" s="777"/>
    </row>
    <row r="39" spans="1:28" s="320" customFormat="1">
      <c r="A39" s="322"/>
      <c r="B39" s="320" t="s">
        <v>598</v>
      </c>
      <c r="C39" s="751"/>
      <c r="D39" s="762">
        <f>Input!$HC$9</f>
        <v>-159738</v>
      </c>
      <c r="E39" s="762">
        <f>Input!$HD$9</f>
        <v>0</v>
      </c>
      <c r="F39" s="762">
        <f>Input!$HE$9</f>
        <v>0</v>
      </c>
      <c r="G39" s="762">
        <f>Input!$HF$9</f>
        <v>0</v>
      </c>
      <c r="H39" s="762">
        <f>Input!$HG$9</f>
        <v>0</v>
      </c>
      <c r="I39" s="762">
        <f>Input!$HH$9</f>
        <v>0</v>
      </c>
      <c r="J39" s="762">
        <f>Input!$HI$9</f>
        <v>0</v>
      </c>
      <c r="K39" s="762">
        <f>Input!$HJ$9</f>
        <v>0</v>
      </c>
      <c r="L39" s="762">
        <f>Input!$HK$9</f>
        <v>0</v>
      </c>
      <c r="M39" s="650">
        <f t="shared" si="6"/>
        <v>-159738</v>
      </c>
      <c r="U39" s="776" t="s">
        <v>658</v>
      </c>
      <c r="X39" s="492"/>
      <c r="Y39" s="777">
        <f>X38+X35</f>
        <v>3430208</v>
      </c>
    </row>
    <row r="40" spans="1:28" s="320" customFormat="1">
      <c r="A40" s="322"/>
      <c r="B40" s="320" t="s">
        <v>599</v>
      </c>
      <c r="C40" s="751"/>
      <c r="D40" s="762">
        <f>Input!$HL$9</f>
        <v>0</v>
      </c>
      <c r="E40" s="762">
        <f>Input!$HM$9</f>
        <v>0</v>
      </c>
      <c r="F40" s="762">
        <f>Input!$HN$9</f>
        <v>0</v>
      </c>
      <c r="G40" s="762">
        <f>Input!$HO$9</f>
        <v>0</v>
      </c>
      <c r="H40" s="762">
        <f>Input!$HP$9</f>
        <v>0</v>
      </c>
      <c r="I40" s="762">
        <f>Input!$HQ$9</f>
        <v>0</v>
      </c>
      <c r="J40" s="762">
        <f>Input!$HR$9</f>
        <v>0</v>
      </c>
      <c r="K40" s="762">
        <f>Input!$HS$9</f>
        <v>0</v>
      </c>
      <c r="L40" s="762">
        <f>Input!$HT$9</f>
        <v>0</v>
      </c>
      <c r="M40" s="650">
        <f t="shared" si="6"/>
        <v>0</v>
      </c>
      <c r="U40" s="776"/>
      <c r="Y40" s="721"/>
    </row>
    <row r="41" spans="1:28" s="320" customFormat="1">
      <c r="A41" s="322"/>
      <c r="B41" s="320" t="s">
        <v>600</v>
      </c>
      <c r="C41" s="751"/>
      <c r="D41" s="762">
        <f>Input!$HU$9</f>
        <v>-187940</v>
      </c>
      <c r="E41" s="762">
        <f>Input!$HV$9</f>
        <v>0</v>
      </c>
      <c r="F41" s="762">
        <f>Input!$HW$9</f>
        <v>0</v>
      </c>
      <c r="G41" s="762">
        <f>Input!$HX$9</f>
        <v>0</v>
      </c>
      <c r="H41" s="762">
        <f>Input!$HY$9</f>
        <v>0</v>
      </c>
      <c r="I41" s="762">
        <f>Input!$HZ$9</f>
        <v>0</v>
      </c>
      <c r="J41" s="762">
        <f>Input!$IA$9</f>
        <v>0</v>
      </c>
      <c r="K41" s="762">
        <f>Input!$IB$9</f>
        <v>0</v>
      </c>
      <c r="L41" s="762">
        <f>Input!$IC$9</f>
        <v>0</v>
      </c>
      <c r="M41" s="650">
        <f t="shared" si="6"/>
        <v>-187940</v>
      </c>
      <c r="U41" s="776" t="s">
        <v>639</v>
      </c>
      <c r="X41" s="492">
        <f>(M21+M34)*-1</f>
        <v>0</v>
      </c>
      <c r="Y41" s="777"/>
    </row>
    <row r="42" spans="1:28" s="320" customFormat="1">
      <c r="A42" s="322"/>
      <c r="B42" s="795" t="s">
        <v>166</v>
      </c>
      <c r="C42" s="784"/>
      <c r="D42" s="769">
        <f t="shared" ref="D42:L42" si="7">SUM(D36:D41)</f>
        <v>-347678</v>
      </c>
      <c r="E42" s="769">
        <f t="shared" si="7"/>
        <v>0</v>
      </c>
      <c r="F42" s="769">
        <f t="shared" si="7"/>
        <v>3100750</v>
      </c>
      <c r="G42" s="769">
        <f t="shared" si="7"/>
        <v>0</v>
      </c>
      <c r="H42" s="769">
        <f t="shared" si="7"/>
        <v>0</v>
      </c>
      <c r="I42" s="769">
        <f t="shared" si="7"/>
        <v>0</v>
      </c>
      <c r="J42" s="769">
        <f t="shared" si="7"/>
        <v>0</v>
      </c>
      <c r="K42" s="769">
        <f t="shared" si="7"/>
        <v>0</v>
      </c>
      <c r="L42" s="769">
        <f t="shared" si="7"/>
        <v>0</v>
      </c>
      <c r="M42" s="769">
        <f t="shared" si="6"/>
        <v>2753072</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14069293</v>
      </c>
      <c r="E44" s="769">
        <f t="shared" si="8"/>
        <v>38469051</v>
      </c>
      <c r="F44" s="769">
        <f t="shared" si="8"/>
        <v>3100750</v>
      </c>
      <c r="G44" s="769">
        <f t="shared" si="8"/>
        <v>0</v>
      </c>
      <c r="H44" s="769">
        <f t="shared" si="8"/>
        <v>0</v>
      </c>
      <c r="I44" s="769">
        <f t="shared" si="8"/>
        <v>0</v>
      </c>
      <c r="J44" s="769">
        <f t="shared" si="8"/>
        <v>0</v>
      </c>
      <c r="K44" s="769">
        <f t="shared" si="8"/>
        <v>0</v>
      </c>
      <c r="L44" s="769">
        <f t="shared" si="8"/>
        <v>0</v>
      </c>
      <c r="M44" s="769">
        <f>D44+E44+F44+G44+H44+I44+J44+K44+L44</f>
        <v>55639094</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Input!$ID$9</f>
        <v>0</v>
      </c>
      <c r="E47" s="815">
        <f>Input!$IE$9</f>
        <v>52619580</v>
      </c>
      <c r="F47" s="815">
        <f>Input!$IF$9</f>
        <v>0</v>
      </c>
      <c r="G47" s="815">
        <f>Input!$IG$9</f>
        <v>155376901</v>
      </c>
      <c r="H47" s="815">
        <f>Input!$IH$9</f>
        <v>0</v>
      </c>
      <c r="I47" s="815">
        <f>Input!$II$9</f>
        <v>0</v>
      </c>
      <c r="J47" s="815">
        <f>Input!$IJ$9</f>
        <v>0</v>
      </c>
      <c r="K47" s="815">
        <f>Input!$IK$9</f>
        <v>0</v>
      </c>
      <c r="L47" s="815">
        <f>Input!$IL$9</f>
        <v>0</v>
      </c>
      <c r="M47" s="769">
        <f>D47+E47+F47+G47+H47+I47+J47+K47+L47</f>
        <v>207996481</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62546086</v>
      </c>
      <c r="Z49" s="320"/>
      <c r="AA49" s="320"/>
      <c r="AB49" s="320"/>
    </row>
    <row r="50" spans="1:28" s="752" customFormat="1">
      <c r="A50" s="460">
        <v>33</v>
      </c>
      <c r="B50" s="768" t="s">
        <v>200</v>
      </c>
      <c r="C50" s="768"/>
      <c r="D50" s="815">
        <f>Input!$IM$9</f>
        <v>0</v>
      </c>
      <c r="E50" s="815">
        <f>Input!$IN$9</f>
        <v>332331158</v>
      </c>
      <c r="F50" s="815">
        <f>Input!$IO$9</f>
        <v>0</v>
      </c>
      <c r="G50" s="815">
        <f>Input!$IP$9</f>
        <v>0</v>
      </c>
      <c r="H50" s="815">
        <f>Input!$IQ$9</f>
        <v>0</v>
      </c>
      <c r="I50" s="815">
        <f>Input!$IR$9</f>
        <v>0</v>
      </c>
      <c r="J50" s="815">
        <f>Input!$IS$9</f>
        <v>0</v>
      </c>
      <c r="K50" s="815">
        <f>Input!$IT$9</f>
        <v>0</v>
      </c>
      <c r="L50" s="815">
        <f>Input!$IU$9</f>
        <v>0</v>
      </c>
      <c r="M50" s="769">
        <f>D50+E50+F50+G50+H50+I50+J50+K50+L50</f>
        <v>332331158</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Input!$IV$9</f>
        <v>0</v>
      </c>
      <c r="E53" s="815">
        <f>Input!$IW$9</f>
        <v>0</v>
      </c>
      <c r="F53" s="815">
        <f>Input!$IX$9</f>
        <v>0</v>
      </c>
      <c r="G53" s="815">
        <f>Input!$IY$9</f>
        <v>0</v>
      </c>
      <c r="H53" s="815">
        <f>Input!$IZ$9</f>
        <v>0</v>
      </c>
      <c r="I53" s="815">
        <f>Input!$JA$9</f>
        <v>0</v>
      </c>
      <c r="J53" s="815">
        <f>Input!$JB$9</f>
        <v>0</v>
      </c>
      <c r="K53" s="815">
        <f>Input!$JC$9</f>
        <v>0</v>
      </c>
      <c r="L53" s="815">
        <f>Input!$JD$9</f>
        <v>0</v>
      </c>
      <c r="M53" s="769">
        <f>D53+E53+F53+G53+H53+I53+J53+K53+L53</f>
        <v>0</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Input!$JE$9</f>
        <v>28347</v>
      </c>
      <c r="E56" s="762">
        <f>Input!$JF$9</f>
        <v>37343454</v>
      </c>
      <c r="F56" s="762">
        <f>Input!$JG$9</f>
        <v>97699</v>
      </c>
      <c r="G56" s="762">
        <f>Input!$JH$9</f>
        <v>17909125</v>
      </c>
      <c r="H56" s="762">
        <f>Input!$JI$9</f>
        <v>12363</v>
      </c>
      <c r="I56" s="762">
        <f>Input!$JJ$9</f>
        <v>305441</v>
      </c>
      <c r="J56" s="762">
        <f>Input!$JK$9</f>
        <v>0</v>
      </c>
      <c r="K56" s="762">
        <f>Input!$JL$9</f>
        <v>0</v>
      </c>
      <c r="L56" s="762">
        <f>Input!$JM$9</f>
        <v>0</v>
      </c>
      <c r="M56" s="723">
        <f t="shared" ref="M56:M62" si="9">D56+E56+F56+G56+H56+I56+J56+K56+L56</f>
        <v>55696429</v>
      </c>
      <c r="O56" s="320"/>
      <c r="P56" s="320"/>
      <c r="Q56" s="320"/>
      <c r="R56" s="320"/>
      <c r="S56" s="320"/>
      <c r="T56" s="320"/>
      <c r="U56" s="320"/>
      <c r="V56" s="320"/>
      <c r="W56" s="320"/>
      <c r="X56" s="322"/>
      <c r="Y56" s="320"/>
      <c r="Z56" s="320"/>
      <c r="AA56" s="320"/>
      <c r="AB56" s="320"/>
    </row>
    <row r="57" spans="1:28" s="752" customFormat="1">
      <c r="A57" s="460">
        <v>40</v>
      </c>
      <c r="B57" s="752" t="s">
        <v>173</v>
      </c>
      <c r="D57" s="762">
        <f>Input!$JN$9</f>
        <v>0</v>
      </c>
      <c r="E57" s="762">
        <f>Input!$JO$9</f>
        <v>213532485</v>
      </c>
      <c r="F57" s="762">
        <f>Input!$JP$9</f>
        <v>0</v>
      </c>
      <c r="G57" s="762">
        <f>Input!$JQ$9</f>
        <v>3280341</v>
      </c>
      <c r="H57" s="762">
        <f>Input!$JR$9</f>
        <v>0</v>
      </c>
      <c r="I57" s="762">
        <f>Input!$JS$9</f>
        <v>0</v>
      </c>
      <c r="J57" s="762">
        <f>Input!$JT$9</f>
        <v>0</v>
      </c>
      <c r="K57" s="762">
        <f>Input!$JU$9</f>
        <v>0</v>
      </c>
      <c r="L57" s="762">
        <f>Input!$JV$9</f>
        <v>0</v>
      </c>
      <c r="M57" s="723">
        <f t="shared" si="9"/>
        <v>216812826</v>
      </c>
      <c r="O57" s="320"/>
      <c r="P57" s="819"/>
      <c r="Q57" s="320"/>
      <c r="R57" s="320"/>
      <c r="S57" s="320"/>
      <c r="T57" s="320"/>
      <c r="U57" s="320"/>
      <c r="V57" s="320"/>
      <c r="W57" s="320"/>
      <c r="X57" s="320"/>
      <c r="Y57" s="320"/>
      <c r="Z57" s="320"/>
      <c r="AA57" s="320"/>
      <c r="AB57" s="320"/>
    </row>
    <row r="58" spans="1:28" s="752" customFormat="1">
      <c r="A58" s="460">
        <v>41</v>
      </c>
      <c r="B58" s="752" t="s">
        <v>174</v>
      </c>
      <c r="D58" s="762">
        <f>Input!$JW$9</f>
        <v>0</v>
      </c>
      <c r="E58" s="762">
        <f>Input!$JX$9</f>
        <v>3944247</v>
      </c>
      <c r="F58" s="762">
        <f>Input!$JY$9</f>
        <v>0</v>
      </c>
      <c r="G58" s="762">
        <f>Input!$JZ$9</f>
        <v>43881194</v>
      </c>
      <c r="H58" s="762">
        <f>Input!$KA$9</f>
        <v>0</v>
      </c>
      <c r="I58" s="762">
        <f>Input!$KB$9</f>
        <v>0</v>
      </c>
      <c r="J58" s="762">
        <f>Input!$KC$9</f>
        <v>0</v>
      </c>
      <c r="K58" s="762">
        <f>Input!$KD$9</f>
        <v>0</v>
      </c>
      <c r="L58" s="762">
        <f>Input!$KE$9</f>
        <v>0</v>
      </c>
      <c r="M58" s="723">
        <f t="shared" si="9"/>
        <v>47825441</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Input!$KF$9</f>
        <v>5752806</v>
      </c>
      <c r="E59" s="762">
        <f>Input!$KG$9</f>
        <v>15590904</v>
      </c>
      <c r="F59" s="762">
        <f>Input!$KH$9</f>
        <v>0</v>
      </c>
      <c r="G59" s="762">
        <f>Input!$KI$9</f>
        <v>32549027</v>
      </c>
      <c r="H59" s="762">
        <f>Input!$KJ$9</f>
        <v>0</v>
      </c>
      <c r="I59" s="762">
        <f>Input!$KK$9</f>
        <v>0</v>
      </c>
      <c r="J59" s="762">
        <f>Input!$KL$9</f>
        <v>0</v>
      </c>
      <c r="K59" s="762">
        <f>Input!$KM$9</f>
        <v>0</v>
      </c>
      <c r="L59" s="762">
        <f>Input!$KN$9</f>
        <v>0</v>
      </c>
      <c r="M59" s="723">
        <f t="shared" si="9"/>
        <v>53892737</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Input!$KO$9</f>
        <v>0</v>
      </c>
      <c r="E60" s="762">
        <f>Input!$KP$9</f>
        <v>0</v>
      </c>
      <c r="F60" s="762">
        <f>Input!$KQ$9</f>
        <v>5080625</v>
      </c>
      <c r="G60" s="762">
        <f>Input!$KR$9</f>
        <v>0</v>
      </c>
      <c r="H60" s="762">
        <f>Input!$KS$9</f>
        <v>0</v>
      </c>
      <c r="I60" s="762">
        <f>Input!$KT$9</f>
        <v>0</v>
      </c>
      <c r="J60" s="762">
        <f>Input!$KU$9</f>
        <v>0</v>
      </c>
      <c r="K60" s="762">
        <f>Input!$KV$9</f>
        <v>0</v>
      </c>
      <c r="L60" s="762">
        <f>Input!$KW$9</f>
        <v>0</v>
      </c>
      <c r="M60" s="723">
        <f t="shared" si="9"/>
        <v>5080625</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Input!$KX$9</f>
        <v>0</v>
      </c>
      <c r="E61" s="762">
        <f>Input!$KY$9</f>
        <v>42457937</v>
      </c>
      <c r="F61" s="762">
        <f>Input!$KZ$9</f>
        <v>0</v>
      </c>
      <c r="G61" s="762">
        <f>Input!$LA$9</f>
        <v>2662776</v>
      </c>
      <c r="H61" s="762">
        <f>Input!$LB$9</f>
        <v>49212</v>
      </c>
      <c r="I61" s="762">
        <f>Input!$LC$9</f>
        <v>0</v>
      </c>
      <c r="J61" s="762">
        <f>Input!$LD$9</f>
        <v>0</v>
      </c>
      <c r="K61" s="762">
        <f>Input!$LE$9</f>
        <v>0</v>
      </c>
      <c r="L61" s="762">
        <f>Input!$LF$9</f>
        <v>-56604</v>
      </c>
      <c r="M61" s="723">
        <f t="shared" si="9"/>
        <v>45113321</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5781153</v>
      </c>
      <c r="E62" s="769">
        <f t="shared" si="10"/>
        <v>312869027</v>
      </c>
      <c r="F62" s="769">
        <f t="shared" si="10"/>
        <v>5178324</v>
      </c>
      <c r="G62" s="769">
        <f t="shared" si="10"/>
        <v>100282463</v>
      </c>
      <c r="H62" s="769">
        <f t="shared" si="10"/>
        <v>61575</v>
      </c>
      <c r="I62" s="769">
        <f t="shared" si="10"/>
        <v>305441</v>
      </c>
      <c r="J62" s="769">
        <f t="shared" si="10"/>
        <v>0</v>
      </c>
      <c r="K62" s="769">
        <f t="shared" si="10"/>
        <v>0</v>
      </c>
      <c r="L62" s="769">
        <f t="shared" si="10"/>
        <v>-56604</v>
      </c>
      <c r="M62" s="769">
        <f t="shared" si="9"/>
        <v>424421379</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208374087</v>
      </c>
      <c r="E63" s="769">
        <f t="shared" ref="E63:M63" si="11">E15+E44+E47+E50+E53+E62</f>
        <v>738091443</v>
      </c>
      <c r="F63" s="769">
        <f t="shared" si="11"/>
        <v>8279074</v>
      </c>
      <c r="G63" s="769">
        <f t="shared" si="11"/>
        <v>268000203</v>
      </c>
      <c r="H63" s="769">
        <f t="shared" si="11"/>
        <v>61575</v>
      </c>
      <c r="I63" s="769">
        <f t="shared" si="11"/>
        <v>305441</v>
      </c>
      <c r="J63" s="769">
        <f t="shared" si="11"/>
        <v>0</v>
      </c>
      <c r="K63" s="769">
        <f t="shared" si="11"/>
        <v>0</v>
      </c>
      <c r="L63" s="769">
        <f t="shared" si="11"/>
        <v>-56604</v>
      </c>
      <c r="M63" s="769">
        <f t="shared" si="11"/>
        <v>1223055219</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Input!$LG$9</f>
        <v>108802290</v>
      </c>
      <c r="E65" s="762">
        <f>Input!$LH$9</f>
        <v>325162391</v>
      </c>
      <c r="F65" s="762">
        <f>Input!$LI$9</f>
        <v>0</v>
      </c>
      <c r="G65" s="762">
        <f>Input!$LJ$9</f>
        <v>13332358</v>
      </c>
      <c r="H65" s="762">
        <f>Input!$LK$9</f>
        <v>0</v>
      </c>
      <c r="I65" s="762">
        <f>Input!$LL$9</f>
        <v>0</v>
      </c>
      <c r="J65" s="762">
        <f>Input!$LM$9</f>
        <v>0</v>
      </c>
      <c r="K65" s="762">
        <f>Input!$LN$9</f>
        <v>0</v>
      </c>
      <c r="L65" s="762">
        <f>Input!$LO$9</f>
        <v>0</v>
      </c>
      <c r="M65" s="723">
        <f t="shared" ref="M65:M77" si="12">D65+E65+F65+G65+H65+I65+J65+K65+L65</f>
        <v>447297039</v>
      </c>
      <c r="O65" s="824">
        <f>D65+E65+G65</f>
        <v>447297039</v>
      </c>
      <c r="P65" s="825">
        <f>Input!$TK$9</f>
        <v>2268560</v>
      </c>
      <c r="Q65" s="825">
        <f>Input!$TU$9</f>
        <v>0</v>
      </c>
      <c r="R65" s="825">
        <f>Input!$UD$9</f>
        <v>0</v>
      </c>
      <c r="S65" s="826">
        <f>O65+P65-Q65-R65</f>
        <v>449565599</v>
      </c>
      <c r="T65" s="492"/>
      <c r="U65" s="827">
        <f>D65+E65+F65+G65+J65</f>
        <v>447297039</v>
      </c>
      <c r="V65" s="492"/>
      <c r="W65" s="828" t="s">
        <v>92</v>
      </c>
      <c r="X65" s="829">
        <f>Input!$UO$9</f>
        <v>447297039</v>
      </c>
      <c r="Y65" s="830">
        <f t="shared" ref="Y65:Y74" si="13">X65-M65</f>
        <v>0</v>
      </c>
      <c r="Z65" s="492"/>
      <c r="AA65" s="492"/>
      <c r="AB65" s="492"/>
    </row>
    <row r="66" spans="1:28" s="752" customFormat="1" ht="14.4" thickTop="1" thickBot="1">
      <c r="A66" s="460">
        <v>49</v>
      </c>
      <c r="B66" s="823" t="s">
        <v>179</v>
      </c>
      <c r="C66" s="823"/>
      <c r="D66" s="762">
        <f>Input!$LP$9</f>
        <v>18551253</v>
      </c>
      <c r="E66" s="762">
        <f>Input!$LQ$9</f>
        <v>24605145</v>
      </c>
      <c r="F66" s="762">
        <f>Input!$LR$9</f>
        <v>0</v>
      </c>
      <c r="G66" s="762">
        <f>Input!$LS$9</f>
        <v>125933748</v>
      </c>
      <c r="H66" s="762">
        <f>Input!$LT$9</f>
        <v>0</v>
      </c>
      <c r="I66" s="762">
        <f>Input!$LU$9</f>
        <v>0</v>
      </c>
      <c r="J66" s="762">
        <f>Input!$LV$9</f>
        <v>0</v>
      </c>
      <c r="K66" s="762">
        <f>Input!$LW$9</f>
        <v>0</v>
      </c>
      <c r="L66" s="762">
        <f>Input!$LX$9</f>
        <v>0</v>
      </c>
      <c r="M66" s="723">
        <f t="shared" si="12"/>
        <v>169090146</v>
      </c>
      <c r="O66" s="831">
        <f t="shared" ref="O66:O72" si="14">D66+E66+G66</f>
        <v>169090146</v>
      </c>
      <c r="P66" s="832">
        <f>Input!$TL$9</f>
        <v>9471052</v>
      </c>
      <c r="Q66" s="832">
        <f>Input!$TV$9</f>
        <v>0</v>
      </c>
      <c r="R66" s="832">
        <f>Input!$UE$9</f>
        <v>0</v>
      </c>
      <c r="S66" s="833">
        <f>O66+P66-Q66-R66</f>
        <v>178561198</v>
      </c>
      <c r="T66" s="492"/>
      <c r="U66" s="834">
        <f t="shared" ref="U66:U76" si="15">D66+E66+F66+G66+J66</f>
        <v>169090146</v>
      </c>
      <c r="V66" s="492"/>
      <c r="W66" s="828" t="s">
        <v>179</v>
      </c>
      <c r="X66" s="835">
        <f>Input!$UP$9</f>
        <v>169090146</v>
      </c>
      <c r="Y66" s="836">
        <f t="shared" si="13"/>
        <v>0</v>
      </c>
      <c r="Z66" s="723"/>
      <c r="AA66" s="723"/>
      <c r="AB66" s="723"/>
    </row>
    <row r="67" spans="1:28" s="752" customFormat="1" ht="13.8" thickTop="1">
      <c r="A67" s="460">
        <v>50</v>
      </c>
      <c r="B67" s="823" t="s">
        <v>180</v>
      </c>
      <c r="C67" s="823"/>
      <c r="D67" s="762">
        <f>Input!$LY$9</f>
        <v>4318488</v>
      </c>
      <c r="E67" s="762">
        <f>Input!$LZ$9</f>
        <v>1841486</v>
      </c>
      <c r="F67" s="762">
        <f>Input!$MA$9</f>
        <v>0</v>
      </c>
      <c r="G67" s="762">
        <f>Input!$MB$9</f>
        <v>95019855</v>
      </c>
      <c r="H67" s="762">
        <f>Input!$MC$9</f>
        <v>0</v>
      </c>
      <c r="I67" s="762">
        <f>Input!$MD$9</f>
        <v>0</v>
      </c>
      <c r="J67" s="762">
        <f>Input!$ME$9</f>
        <v>0</v>
      </c>
      <c r="K67" s="762">
        <f>Input!$MF$9</f>
        <v>0</v>
      </c>
      <c r="L67" s="762">
        <f>Input!$MG$9</f>
        <v>0</v>
      </c>
      <c r="M67" s="723">
        <f t="shared" si="12"/>
        <v>101179829</v>
      </c>
      <c r="O67" s="831">
        <f t="shared" si="14"/>
        <v>101179829</v>
      </c>
      <c r="P67" s="832">
        <f>Input!$TM$9</f>
        <v>745330</v>
      </c>
      <c r="Q67" s="832">
        <f>Input!$TW$9</f>
        <v>4712756</v>
      </c>
      <c r="R67" s="832">
        <f>Input!$UF$9</f>
        <v>169883</v>
      </c>
      <c r="S67" s="837">
        <f t="shared" ref="S67:S72" si="16">O67+P67-Q67-R67</f>
        <v>97042520</v>
      </c>
      <c r="T67" s="723"/>
      <c r="U67" s="834">
        <f t="shared" si="15"/>
        <v>101179829</v>
      </c>
      <c r="V67" s="723"/>
      <c r="W67" s="828" t="s">
        <v>180</v>
      </c>
      <c r="X67" s="835">
        <f>Input!$UQ$9</f>
        <v>101179829</v>
      </c>
      <c r="Y67" s="836">
        <f t="shared" si="13"/>
        <v>0</v>
      </c>
      <c r="Z67" s="723"/>
      <c r="AA67" s="723"/>
      <c r="AB67" s="723"/>
    </row>
    <row r="68" spans="1:28" s="752" customFormat="1">
      <c r="A68" s="460">
        <v>51</v>
      </c>
      <c r="B68" s="823" t="s">
        <v>164</v>
      </c>
      <c r="C68" s="823"/>
      <c r="D68" s="762">
        <f>Input!$MH$9</f>
        <v>0</v>
      </c>
      <c r="E68" s="762">
        <f>Input!$MI$9</f>
        <v>207378571</v>
      </c>
      <c r="F68" s="762">
        <f>Input!$MJ$9</f>
        <v>0</v>
      </c>
      <c r="G68" s="762">
        <f>Input!$MK$9</f>
        <v>0</v>
      </c>
      <c r="H68" s="762">
        <f>Input!$ML$9</f>
        <v>0</v>
      </c>
      <c r="I68" s="762">
        <f>Input!$MM$9</f>
        <v>0</v>
      </c>
      <c r="J68" s="762">
        <f>Input!$MN$9</f>
        <v>0</v>
      </c>
      <c r="K68" s="762">
        <f>Input!$MO$9</f>
        <v>0</v>
      </c>
      <c r="L68" s="762">
        <f>Input!$MP$9</f>
        <v>0</v>
      </c>
      <c r="M68" s="723">
        <f t="shared" si="12"/>
        <v>207378571</v>
      </c>
      <c r="O68" s="831">
        <f t="shared" si="14"/>
        <v>207378571</v>
      </c>
      <c r="P68" s="832">
        <f>Input!$TN$9</f>
        <v>932721</v>
      </c>
      <c r="Q68" s="832">
        <f>Input!$TX$9</f>
        <v>0</v>
      </c>
      <c r="R68" s="832">
        <f>Input!$UG$9</f>
        <v>0</v>
      </c>
      <c r="S68" s="837">
        <f t="shared" si="16"/>
        <v>208311292</v>
      </c>
      <c r="T68" s="723"/>
      <c r="U68" s="834">
        <f t="shared" si="15"/>
        <v>207378571</v>
      </c>
      <c r="V68" s="723"/>
      <c r="W68" s="828" t="s">
        <v>164</v>
      </c>
      <c r="X68" s="835">
        <f>Input!$UR$9</f>
        <v>207378571</v>
      </c>
      <c r="Y68" s="836">
        <f t="shared" si="13"/>
        <v>0</v>
      </c>
      <c r="Z68" s="723"/>
      <c r="AA68" s="723"/>
      <c r="AB68" s="723"/>
    </row>
    <row r="69" spans="1:28" s="752" customFormat="1">
      <c r="A69" s="460">
        <v>52</v>
      </c>
      <c r="B69" s="823" t="s">
        <v>181</v>
      </c>
      <c r="C69" s="823"/>
      <c r="D69" s="762">
        <f>Input!$MQ$9</f>
        <v>36638963</v>
      </c>
      <c r="E69" s="762">
        <f>Input!$MR$9</f>
        <v>15446898</v>
      </c>
      <c r="F69" s="762">
        <f>Input!$MS$9</f>
        <v>0</v>
      </c>
      <c r="G69" s="762">
        <f>Input!$MT$9</f>
        <v>1836423</v>
      </c>
      <c r="H69" s="762">
        <f>Input!$MU$9</f>
        <v>0</v>
      </c>
      <c r="I69" s="762">
        <f>Input!$MV$9</f>
        <v>0</v>
      </c>
      <c r="J69" s="762">
        <f>Input!$MW$9</f>
        <v>0</v>
      </c>
      <c r="K69" s="762">
        <f>Input!$MX$9</f>
        <v>0</v>
      </c>
      <c r="L69" s="762">
        <f>Input!$MY$9</f>
        <v>0</v>
      </c>
      <c r="M69" s="723">
        <f t="shared" si="12"/>
        <v>53922284</v>
      </c>
      <c r="O69" s="831">
        <f t="shared" si="14"/>
        <v>53922284</v>
      </c>
      <c r="P69" s="832">
        <f>Input!$TO$9</f>
        <v>1923979</v>
      </c>
      <c r="Q69" s="832">
        <f>Input!$TY$9</f>
        <v>0</v>
      </c>
      <c r="R69" s="832">
        <f>Input!$UH$9</f>
        <v>0</v>
      </c>
      <c r="S69" s="837">
        <f t="shared" si="16"/>
        <v>55846263</v>
      </c>
      <c r="T69" s="723"/>
      <c r="U69" s="834">
        <f t="shared" si="15"/>
        <v>53922284</v>
      </c>
      <c r="V69" s="723"/>
      <c r="W69" s="828" t="s">
        <v>181</v>
      </c>
      <c r="X69" s="835">
        <f>Input!$US$9</f>
        <v>53922284</v>
      </c>
      <c r="Y69" s="836">
        <f t="shared" si="13"/>
        <v>0</v>
      </c>
      <c r="Z69" s="723"/>
      <c r="AA69" s="723"/>
      <c r="AB69" s="723"/>
    </row>
    <row r="70" spans="1:28" s="752" customFormat="1">
      <c r="A70" s="460">
        <v>53</v>
      </c>
      <c r="B70" s="823" t="s">
        <v>182</v>
      </c>
      <c r="C70" s="823"/>
      <c r="D70" s="762">
        <f>Input!$MZ$9</f>
        <v>2248620</v>
      </c>
      <c r="E70" s="762">
        <f>Input!$NA$9</f>
        <v>334248</v>
      </c>
      <c r="F70" s="762">
        <f>Input!$NB$9</f>
        <v>0</v>
      </c>
      <c r="G70" s="762">
        <f>Input!$NC$9</f>
        <v>3107</v>
      </c>
      <c r="H70" s="762">
        <f>Input!$ND$9</f>
        <v>242045</v>
      </c>
      <c r="I70" s="762">
        <f>Input!$NE$9</f>
        <v>0</v>
      </c>
      <c r="J70" s="762">
        <f>Input!$NF$9</f>
        <v>0</v>
      </c>
      <c r="K70" s="762">
        <f>Input!$NG$9</f>
        <v>0</v>
      </c>
      <c r="L70" s="762">
        <f>Input!$NH$9</f>
        <v>0</v>
      </c>
      <c r="M70" s="723">
        <f t="shared" si="12"/>
        <v>2828020</v>
      </c>
      <c r="O70" s="831">
        <f t="shared" si="14"/>
        <v>2585975</v>
      </c>
      <c r="P70" s="832">
        <f>Input!$TP$9</f>
        <v>0</v>
      </c>
      <c r="Q70" s="832">
        <f>Input!$TZ$9</f>
        <v>0</v>
      </c>
      <c r="R70" s="832">
        <f>Input!$UI$9</f>
        <v>0</v>
      </c>
      <c r="S70" s="837">
        <f t="shared" si="16"/>
        <v>2585975</v>
      </c>
      <c r="T70" s="723"/>
      <c r="U70" s="834">
        <f t="shared" si="15"/>
        <v>2585975</v>
      </c>
      <c r="V70" s="723"/>
      <c r="W70" s="828" t="s">
        <v>182</v>
      </c>
      <c r="X70" s="835">
        <f>Input!$UT$9</f>
        <v>2828020</v>
      </c>
      <c r="Y70" s="836">
        <f t="shared" si="13"/>
        <v>0</v>
      </c>
      <c r="Z70" s="723"/>
      <c r="AA70" s="723"/>
      <c r="AB70" s="723"/>
    </row>
    <row r="71" spans="1:28" s="752" customFormat="1">
      <c r="A71" s="460">
        <v>54</v>
      </c>
      <c r="B71" s="823" t="s">
        <v>183</v>
      </c>
      <c r="C71" s="823"/>
      <c r="D71" s="762">
        <f>Input!$NI$9</f>
        <v>36959374</v>
      </c>
      <c r="E71" s="762">
        <f>Input!$NJ$9</f>
        <v>26210259</v>
      </c>
      <c r="F71" s="762">
        <f>Input!$NK$9</f>
        <v>0</v>
      </c>
      <c r="G71" s="762">
        <f>Input!$NL$9</f>
        <v>542044</v>
      </c>
      <c r="H71" s="762">
        <f>Input!$NM$9</f>
        <v>0</v>
      </c>
      <c r="I71" s="762">
        <f>Input!$NN$9</f>
        <v>0</v>
      </c>
      <c r="J71" s="762">
        <f>Input!$NO$9</f>
        <v>0</v>
      </c>
      <c r="K71" s="762">
        <f>Input!$NP$9</f>
        <v>0</v>
      </c>
      <c r="L71" s="762">
        <f>Input!$NQ$9</f>
        <v>0</v>
      </c>
      <c r="M71" s="723">
        <f t="shared" si="12"/>
        <v>63711677</v>
      </c>
      <c r="O71" s="831">
        <f t="shared" si="14"/>
        <v>63711677</v>
      </c>
      <c r="P71" s="832">
        <f>Input!$TQ$9</f>
        <v>92743</v>
      </c>
      <c r="Q71" s="832">
        <f>Input!$UA$9</f>
        <v>0</v>
      </c>
      <c r="R71" s="832">
        <f>Input!$UJ$9</f>
        <v>0</v>
      </c>
      <c r="S71" s="837">
        <f t="shared" si="16"/>
        <v>63804420</v>
      </c>
      <c r="T71" s="723"/>
      <c r="U71" s="834">
        <f t="shared" si="15"/>
        <v>63711677</v>
      </c>
      <c r="V71" s="723"/>
      <c r="W71" s="828" t="s">
        <v>183</v>
      </c>
      <c r="X71" s="835">
        <f>Input!$UU$9</f>
        <v>63711677</v>
      </c>
      <c r="Y71" s="836">
        <f t="shared" si="13"/>
        <v>0</v>
      </c>
      <c r="Z71" s="723"/>
      <c r="AA71" s="723"/>
      <c r="AB71" s="723"/>
    </row>
    <row r="72" spans="1:28" s="752" customFormat="1">
      <c r="A72" s="460">
        <v>55</v>
      </c>
      <c r="B72" s="823" t="s">
        <v>184</v>
      </c>
      <c r="C72" s="823"/>
      <c r="D72" s="762">
        <f>Input!$NR$9</f>
        <v>15250710</v>
      </c>
      <c r="E72" s="762">
        <f>Input!$NS$9</f>
        <v>30114810</v>
      </c>
      <c r="F72" s="762">
        <f>Input!$NT$9</f>
        <v>0</v>
      </c>
      <c r="G72" s="762">
        <f>Input!$NU$9</f>
        <v>190519</v>
      </c>
      <c r="H72" s="762">
        <f>Input!$NV$9</f>
        <v>0</v>
      </c>
      <c r="I72" s="762">
        <f>Input!$NW$9</f>
        <v>0</v>
      </c>
      <c r="J72" s="762">
        <f>Input!$NX$9</f>
        <v>1536515</v>
      </c>
      <c r="K72" s="762">
        <f>Input!$NY$9</f>
        <v>0</v>
      </c>
      <c r="L72" s="762">
        <f>Input!$NZ$9</f>
        <v>0</v>
      </c>
      <c r="M72" s="723">
        <f t="shared" si="12"/>
        <v>47092554</v>
      </c>
      <c r="O72" s="831">
        <f t="shared" si="14"/>
        <v>45556039</v>
      </c>
      <c r="P72" s="832">
        <f>Input!$TR$9</f>
        <v>1705581</v>
      </c>
      <c r="Q72" s="832">
        <f>Input!$UB$9</f>
        <v>0</v>
      </c>
      <c r="R72" s="832">
        <f>Input!$UK$9</f>
        <v>0</v>
      </c>
      <c r="S72" s="837">
        <f t="shared" si="16"/>
        <v>47261620</v>
      </c>
      <c r="T72" s="723"/>
      <c r="U72" s="834">
        <f t="shared" si="15"/>
        <v>47092554</v>
      </c>
      <c r="V72" s="723"/>
      <c r="W72" s="828" t="s">
        <v>671</v>
      </c>
      <c r="X72" s="835">
        <f>Input!$UV$9</f>
        <v>47092554</v>
      </c>
      <c r="Y72" s="836">
        <f t="shared" si="13"/>
        <v>0</v>
      </c>
      <c r="Z72" s="723"/>
      <c r="AA72" s="723"/>
      <c r="AB72" s="723"/>
    </row>
    <row r="73" spans="1:28" s="752" customFormat="1" ht="13.8" thickBot="1">
      <c r="A73" s="460">
        <v>56</v>
      </c>
      <c r="B73" s="823" t="s">
        <v>185</v>
      </c>
      <c r="C73" s="823"/>
      <c r="D73" s="762">
        <f>Input!$OA$9</f>
        <v>1803514</v>
      </c>
      <c r="E73" s="762">
        <f>Input!$OB$9</f>
        <v>3466194</v>
      </c>
      <c r="F73" s="762">
        <f>Input!$OC$9</f>
        <v>0</v>
      </c>
      <c r="G73" s="762">
        <f>Input!$OD$9</f>
        <v>7591579</v>
      </c>
      <c r="H73" s="762">
        <f>Input!$OE$9</f>
        <v>0</v>
      </c>
      <c r="I73" s="762">
        <f>Input!$OF$9</f>
        <v>0</v>
      </c>
      <c r="J73" s="762">
        <f>Input!$OG$9</f>
        <v>0</v>
      </c>
      <c r="K73" s="762">
        <f>Input!$OH$9</f>
        <v>0</v>
      </c>
      <c r="L73" s="762">
        <f>Input!$OI$9</f>
        <v>0</v>
      </c>
      <c r="M73" s="723">
        <f t="shared" si="12"/>
        <v>12861287</v>
      </c>
      <c r="O73" s="838">
        <f>D73+E73+G73</f>
        <v>12861287</v>
      </c>
      <c r="P73" s="832">
        <f>Input!$TS$9</f>
        <v>200000</v>
      </c>
      <c r="Q73" s="839">
        <f>Input!$UC$9</f>
        <v>0</v>
      </c>
      <c r="R73" s="839">
        <f>Input!$UL$9</f>
        <v>0</v>
      </c>
      <c r="S73" s="840">
        <f>O73+P73-Q73-R73</f>
        <v>13061287</v>
      </c>
      <c r="T73" s="841"/>
      <c r="U73" s="834">
        <f t="shared" si="15"/>
        <v>12861287</v>
      </c>
      <c r="V73" s="841"/>
      <c r="W73" s="828" t="s">
        <v>185</v>
      </c>
      <c r="X73" s="835">
        <f>Input!$UW$9</f>
        <v>12861287</v>
      </c>
      <c r="Y73" s="836">
        <f t="shared" si="13"/>
        <v>0</v>
      </c>
      <c r="Z73" s="723"/>
      <c r="AA73" s="723"/>
      <c r="AB73" s="723"/>
    </row>
    <row r="74" spans="1:28" s="752" customFormat="1" ht="13.8" thickTop="1">
      <c r="A74" s="460">
        <v>57</v>
      </c>
      <c r="B74" s="823" t="s">
        <v>472</v>
      </c>
      <c r="C74" s="823"/>
      <c r="D74" s="762">
        <f>Input!$OJ$9</f>
        <v>0</v>
      </c>
      <c r="E74" s="762">
        <f>Input!$OK$9</f>
        <v>0</v>
      </c>
      <c r="F74" s="762">
        <f>Input!$OL$9</f>
        <v>5170202</v>
      </c>
      <c r="G74" s="762">
        <f>Input!$OM$9</f>
        <v>0</v>
      </c>
      <c r="H74" s="762">
        <f>Input!$ON$9</f>
        <v>0</v>
      </c>
      <c r="I74" s="762">
        <f>Input!$OO$9</f>
        <v>0</v>
      </c>
      <c r="J74" s="762">
        <f>Input!$OP$9</f>
        <v>0</v>
      </c>
      <c r="K74" s="762">
        <f>Input!$OQ$9</f>
        <v>0</v>
      </c>
      <c r="L74" s="762">
        <f>Input!$OR$9</f>
        <v>0</v>
      </c>
      <c r="M74" s="723">
        <f t="shared" si="12"/>
        <v>5170202</v>
      </c>
      <c r="O74" s="492"/>
      <c r="P74" s="842">
        <f>Input!$TT$9</f>
        <v>425351</v>
      </c>
      <c r="Q74" s="843"/>
      <c r="R74" s="844"/>
      <c r="S74" s="845">
        <f>SUM(S65:S73)</f>
        <v>1116040174</v>
      </c>
      <c r="T74" s="844"/>
      <c r="U74" s="834">
        <f t="shared" si="15"/>
        <v>5170202</v>
      </c>
      <c r="V74" s="844"/>
      <c r="W74" s="828" t="s">
        <v>186</v>
      </c>
      <c r="X74" s="835">
        <f>Input!$UX$9</f>
        <v>5170202</v>
      </c>
      <c r="Y74" s="836">
        <f t="shared" si="13"/>
        <v>0</v>
      </c>
      <c r="Z74" s="723"/>
      <c r="AA74" s="723"/>
      <c r="AB74" s="723"/>
    </row>
    <row r="75" spans="1:28" s="752" customFormat="1">
      <c r="A75" s="460">
        <v>58</v>
      </c>
      <c r="B75" s="846" t="s">
        <v>602</v>
      </c>
      <c r="C75" s="846"/>
      <c r="D75" s="762">
        <f>Input!$OS$9</f>
        <v>994022</v>
      </c>
      <c r="E75" s="762">
        <f>Input!$OT$9</f>
        <v>11545041</v>
      </c>
      <c r="F75" s="762">
        <f>Input!$OU$9</f>
        <v>425351</v>
      </c>
      <c r="G75" s="762">
        <f>Input!$OV$9</f>
        <v>4800903</v>
      </c>
      <c r="H75" s="762">
        <f>Input!$OW$9</f>
        <v>0</v>
      </c>
      <c r="I75" s="762">
        <f>Input!$OX$9</f>
        <v>0</v>
      </c>
      <c r="J75" s="762">
        <f>Input!$OY$9</f>
        <v>0</v>
      </c>
      <c r="K75" s="762">
        <f>Input!$OZ$9</f>
        <v>0</v>
      </c>
      <c r="L75" s="762">
        <f>Input!$PA$9</f>
        <v>0</v>
      </c>
      <c r="M75" s="723">
        <f t="shared" si="12"/>
        <v>17765317</v>
      </c>
      <c r="O75" s="492"/>
      <c r="P75" s="492">
        <f>SUM(P65:P74)</f>
        <v>17765317</v>
      </c>
      <c r="Q75" s="843" t="s">
        <v>672</v>
      </c>
      <c r="R75" s="844"/>
      <c r="S75" s="847"/>
      <c r="T75" s="844"/>
      <c r="U75" s="834">
        <f t="shared" si="15"/>
        <v>17765317</v>
      </c>
      <c r="V75" s="844"/>
      <c r="W75" s="828" t="s">
        <v>673</v>
      </c>
      <c r="X75" s="848">
        <f>M93*-1</f>
        <v>67461322</v>
      </c>
      <c r="Y75" s="836">
        <f>X75+M93</f>
        <v>0</v>
      </c>
      <c r="Z75" s="849"/>
      <c r="AA75" s="849"/>
      <c r="AB75" s="849"/>
    </row>
    <row r="76" spans="1:28" s="752" customFormat="1" ht="13.8" thickBot="1">
      <c r="A76" s="460">
        <v>59</v>
      </c>
      <c r="B76" s="850" t="s">
        <v>603</v>
      </c>
      <c r="C76" s="850"/>
      <c r="D76" s="851">
        <f>Input!$PB$9</f>
        <v>0</v>
      </c>
      <c r="E76" s="851">
        <f>Input!$PC$9</f>
        <v>748225</v>
      </c>
      <c r="F76" s="851">
        <f>Input!$PD$9</f>
        <v>0</v>
      </c>
      <c r="G76" s="851">
        <f>Input!$PE$9</f>
        <v>3531</v>
      </c>
      <c r="H76" s="851">
        <f>Input!$PF$9</f>
        <v>0</v>
      </c>
      <c r="I76" s="851">
        <f>Input!$PG$9</f>
        <v>0</v>
      </c>
      <c r="J76" s="851">
        <f>Input!$PH$9</f>
        <v>0</v>
      </c>
      <c r="K76" s="851">
        <f>Input!$PI$9</f>
        <v>0</v>
      </c>
      <c r="L76" s="851">
        <f>Input!$PJ$9</f>
        <v>0</v>
      </c>
      <c r="M76" s="723">
        <f t="shared" si="12"/>
        <v>751756</v>
      </c>
      <c r="O76" s="492"/>
      <c r="P76" s="852" t="str">
        <f>IF(P75&lt;&gt;M75,"Out of Balance","Balanced")</f>
        <v>Balanced</v>
      </c>
      <c r="Q76" s="1213" t="s">
        <v>674</v>
      </c>
      <c r="R76" s="1214"/>
      <c r="S76" s="853">
        <f>Input!$UM$9</f>
        <v>0</v>
      </c>
      <c r="T76" s="492"/>
      <c r="U76" s="854">
        <f t="shared" si="15"/>
        <v>751756</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225567234</v>
      </c>
      <c r="E77" s="769">
        <f t="shared" si="17"/>
        <v>646853268</v>
      </c>
      <c r="F77" s="769">
        <f t="shared" si="17"/>
        <v>5595553</v>
      </c>
      <c r="G77" s="769">
        <f t="shared" si="17"/>
        <v>249254067</v>
      </c>
      <c r="H77" s="769">
        <f t="shared" si="17"/>
        <v>242045</v>
      </c>
      <c r="I77" s="769">
        <f t="shared" si="17"/>
        <v>0</v>
      </c>
      <c r="J77" s="769">
        <f t="shared" si="17"/>
        <v>1536515</v>
      </c>
      <c r="K77" s="769">
        <f t="shared" si="17"/>
        <v>0</v>
      </c>
      <c r="L77" s="769">
        <f t="shared" si="17"/>
        <v>0</v>
      </c>
      <c r="M77" s="769">
        <f t="shared" si="12"/>
        <v>1129048682</v>
      </c>
      <c r="O77" s="320"/>
      <c r="P77" s="492"/>
      <c r="Q77" s="859" t="s">
        <v>676</v>
      </c>
      <c r="R77" s="860"/>
      <c r="S77" s="861">
        <f>Input!$UN$9</f>
        <v>0</v>
      </c>
      <c r="T77" s="320"/>
      <c r="U77" s="862">
        <f>SUM(U65:U76)</f>
        <v>1128806637</v>
      </c>
      <c r="V77" s="320"/>
      <c r="W77" s="320"/>
      <c r="X77" s="863">
        <f>SUM(X65:X76)</f>
        <v>1177992931</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1116040174</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Input!$PK$9</f>
        <v>0</v>
      </c>
      <c r="E80" s="762">
        <f>Input!$PL$9</f>
        <v>0</v>
      </c>
      <c r="F80" s="762">
        <f>Input!$PM$9</f>
        <v>0</v>
      </c>
      <c r="G80" s="762">
        <f>Input!$PN$9</f>
        <v>0</v>
      </c>
      <c r="H80" s="762">
        <f>Input!$PO$9</f>
        <v>0</v>
      </c>
      <c r="I80" s="762">
        <f>Input!$PP$9</f>
        <v>0</v>
      </c>
      <c r="J80" s="762">
        <f>Input!$PQ$9</f>
        <v>-124934051</v>
      </c>
      <c r="K80" s="762">
        <f>Input!$PR$9</f>
        <v>0</v>
      </c>
      <c r="L80" s="762">
        <f>Input!$PS$9</f>
        <v>0</v>
      </c>
      <c r="M80" s="723">
        <f>D80+E80+F80+G80+H80+I80+J80+K80+L80</f>
        <v>-124934051</v>
      </c>
      <c r="O80" s="492"/>
      <c r="P80" s="492"/>
      <c r="Q80" s="723"/>
      <c r="R80" s="320"/>
      <c r="S80" s="443" t="s">
        <v>704</v>
      </c>
      <c r="T80" s="868"/>
      <c r="U80" s="723"/>
      <c r="V80" s="320"/>
      <c r="W80" s="320"/>
      <c r="X80" s="320"/>
      <c r="Y80" s="320"/>
      <c r="Z80" s="320"/>
      <c r="AA80" s="320"/>
      <c r="AB80" s="320"/>
    </row>
    <row r="81" spans="1:28" s="752" customFormat="1" ht="13.8" thickBot="1">
      <c r="A81" s="460">
        <v>64</v>
      </c>
      <c r="B81" s="752" t="s">
        <v>566</v>
      </c>
      <c r="D81" s="762">
        <f>Input!$PT$9</f>
        <v>25915030</v>
      </c>
      <c r="E81" s="762">
        <f>Input!$PU$9</f>
        <v>-36126447</v>
      </c>
      <c r="F81" s="762">
        <f>Input!$PV$9</f>
        <v>-51900</v>
      </c>
      <c r="G81" s="762">
        <f>Input!$PW$9</f>
        <v>-10319227</v>
      </c>
      <c r="H81" s="762">
        <f>Input!$PX$9</f>
        <v>3512</v>
      </c>
      <c r="I81" s="762">
        <f>Input!$PY$9</f>
        <v>6169679</v>
      </c>
      <c r="J81" s="762">
        <f>Input!$PZ$9</f>
        <v>12806758</v>
      </c>
      <c r="K81" s="762">
        <f>Input!$QA$9</f>
        <v>0</v>
      </c>
      <c r="L81" s="762">
        <f>Input!$QB$9</f>
        <v>-4169523</v>
      </c>
      <c r="M81" s="723">
        <f>D81+E81+F81+G81+H81+I81+J81+K81+L81</f>
        <v>-5772118</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Input!$QC$9</f>
        <v>0</v>
      </c>
      <c r="E82" s="762">
        <f>Input!$QD$9</f>
        <v>0</v>
      </c>
      <c r="F82" s="762">
        <f>Input!$QE$9</f>
        <v>0</v>
      </c>
      <c r="G82" s="762">
        <f>Input!$QF$9</f>
        <v>0</v>
      </c>
      <c r="H82" s="762">
        <f>Input!$QG$9</f>
        <v>0</v>
      </c>
      <c r="I82" s="762">
        <f>Input!$QH$9</f>
        <v>0</v>
      </c>
      <c r="J82" s="762">
        <f>Input!$QI$9</f>
        <v>88553289</v>
      </c>
      <c r="K82" s="762">
        <f>Input!$QJ$9</f>
        <v>0</v>
      </c>
      <c r="L82" s="762">
        <f>Input!$QK$9</f>
        <v>0</v>
      </c>
      <c r="M82" s="723">
        <f>D82+E82+F82+G82+H82+I82+J82+K82+L82</f>
        <v>88553289</v>
      </c>
      <c r="O82" s="492"/>
      <c r="P82" s="1218" t="str">
        <f>IF(M91&lt;0,"Footnote 11 is N/A - No Data Entry Required","Footnote 11")</f>
        <v>Footnote 11 is N/A - No Data Entry Required</v>
      </c>
      <c r="Q82" s="1219"/>
      <c r="R82" s="1219"/>
      <c r="S82" s="1220"/>
      <c r="T82" s="443"/>
      <c r="U82" s="443"/>
      <c r="V82" s="320"/>
      <c r="W82" s="320"/>
      <c r="X82" s="320"/>
      <c r="Y82" s="320"/>
      <c r="Z82" s="320"/>
      <c r="AA82" s="320"/>
      <c r="AB82" s="320"/>
    </row>
    <row r="83" spans="1:28" s="752" customFormat="1" ht="13.8" thickTop="1">
      <c r="A83" s="460">
        <v>66</v>
      </c>
      <c r="B83" s="752" t="s">
        <v>477</v>
      </c>
      <c r="D83" s="762">
        <f>Input!$QL$9</f>
        <v>-15896200</v>
      </c>
      <c r="E83" s="762">
        <f>Input!$QM$9</f>
        <v>-5522546</v>
      </c>
      <c r="F83" s="762">
        <f>Input!$QN$9</f>
        <v>-227944</v>
      </c>
      <c r="G83" s="762">
        <f>Input!$QO$9</f>
        <v>0</v>
      </c>
      <c r="H83" s="762">
        <f>Input!$QP$9</f>
        <v>0</v>
      </c>
      <c r="I83" s="762">
        <f>Input!$QQ$9</f>
        <v>0</v>
      </c>
      <c r="J83" s="762">
        <f>Input!$QR$9</f>
        <v>0</v>
      </c>
      <c r="K83" s="762">
        <f>Input!$QS$9</f>
        <v>0</v>
      </c>
      <c r="L83" s="762">
        <f>Input!$QT$9</f>
        <v>0</v>
      </c>
      <c r="M83" s="723">
        <f>D83+E83+F83+G83+H83+I83+J83+K83+L83</f>
        <v>-21646690</v>
      </c>
      <c r="O83" s="723"/>
      <c r="P83" s="869" t="s">
        <v>678</v>
      </c>
      <c r="Q83" s="870"/>
      <c r="R83" s="871"/>
      <c r="S83" s="872" t="str">
        <f>IF(M91&lt;0,"N/A",M91)</f>
        <v>N/A</v>
      </c>
      <c r="T83" s="492"/>
      <c r="U83" s="443"/>
      <c r="V83" s="320"/>
      <c r="W83" s="320"/>
      <c r="X83" s="443"/>
      <c r="Y83" s="443"/>
      <c r="Z83" s="320"/>
      <c r="AA83" s="320"/>
      <c r="AB83" s="320"/>
    </row>
    <row r="84" spans="1:28" s="752" customFormat="1">
      <c r="A84" s="460">
        <v>67</v>
      </c>
      <c r="B84" s="858" t="s">
        <v>155</v>
      </c>
      <c r="C84" s="858"/>
      <c r="D84" s="769">
        <f t="shared" ref="D84:L84" si="18">SUM(D80:D83)</f>
        <v>10018830</v>
      </c>
      <c r="E84" s="769">
        <f t="shared" si="18"/>
        <v>-41648993</v>
      </c>
      <c r="F84" s="769">
        <f t="shared" si="18"/>
        <v>-279844</v>
      </c>
      <c r="G84" s="769">
        <f t="shared" si="18"/>
        <v>-10319227</v>
      </c>
      <c r="H84" s="769">
        <f t="shared" si="18"/>
        <v>3512</v>
      </c>
      <c r="I84" s="769">
        <f t="shared" si="18"/>
        <v>6169679</v>
      </c>
      <c r="J84" s="769">
        <f t="shared" si="18"/>
        <v>-23574004</v>
      </c>
      <c r="K84" s="769">
        <f t="shared" si="18"/>
        <v>0</v>
      </c>
      <c r="L84" s="769">
        <f t="shared" si="18"/>
        <v>-4169523</v>
      </c>
      <c r="M84" s="769">
        <f>D84+E84+F84+G84+H84+I84+J84+K84+L84</f>
        <v>-63799570</v>
      </c>
      <c r="O84" s="723"/>
      <c r="P84" s="873" t="s">
        <v>679</v>
      </c>
      <c r="Q84" s="492"/>
      <c r="R84" s="492"/>
      <c r="S84" s="874">
        <f>Input!$UY$9</f>
        <v>0</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t="str">
        <f>IF(M91&lt;0,"",S83-S84)</f>
        <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Input!$QU$9</f>
        <v>0</v>
      </c>
      <c r="E87" s="762">
        <f>Input!$QV$9</f>
        <v>-43442137</v>
      </c>
      <c r="F87" s="762">
        <f>Input!$QW$9</f>
        <v>0</v>
      </c>
      <c r="G87" s="762">
        <f>Input!$QX$9</f>
        <v>-10073400</v>
      </c>
      <c r="H87" s="762">
        <f>Input!$QY$9</f>
        <v>-195589</v>
      </c>
      <c r="I87" s="762">
        <f>Input!$QZ$9</f>
        <v>-84867337</v>
      </c>
      <c r="J87" s="762">
        <f>Input!$RA$9</f>
        <v>0</v>
      </c>
      <c r="K87" s="762">
        <f>Input!$RB$9</f>
        <v>0</v>
      </c>
      <c r="L87" s="762">
        <f>Input!$RC$9</f>
        <v>0</v>
      </c>
      <c r="M87" s="723">
        <f>D87+E87+F87+G87+H87+I87+J87+K87+L87</f>
        <v>-138578463</v>
      </c>
      <c r="O87" s="320"/>
      <c r="P87" s="873" t="s">
        <v>681</v>
      </c>
      <c r="Q87" s="320"/>
      <c r="R87" s="492"/>
      <c r="S87" s="878">
        <f>Input!$UZ$9</f>
        <v>0</v>
      </c>
      <c r="T87" s="320"/>
      <c r="U87" s="320"/>
      <c r="V87" s="320"/>
      <c r="W87" s="320"/>
      <c r="X87" s="443"/>
      <c r="Y87" s="443"/>
      <c r="Z87" s="320"/>
      <c r="AA87" s="320"/>
      <c r="AB87" s="320"/>
    </row>
    <row r="88" spans="1:28" s="752" customFormat="1">
      <c r="A88" s="460">
        <v>71</v>
      </c>
      <c r="B88" s="752" t="s">
        <v>480</v>
      </c>
      <c r="D88" s="762">
        <f>Input!$RD$9</f>
        <v>0</v>
      </c>
      <c r="E88" s="762">
        <f>Input!$RE$9</f>
        <v>0</v>
      </c>
      <c r="F88" s="762">
        <f>Input!$RF$9</f>
        <v>0</v>
      </c>
      <c r="G88" s="762">
        <f>Input!$RG$9</f>
        <v>249528</v>
      </c>
      <c r="H88" s="762">
        <f>Input!$RH$9</f>
        <v>0</v>
      </c>
      <c r="I88" s="762">
        <f>Input!$RI$9</f>
        <v>6417112</v>
      </c>
      <c r="J88" s="762">
        <f>Input!$RJ$9</f>
        <v>0</v>
      </c>
      <c r="K88" s="762">
        <f>Input!$RK$9</f>
        <v>0</v>
      </c>
      <c r="L88" s="762">
        <f>Input!$RL$9</f>
        <v>0</v>
      </c>
      <c r="M88" s="723">
        <f>D88+E88+F88+G88+H88+I88+J88+K88+L88</f>
        <v>6666640</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0</v>
      </c>
      <c r="E89" s="769">
        <f t="shared" si="19"/>
        <v>-43442137</v>
      </c>
      <c r="F89" s="769">
        <f t="shared" si="19"/>
        <v>0</v>
      </c>
      <c r="G89" s="769">
        <f t="shared" si="19"/>
        <v>-9823872</v>
      </c>
      <c r="H89" s="769">
        <f t="shared" si="19"/>
        <v>-195589</v>
      </c>
      <c r="I89" s="769">
        <f t="shared" si="19"/>
        <v>-78450225</v>
      </c>
      <c r="J89" s="769">
        <f t="shared" si="19"/>
        <v>0</v>
      </c>
      <c r="K89" s="769">
        <f t="shared" si="19"/>
        <v>0</v>
      </c>
      <c r="L89" s="769">
        <f t="shared" si="19"/>
        <v>0</v>
      </c>
      <c r="M89" s="769">
        <f>D89+E89+F89+G89+H89+I89+J89+K89+L89</f>
        <v>-131911823</v>
      </c>
      <c r="O89" s="320"/>
      <c r="P89" s="873" t="s">
        <v>683</v>
      </c>
      <c r="Q89" s="320"/>
      <c r="R89" s="320"/>
      <c r="S89" s="875" t="str">
        <f>IFERROR(S85-S87,"")</f>
        <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-7174317</v>
      </c>
      <c r="E91" s="769">
        <f t="shared" si="20"/>
        <v>6147045</v>
      </c>
      <c r="F91" s="769">
        <f t="shared" si="20"/>
        <v>2403677</v>
      </c>
      <c r="G91" s="769">
        <f t="shared" si="20"/>
        <v>-1396963</v>
      </c>
      <c r="H91" s="769">
        <f t="shared" si="20"/>
        <v>-372547</v>
      </c>
      <c r="I91" s="769">
        <f t="shared" si="20"/>
        <v>-71975105</v>
      </c>
      <c r="J91" s="769">
        <f t="shared" si="20"/>
        <v>-25110519</v>
      </c>
      <c r="K91" s="769">
        <f t="shared" si="20"/>
        <v>0</v>
      </c>
      <c r="L91" s="769">
        <f>L63-L77+L84+L89</f>
        <v>-4226127</v>
      </c>
      <c r="M91" s="769">
        <f>D91+E91+F91+G91+H91+I91+J91+K91+L91</f>
        <v>-101704856</v>
      </c>
      <c r="O91" s="320"/>
      <c r="P91" s="881" t="s">
        <v>684</v>
      </c>
      <c r="Q91" s="882"/>
      <c r="R91" s="882"/>
      <c r="S91" s="883" t="str">
        <f>IFERROR((S89+S87)-S85,"")</f>
        <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Input!$RM$9</f>
        <v>0</v>
      </c>
      <c r="E93" s="762">
        <f>Input!$RN$9</f>
        <v>0</v>
      </c>
      <c r="F93" s="762">
        <f>Input!$RO$9</f>
        <v>0</v>
      </c>
      <c r="G93" s="762">
        <f>Input!$RP$9</f>
        <v>0</v>
      </c>
      <c r="H93" s="762">
        <f>Input!$RQ$9</f>
        <v>0</v>
      </c>
      <c r="I93" s="762">
        <f>Input!$RR$9</f>
        <v>0</v>
      </c>
      <c r="J93" s="762">
        <f>Input!$RS$9</f>
        <v>0</v>
      </c>
      <c r="K93" s="762">
        <f>Input!$RT$9</f>
        <v>0</v>
      </c>
      <c r="L93" s="762">
        <f>Input!$RU$9</f>
        <v>-67461322</v>
      </c>
      <c r="M93" s="723">
        <f>D93+E93+F93+G93+H93+I93+J93+K93+L93</f>
        <v>-67461322</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Input!$RV$9</f>
        <v>0</v>
      </c>
      <c r="E94" s="762">
        <f>Input!$RW$9</f>
        <v>0</v>
      </c>
      <c r="F94" s="762">
        <f>Input!$RX$9</f>
        <v>0</v>
      </c>
      <c r="G94" s="762">
        <f>Input!$RY$9</f>
        <v>0</v>
      </c>
      <c r="H94" s="762">
        <f>Input!$RZ$9</f>
        <v>0</v>
      </c>
      <c r="I94" s="762">
        <f>Input!$SA$9</f>
        <v>0</v>
      </c>
      <c r="J94" s="762">
        <f>Input!$SB$9</f>
        <v>0</v>
      </c>
      <c r="K94" s="762">
        <f>Input!$SC$9</f>
        <v>0</v>
      </c>
      <c r="L94" s="762">
        <f>Input!$SD$9</f>
        <v>0</v>
      </c>
      <c r="M94" s="723">
        <f>D94+E94+F94+G94+H94+I94+J94+K94+L94</f>
        <v>0</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Input!$SE$9</f>
        <v>0</v>
      </c>
      <c r="E95" s="762">
        <f>Input!$SF$9</f>
        <v>0</v>
      </c>
      <c r="F95" s="762">
        <f>Input!$SG$9</f>
        <v>0</v>
      </c>
      <c r="G95" s="762">
        <f>Input!$SH$9</f>
        <v>0</v>
      </c>
      <c r="H95" s="762">
        <f>Input!$SI$9</f>
        <v>0</v>
      </c>
      <c r="I95" s="762">
        <f>Input!$SJ$9</f>
        <v>0</v>
      </c>
      <c r="J95" s="762">
        <f>Input!$SK$9</f>
        <v>0</v>
      </c>
      <c r="K95" s="762">
        <f>Input!$SL$9</f>
        <v>0</v>
      </c>
      <c r="L95" s="762">
        <f>Input!$SM$9</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Input!$SN$9</f>
        <v>0</v>
      </c>
      <c r="E96" s="762">
        <f>Input!$SO$9</f>
        <v>0</v>
      </c>
      <c r="F96" s="762">
        <f>Input!$SP$9</f>
        <v>0</v>
      </c>
      <c r="G96" s="762">
        <f>Input!$SQ$9</f>
        <v>0</v>
      </c>
      <c r="H96" s="762">
        <f>Input!$SR$9</f>
        <v>0</v>
      </c>
      <c r="I96" s="762">
        <f>Input!$SS$9</f>
        <v>0</v>
      </c>
      <c r="J96" s="762">
        <f>Input!$ST$9</f>
        <v>0</v>
      </c>
      <c r="K96" s="762">
        <f>Input!$SU$9</f>
        <v>0</v>
      </c>
      <c r="L96" s="762">
        <f>Input!$SV$9</f>
        <v>0</v>
      </c>
      <c r="M96" s="723">
        <f>D96+E96+F96+G96+H96+I96+J96+K96+L96</f>
        <v>0</v>
      </c>
      <c r="O96" s="884"/>
      <c r="P96" s="320"/>
      <c r="Q96" s="320"/>
      <c r="R96" s="320"/>
      <c r="S96" s="320"/>
      <c r="Y96" s="320"/>
      <c r="Z96" s="320"/>
      <c r="AA96" s="320"/>
      <c r="AB96" s="320"/>
    </row>
    <row r="97" spans="1:28" s="752" customFormat="1">
      <c r="A97" s="460">
        <v>79</v>
      </c>
      <c r="B97" s="320" t="s">
        <v>486</v>
      </c>
      <c r="C97" s="320"/>
      <c r="D97" s="762">
        <f>Input!$SW$9</f>
        <v>0</v>
      </c>
      <c r="E97" s="762">
        <f>Input!$SX$9</f>
        <v>0</v>
      </c>
      <c r="F97" s="762">
        <f>Input!$SY$9</f>
        <v>0</v>
      </c>
      <c r="G97" s="762">
        <f>Input!$SZ$9</f>
        <v>0</v>
      </c>
      <c r="H97" s="762">
        <f>Input!$TA$9</f>
        <v>0</v>
      </c>
      <c r="I97" s="762">
        <f>Input!$TB$9</f>
        <v>0</v>
      </c>
      <c r="J97" s="762">
        <f>Input!$TC$9</f>
        <v>0</v>
      </c>
      <c r="K97" s="762">
        <f>Input!$TD$9</f>
        <v>0</v>
      </c>
      <c r="L97" s="762">
        <f>Input!$TE$9</f>
        <v>142699367</v>
      </c>
      <c r="M97" s="723">
        <f>D97+E97+F97+G97+H97+I97+J97+K97+L97</f>
        <v>142699367</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-7174317</v>
      </c>
      <c r="E98" s="886">
        <f t="shared" si="21"/>
        <v>6147045</v>
      </c>
      <c r="F98" s="886">
        <f t="shared" si="21"/>
        <v>2403677</v>
      </c>
      <c r="G98" s="886">
        <f t="shared" si="21"/>
        <v>-1396963</v>
      </c>
      <c r="H98" s="886">
        <f t="shared" si="21"/>
        <v>-372547</v>
      </c>
      <c r="I98" s="886">
        <f t="shared" si="21"/>
        <v>-71975105</v>
      </c>
      <c r="J98" s="886">
        <f t="shared" si="21"/>
        <v>-25110519</v>
      </c>
      <c r="K98" s="886">
        <f t="shared" si="21"/>
        <v>0</v>
      </c>
      <c r="L98" s="886">
        <f t="shared" si="21"/>
        <v>71011918</v>
      </c>
      <c r="M98" s="886">
        <f>SUM(M91:M97)</f>
        <v>-26466811</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4" t="str">
        <f>Input!$VC$9</f>
        <v>Yinwen Li</v>
      </c>
      <c r="Q103" s="1225"/>
      <c r="R103" s="1224" t="str">
        <f>Input!$VD$9</f>
        <v>210-562-6268</v>
      </c>
      <c r="S103" s="1225"/>
      <c r="T103" s="320">
        <v>0</v>
      </c>
      <c r="U103" s="1226" t="str">
        <f>HYPERLINK("Mailto:"&amp;Input!$VE$9,Input!$VE$9)</f>
        <v>liy2@uthscsa.edu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Input!$TF$9</f>
        <v>-26466811</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IF($L$123&lt;&gt;Input!$F$9,"Out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440529943</v>
      </c>
      <c r="E110" s="723">
        <f>SUM($E$10:$E$14)+SUM($E$19:$E$28)+SUM($E$50)+$E$53+SUM($E$56:$E$61)+SUM($E$65:$E$76)+SUM($E$80:$E$83)+SUM($E$87:$E$88)+SUM($E$93:$E$97)+SUM($E$32:$E$41)+$E$47</f>
        <v>1299853581</v>
      </c>
      <c r="F110" s="723">
        <f>SUM($F$10:$F$14)+SUM($F$19:$F$28)+SUM($F$50)+$F$53+SUM($F$56:$F$61)+SUM($F$65:$F$76)+SUM($F$80:$F$83)+SUM($F$87:$F$88)+SUM($F$93:$F$97)+SUM($F$32:$F$41)+$F$47</f>
        <v>13594783</v>
      </c>
      <c r="G110" s="723">
        <f>SUM($G$10:$G$14)+SUM($G$19:$G$28)+SUM($G$50)+$G$53+SUM($G$56:$G$61)+SUM($G$65:$G$76)+SUM($G$80:$G$83)+SUM($G$87:$G$88)+SUM($G$93:$G$97)+SUM($G$32:$G$41)+$G$47</f>
        <v>497111171</v>
      </c>
      <c r="H110" s="723">
        <f>SUM($H$10:$H$14)+SUM($H$19:$H$28)+SUM($H$50)+$H$53+SUM($H$56:$H$61)+SUM($H$65:$H$76)+SUM($H$80:$H$83)+SUM($H$87:$H$88)+SUM($H$93:$H$97)+SUM($H$32:$H$41)+$H$47</f>
        <v>111543</v>
      </c>
      <c r="I110" s="723">
        <f>SUM($I$10:$I$14)+SUM($I$19:$I$28)+SUM($I$50)+$I$53+SUM($I$56:$I$61)+SUM($I$65:$I$76)+SUM($I$80:$I$83)+SUM($I$87:$I$88)+SUM($I$93:$I$97)+SUM($I$32:$I$41)+$I$47</f>
        <v>-71975105</v>
      </c>
      <c r="J110" s="723">
        <f>SUM($J$10:$J$14)+SUM($J$19:$J$28)+SUM($J$50)+$J$53+SUM($J$56:$J$61)+SUM($J$65:$J$76)+SUM($J$80:$J$83)+SUM($J$87:$J$88)+SUM($J$93:$J$97)+SUM($J$32:$J$41)+$J$47</f>
        <v>-22037489</v>
      </c>
      <c r="K110" s="723">
        <f>SUM($K$10:$K$14)+SUM($K$19:$K$28)+SUM($K$50)+$K$53+SUM($K$56:$K$61)+SUM($K$65:$K$76)+SUM($K$80:$K$83)+SUM($K$87:$K$88)+SUM($K$93:$K$97)+SUM($K$32:$K$41)+$K$47</f>
        <v>0</v>
      </c>
      <c r="L110" s="723">
        <f>SUM($L$10:$L$14)+SUM($L$19:$L$28)+SUM($L$50)+$L$53+SUM($L$56:$L$61)+SUM($L$65:$L$76)+SUM($L$80:$L$83)+SUM($L$87:$L$88)+SUM($L$93:$L$97)+SUM($L$32:$L$41)+$L$47</f>
        <v>71011918</v>
      </c>
    </row>
    <row r="111" spans="1:28" s="320" customFormat="1">
      <c r="A111" s="322"/>
      <c r="L111" s="723">
        <f>SUM($D$110:$L$110)</f>
        <v>2228200345</v>
      </c>
    </row>
    <row r="112" spans="1:28" s="320" customFormat="1">
      <c r="A112" s="322"/>
      <c r="J112" s="320" t="s">
        <v>690</v>
      </c>
      <c r="L112" s="723">
        <f>$M$105</f>
        <v>-26466811</v>
      </c>
    </row>
    <row r="113" spans="1:12" s="320" customFormat="1">
      <c r="A113" s="322"/>
      <c r="J113" s="320" t="s">
        <v>691</v>
      </c>
      <c r="L113" s="492">
        <f>$Q$32</f>
        <v>59115878</v>
      </c>
    </row>
    <row r="114" spans="1:12" s="320" customFormat="1">
      <c r="A114" s="322"/>
      <c r="J114" s="320" t="s">
        <v>691</v>
      </c>
      <c r="L114" s="492">
        <f>$R$34</f>
        <v>-3476784</v>
      </c>
    </row>
    <row r="115" spans="1:12" s="320" customFormat="1">
      <c r="A115" s="322"/>
      <c r="J115" s="320" t="s">
        <v>521</v>
      </c>
      <c r="L115" s="492">
        <f>SUM($P$65:$P$74)</f>
        <v>17765317</v>
      </c>
    </row>
    <row r="116" spans="1:12" s="320" customFormat="1">
      <c r="A116" s="322"/>
      <c r="J116" s="320" t="s">
        <v>692</v>
      </c>
      <c r="L116" s="492">
        <f>$S$76+$S$77</f>
        <v>0</v>
      </c>
    </row>
    <row r="117" spans="1:12" s="320" customFormat="1">
      <c r="A117" s="322"/>
      <c r="J117" s="320" t="s">
        <v>693</v>
      </c>
      <c r="L117" s="492">
        <f>SUM($Q$65:$Q$73)</f>
        <v>4712756</v>
      </c>
    </row>
    <row r="118" spans="1:12" s="320" customFormat="1">
      <c r="A118" s="322"/>
      <c r="J118" s="320" t="s">
        <v>694</v>
      </c>
      <c r="L118" s="492">
        <f>SUM($R$65:$R$73)</f>
        <v>169883</v>
      </c>
    </row>
    <row r="119" spans="1:12" s="320" customFormat="1">
      <c r="A119" s="322"/>
      <c r="J119" s="320" t="s">
        <v>695</v>
      </c>
      <c r="L119" s="492">
        <f>SUM($X$65:$X$74)</f>
        <v>1110531609</v>
      </c>
    </row>
    <row r="120" spans="1:12" s="320" customFormat="1">
      <c r="A120" s="322"/>
      <c r="J120" s="320" t="s">
        <v>696</v>
      </c>
      <c r="L120" s="492">
        <f>$S$84</f>
        <v>0</v>
      </c>
    </row>
    <row r="121" spans="1:12" s="320" customFormat="1">
      <c r="A121" s="322"/>
      <c r="J121" s="320" t="s">
        <v>696</v>
      </c>
      <c r="L121" s="492">
        <f>$S$87</f>
        <v>0</v>
      </c>
    </row>
    <row r="122" spans="1:12" s="320" customFormat="1">
      <c r="A122" s="322"/>
      <c r="J122" s="320" t="s">
        <v>697</v>
      </c>
      <c r="L122" s="443">
        <f>VLOOKUP(B2,Names!$B$10:$C$90,2,FALSE)</f>
        <v>40</v>
      </c>
    </row>
    <row r="123" spans="1:12">
      <c r="L123" s="898">
        <f>SUM($L$111:$L$122)</f>
        <v>3390552233</v>
      </c>
    </row>
  </sheetData>
  <mergeCells count="27">
    <mergeCell ref="Q76:R76"/>
    <mergeCell ref="P105:V106"/>
    <mergeCell ref="P82:S82"/>
    <mergeCell ref="P100:V100"/>
    <mergeCell ref="P103:Q103"/>
    <mergeCell ref="R103:S103"/>
    <mergeCell ref="U103:V103"/>
    <mergeCell ref="B2:G2"/>
    <mergeCell ref="O61:O64"/>
    <mergeCell ref="P61:P64"/>
    <mergeCell ref="Q61:Q64"/>
    <mergeCell ref="R61:R64"/>
    <mergeCell ref="P10:P11"/>
    <mergeCell ref="B3:F3"/>
    <mergeCell ref="B4:F4"/>
    <mergeCell ref="O19:S19"/>
    <mergeCell ref="B6:M6"/>
    <mergeCell ref="P4:Q4"/>
    <mergeCell ref="O60:S60"/>
    <mergeCell ref="G64:K64"/>
    <mergeCell ref="S61:S64"/>
    <mergeCell ref="U61:U64"/>
    <mergeCell ref="W60:Y60"/>
    <mergeCell ref="X61:X64"/>
    <mergeCell ref="Y61:Y64"/>
    <mergeCell ref="U19:Y19"/>
    <mergeCell ref="W61:W64"/>
  </mergeCells>
  <conditionalFormatting sqref="D98:L98">
    <cfRule type="cellIs" dxfId="325" priority="15" stopIfTrue="1" operator="notEqual">
      <formula>#REF!</formula>
    </cfRule>
  </conditionalFormatting>
  <conditionalFormatting sqref="D99:M99">
    <cfRule type="cellIs" dxfId="324" priority="21" stopIfTrue="1" operator="notEqual">
      <formula>#REF!</formula>
    </cfRule>
  </conditionalFormatting>
  <conditionalFormatting sqref="G64:K64">
    <cfRule type="expression" dxfId="323" priority="14">
      <formula>$R$98&lt;&gt;0</formula>
    </cfRule>
  </conditionalFormatting>
  <conditionalFormatting sqref="M15">
    <cfRule type="cellIs" dxfId="322" priority="16" stopIfTrue="1" operator="notEqual">
      <formula>SUM($M$10:$M$14)</formula>
    </cfRule>
  </conditionalFormatting>
  <conditionalFormatting sqref="M62">
    <cfRule type="cellIs" dxfId="321" priority="17" stopIfTrue="1" operator="notEqual">
      <formula>SUM($M$56:$M$61)</formula>
    </cfRule>
  </conditionalFormatting>
  <conditionalFormatting sqref="M77">
    <cfRule type="cellIs" dxfId="320" priority="20" stopIfTrue="1" operator="notEqual">
      <formula>SUM($M$65:$M$76)</formula>
    </cfRule>
  </conditionalFormatting>
  <conditionalFormatting sqref="M84">
    <cfRule type="cellIs" dxfId="319" priority="18" stopIfTrue="1" operator="notEqual">
      <formula>SUM($M$80:$M$83)</formula>
    </cfRule>
  </conditionalFormatting>
  <conditionalFormatting sqref="M89">
    <cfRule type="cellIs" dxfId="318" priority="19" stopIfTrue="1" operator="notEqual">
      <formula>SUM($M$87:$M$88)</formula>
    </cfRule>
  </conditionalFormatting>
  <conditionalFormatting sqref="O12">
    <cfRule type="expression" dxfId="317" priority="11">
      <formula>$Q$12&lt;&gt;$N$12</formula>
    </cfRule>
  </conditionalFormatting>
  <conditionalFormatting sqref="O13">
    <cfRule type="expression" dxfId="316" priority="12">
      <formula>$Q$13&lt;&gt;$N$13</formula>
    </cfRule>
  </conditionalFormatting>
  <conditionalFormatting sqref="O11:P11">
    <cfRule type="expression" dxfId="315" priority="13">
      <formula>#REF!&lt;&gt;$N$11</formula>
    </cfRule>
  </conditionalFormatting>
  <conditionalFormatting sqref="P76">
    <cfRule type="expression" dxfId="314" priority="5">
      <formula>$P$75&lt;&gt;$M$75</formula>
    </cfRule>
  </conditionalFormatting>
  <conditionalFormatting sqref="P94:P101 Q100:R100 U100:V100 S100:T102 U101 R102 S105:U106">
    <cfRule type="cellIs" dxfId="313" priority="6" stopIfTrue="1" operator="notEqual">
      <formula>#REF!</formula>
    </cfRule>
  </conditionalFormatting>
  <conditionalFormatting sqref="Q35">
    <cfRule type="expression" dxfId="312" priority="1">
      <formula>#REF!&lt;&gt;0</formula>
    </cfRule>
  </conditionalFormatting>
  <conditionalFormatting sqref="Q93:Q100 U93:W100 T95:T102 R99:S102 O93:O100 R95:R97 S95:S98 X95:AB102">
    <cfRule type="cellIs" dxfId="311" priority="57" stopIfTrue="1" operator="notEqual">
      <formula>#REF!</formula>
    </cfRule>
  </conditionalFormatting>
  <conditionalFormatting sqref="Q36:R36">
    <cfRule type="expression" dxfId="310" priority="3">
      <formula>#REF!&lt;&gt;#REF!</formula>
    </cfRule>
  </conditionalFormatting>
  <conditionalFormatting sqref="R35">
    <cfRule type="expression" dxfId="309" priority="2">
      <formula>#REF!&lt;&gt;0</formula>
    </cfRule>
  </conditionalFormatting>
  <conditionalFormatting sqref="S84 S87">
    <cfRule type="expression" dxfId="308" priority="7" stopIfTrue="1">
      <formula>$M$91&gt;=0</formula>
    </cfRule>
    <cfRule type="expression" priority="8">
      <formula>$M$91&lt;0</formula>
    </cfRule>
    <cfRule type="expression" dxfId="307" priority="33" stopIfTrue="1">
      <formula>$M$91&gt;=0</formula>
    </cfRule>
    <cfRule type="expression" priority="34">
      <formula>$M$91&lt;0</formula>
    </cfRule>
  </conditionalFormatting>
  <conditionalFormatting sqref="S91">
    <cfRule type="expression" priority="9" stopIfTrue="1">
      <formula>$N$91&lt;0</formula>
    </cfRule>
    <cfRule type="expression" dxfId="306" priority="10">
      <formula>$T$91&lt;&gt;0</formula>
    </cfRule>
    <cfRule type="expression" priority="35" stopIfTrue="1">
      <formula>$N$91&lt;0</formula>
    </cfRule>
    <cfRule type="expression" dxfId="305" priority="36">
      <formula>$T$91&lt;&gt;0</formula>
    </cfRule>
  </conditionalFormatting>
  <conditionalFormatting sqref="Y78">
    <cfRule type="expression" dxfId="304" priority="4">
      <formula>$Y$77&lt;&gt;0</formula>
    </cfRule>
  </conditionalFormatting>
  <hyperlinks>
    <hyperlink ref="O2" location="Index!A1" display="Return to Index" xr:uid="{00000000-0004-0000-2400-000000000000}"/>
  </hyperlinks>
  <printOptions horizontalCentered="1"/>
  <pageMargins left="0.25" right="0.25" top="0.25" bottom="0.2" header="0.5" footer="0.2"/>
  <pageSetup scale="43" pageOrder="overThenDown" orientation="landscape" r:id="rId1"/>
  <headerFooter alignWithMargins="0"/>
  <rowBreaks count="1" manualBreakCount="1">
    <brk id="10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1"/>
  </sheetPr>
  <dimension ref="A1:M33"/>
  <sheetViews>
    <sheetView showGridLines="0" zoomScaleNormal="100" workbookViewId="0">
      <pane xSplit="3" ySplit="5" topLeftCell="D6" activePane="bottomRight" state="frozen"/>
      <selection pane="topRight" activeCell="B22" sqref="B22"/>
      <selection pane="bottomLeft" activeCell="B22" sqref="B22"/>
      <selection pane="bottomRight" activeCell="D30" sqref="D30"/>
    </sheetView>
  </sheetViews>
  <sheetFormatPr defaultColWidth="9.109375" defaultRowHeight="13.2"/>
  <cols>
    <col min="1" max="1" width="9.109375" style="14"/>
    <col min="2" max="2" width="7.33203125" style="15" customWidth="1"/>
    <col min="3" max="3" width="25.109375" style="15" customWidth="1"/>
    <col min="4" max="4" width="14.88671875" style="15" customWidth="1"/>
    <col min="5" max="5" width="14.44140625" style="15" customWidth="1"/>
    <col min="6" max="6" width="14.88671875" style="15" customWidth="1"/>
    <col min="7" max="7" width="18.33203125" style="15" customWidth="1"/>
    <col min="8" max="8" width="1.5546875" style="15" customWidth="1"/>
    <col min="9" max="9" width="12.44140625" style="15" customWidth="1"/>
    <col min="10" max="10" width="14" style="15" customWidth="1"/>
    <col min="11" max="11" width="16.33203125" style="15" customWidth="1"/>
    <col min="12" max="12" width="15.88671875" style="15" customWidth="1"/>
    <col min="13" max="13" width="11.88671875" style="15" customWidth="1"/>
    <col min="14" max="16384" width="9.109375" style="15"/>
  </cols>
  <sheetData>
    <row r="1" spans="1:13" ht="13.8" thickBot="1">
      <c r="A1" s="7"/>
      <c r="B1" s="7"/>
      <c r="C1" s="7"/>
      <c r="E1" s="16" t="s">
        <v>94</v>
      </c>
      <c r="K1" s="162" t="s">
        <v>51</v>
      </c>
    </row>
    <row r="2" spans="1:13">
      <c r="A2" s="7"/>
      <c r="B2" s="7"/>
      <c r="C2" s="7"/>
      <c r="E2" s="16" t="s">
        <v>95</v>
      </c>
    </row>
    <row r="3" spans="1:13">
      <c r="A3" s="7"/>
      <c r="B3" s="7" t="s">
        <v>96</v>
      </c>
      <c r="C3" s="7"/>
      <c r="E3" s="16"/>
      <c r="J3" s="124"/>
    </row>
    <row r="4" spans="1:13">
      <c r="A4" s="7"/>
      <c r="B4" s="109" t="s">
        <v>97</v>
      </c>
      <c r="C4" s="7"/>
      <c r="E4" s="7" t="s">
        <v>98</v>
      </c>
      <c r="J4" s="125"/>
    </row>
    <row r="5" spans="1:13" s="23" customFormat="1" ht="56.25" customHeight="1">
      <c r="A5" s="19" t="s">
        <v>99</v>
      </c>
      <c r="B5" s="19" t="s">
        <v>100</v>
      </c>
      <c r="C5" s="19"/>
      <c r="D5" s="110" t="s">
        <v>101</v>
      </c>
      <c r="E5" s="21" t="s">
        <v>102</v>
      </c>
      <c r="F5" s="115" t="s">
        <v>103</v>
      </c>
      <c r="G5" s="116" t="s">
        <v>104</v>
      </c>
      <c r="H5" s="116"/>
      <c r="I5" s="117" t="s">
        <v>105</v>
      </c>
      <c r="J5" s="117" t="s">
        <v>106</v>
      </c>
      <c r="K5" s="64" t="s">
        <v>107</v>
      </c>
      <c r="L5" s="64" t="s">
        <v>108</v>
      </c>
      <c r="M5" s="64" t="s">
        <v>109</v>
      </c>
    </row>
    <row r="6" spans="1:13">
      <c r="A6" s="24" t="s">
        <v>110</v>
      </c>
      <c r="B6" s="24" t="s">
        <v>111</v>
      </c>
      <c r="C6" s="25" t="s">
        <v>112</v>
      </c>
      <c r="D6" s="111">
        <f>'SWM Sum'!$G$11</f>
        <v>260323607</v>
      </c>
      <c r="E6" s="27">
        <f>'SWM Sum'!$G$14</f>
        <v>0</v>
      </c>
      <c r="F6" s="27">
        <f t="shared" ref="F6:F14" si="0">SUM(D6:E6)</f>
        <v>260323607</v>
      </c>
      <c r="G6" s="27">
        <f>'SWM Sum'!$F$54</f>
        <v>2036770843</v>
      </c>
      <c r="H6" s="28"/>
      <c r="I6" s="106">
        <f>'SWM Sum'!$C$6</f>
        <v>2301.35</v>
      </c>
      <c r="J6" s="126"/>
      <c r="K6" s="118">
        <f>F6/I6</f>
        <v>113117.78173680666</v>
      </c>
      <c r="L6" s="118">
        <f>G6/I6</f>
        <v>885033.06450561632</v>
      </c>
      <c r="M6" s="119">
        <f>F6/G6</f>
        <v>0.12781192734307029</v>
      </c>
    </row>
    <row r="7" spans="1:13">
      <c r="A7" s="24" t="s">
        <v>113</v>
      </c>
      <c r="B7" s="24" t="s">
        <v>111</v>
      </c>
      <c r="C7" s="25" t="s">
        <v>114</v>
      </c>
      <c r="D7" s="112">
        <f>'HSSA Sum'!$G$11</f>
        <v>202667107</v>
      </c>
      <c r="E7" s="31">
        <f>'HSSA Sum'!$G$14</f>
        <v>0</v>
      </c>
      <c r="F7" s="31">
        <f t="shared" si="0"/>
        <v>202667107</v>
      </c>
      <c r="G7" s="31">
        <f>'HSSA Sum'!$F$54</f>
        <v>814894729</v>
      </c>
      <c r="H7" s="32"/>
      <c r="I7" s="106">
        <f>'HSSA Sum'!$C$6</f>
        <v>3971.78</v>
      </c>
      <c r="J7" s="126"/>
      <c r="K7" s="120">
        <f t="shared" ref="K7" si="1">F7/I7</f>
        <v>51026.770616700822</v>
      </c>
      <c r="L7" s="120">
        <f t="shared" ref="L7" si="2">G7/I7</f>
        <v>205171.16481778948</v>
      </c>
      <c r="M7" s="119">
        <f t="shared" ref="M7" si="3">F7/G7</f>
        <v>0.24870342117527675</v>
      </c>
    </row>
    <row r="8" spans="1:13">
      <c r="A8" s="24" t="s">
        <v>115</v>
      </c>
      <c r="B8" s="24" t="s">
        <v>111</v>
      </c>
      <c r="C8" s="25" t="s">
        <v>116</v>
      </c>
      <c r="D8" s="112">
        <f>'TAMHSC Sum'!$G$11</f>
        <v>183205223</v>
      </c>
      <c r="E8" s="31">
        <f>'TAMHSC Sum'!$G$14</f>
        <v>46943006</v>
      </c>
      <c r="F8" s="31">
        <f t="shared" si="0"/>
        <v>230148229</v>
      </c>
      <c r="G8" s="31">
        <f>'TAMHSC Sum'!$F$54</f>
        <v>324736342</v>
      </c>
      <c r="H8" s="32"/>
      <c r="I8" s="106">
        <f>'TAMHSC Sum'!$C$6</f>
        <v>3607.6499999999996</v>
      </c>
      <c r="J8" s="126"/>
      <c r="K8" s="120">
        <f t="shared" ref="K8:K14" si="4">F8/I8</f>
        <v>63794.500297977916</v>
      </c>
      <c r="L8" s="120">
        <f t="shared" ref="L8:L14" si="5">G8/I8</f>
        <v>90013.261264257904</v>
      </c>
      <c r="M8" s="119">
        <f t="shared" ref="M8:M14" si="6">F8/G8</f>
        <v>0.70872335255904306</v>
      </c>
    </row>
    <row r="9" spans="1:13">
      <c r="A9" s="24" t="s">
        <v>117</v>
      </c>
      <c r="B9" s="24" t="s">
        <v>111</v>
      </c>
      <c r="C9" s="25" t="s">
        <v>118</v>
      </c>
      <c r="D9" s="112">
        <f>'UNTHS1 Sum'!$G$11</f>
        <v>114368847</v>
      </c>
      <c r="E9" s="31">
        <f>'UNTHS1 Sum'!$G$14</f>
        <v>15125502</v>
      </c>
      <c r="F9" s="31">
        <f t="shared" si="0"/>
        <v>129494349</v>
      </c>
      <c r="G9" s="31">
        <f>'UNTHS1 Sum'!$F$54</f>
        <v>215305730</v>
      </c>
      <c r="H9" s="32"/>
      <c r="I9" s="106">
        <f>'UNTHS1 Sum'!$C$6</f>
        <v>2988.4</v>
      </c>
      <c r="J9" s="126"/>
      <c r="K9" s="120">
        <f t="shared" si="4"/>
        <v>43332.334694150712</v>
      </c>
      <c r="L9" s="120">
        <f t="shared" si="5"/>
        <v>72047.159014857447</v>
      </c>
      <c r="M9" s="119">
        <f t="shared" si="6"/>
        <v>0.60144404424350439</v>
      </c>
    </row>
    <row r="10" spans="1:13">
      <c r="A10" s="24" t="s">
        <v>119</v>
      </c>
      <c r="B10" s="24" t="s">
        <v>111</v>
      </c>
      <c r="C10" s="25" t="s">
        <v>120</v>
      </c>
      <c r="D10" s="112">
        <f>'THC Sum'!$G$11</f>
        <v>61784935</v>
      </c>
      <c r="E10" s="31">
        <f>'THC Sum'!$G$14</f>
        <v>0</v>
      </c>
      <c r="F10" s="31">
        <f t="shared" si="0"/>
        <v>61784935</v>
      </c>
      <c r="G10" s="31">
        <f>'THC Sum'!$F$54</f>
        <v>134803420</v>
      </c>
      <c r="H10" s="123"/>
      <c r="I10" s="106">
        <f>'THC Sum'!$C$6</f>
        <v>80.5</v>
      </c>
      <c r="J10" s="126"/>
      <c r="K10" s="123" t="s">
        <v>121</v>
      </c>
      <c r="L10" s="123" t="s">
        <v>121</v>
      </c>
      <c r="M10" s="123" t="s">
        <v>121</v>
      </c>
    </row>
    <row r="11" spans="1:13">
      <c r="A11" s="24" t="s">
        <v>122</v>
      </c>
      <c r="B11" s="24" t="s">
        <v>111</v>
      </c>
      <c r="C11" s="25" t="s">
        <v>123</v>
      </c>
      <c r="D11" s="112">
        <f>'TTUHSC Sum'!$G$11</f>
        <v>195515892</v>
      </c>
      <c r="E11" s="31">
        <f>'TTUHSC Sum'!$G$14</f>
        <v>21652392</v>
      </c>
      <c r="F11" s="31">
        <f t="shared" si="0"/>
        <v>217168284</v>
      </c>
      <c r="G11" s="31">
        <f>'TTUHSC Sum'!$F$54</f>
        <v>509674654</v>
      </c>
      <c r="H11" s="32"/>
      <c r="I11" s="106">
        <f>'TTUHSC Sum'!$C$6</f>
        <v>6016.07</v>
      </c>
      <c r="J11" s="127"/>
      <c r="K11" s="120">
        <f t="shared" si="4"/>
        <v>36098.03143912887</v>
      </c>
      <c r="L11" s="120">
        <f t="shared" si="5"/>
        <v>84718.870292400199</v>
      </c>
      <c r="M11" s="119">
        <f t="shared" si="6"/>
        <v>0.42609198298489454</v>
      </c>
    </row>
    <row r="12" spans="1:13">
      <c r="A12" s="24" t="s">
        <v>124</v>
      </c>
      <c r="B12" s="24" t="s">
        <v>111</v>
      </c>
      <c r="C12" s="25" t="s">
        <v>125</v>
      </c>
      <c r="D12" s="112">
        <f>'HSH Sum'!$G$11</f>
        <v>260301322</v>
      </c>
      <c r="E12" s="31">
        <f>'HSH Sum'!$G$14</f>
        <v>0</v>
      </c>
      <c r="F12" s="31">
        <f t="shared" si="0"/>
        <v>260301322</v>
      </c>
      <c r="G12" s="31">
        <f>'HSH Sum'!$F$54</f>
        <v>1414090685</v>
      </c>
      <c r="H12" s="32"/>
      <c r="I12" s="106">
        <f>'HSH Sum'!$C$6</f>
        <v>5267.72</v>
      </c>
      <c r="J12" s="126"/>
      <c r="K12" s="120">
        <f t="shared" si="4"/>
        <v>49414.418761817251</v>
      </c>
      <c r="L12" s="120">
        <f t="shared" si="5"/>
        <v>268444.54242062976</v>
      </c>
      <c r="M12" s="119">
        <f t="shared" si="6"/>
        <v>0.18407682389902738</v>
      </c>
    </row>
    <row r="13" spans="1:13">
      <c r="A13" s="24" t="s">
        <v>126</v>
      </c>
      <c r="B13" s="24" t="s">
        <v>111</v>
      </c>
      <c r="C13" s="25" t="s">
        <v>127</v>
      </c>
      <c r="D13" s="112">
        <f>'MDA Sum'!$G$11</f>
        <v>261645065</v>
      </c>
      <c r="E13" s="31">
        <f>'MDA Sum'!$G$14</f>
        <v>0</v>
      </c>
      <c r="F13" s="31">
        <f t="shared" si="0"/>
        <v>261645065</v>
      </c>
      <c r="G13" s="31">
        <f>'MDA Sum'!$F$54</f>
        <v>1767067749</v>
      </c>
      <c r="H13" s="123"/>
      <c r="I13" s="106">
        <f>'MDA Sum'!$C$6</f>
        <v>382.05</v>
      </c>
      <c r="J13" s="126"/>
      <c r="K13" s="123" t="s">
        <v>121</v>
      </c>
      <c r="L13" s="123" t="s">
        <v>121</v>
      </c>
      <c r="M13" s="123" t="s">
        <v>121</v>
      </c>
    </row>
    <row r="14" spans="1:13">
      <c r="A14" s="33">
        <v>104952</v>
      </c>
      <c r="B14" s="24" t="s">
        <v>111</v>
      </c>
      <c r="C14" s="34" t="s">
        <v>128</v>
      </c>
      <c r="D14" s="113">
        <f>'MBG Sum'!$G$11</f>
        <v>392636564</v>
      </c>
      <c r="E14" s="36">
        <f>'MBG Sum'!$G$14</f>
        <v>0</v>
      </c>
      <c r="F14" s="36">
        <f t="shared" si="0"/>
        <v>392636564</v>
      </c>
      <c r="G14" s="36">
        <f>'MBG Sum'!$F$54</f>
        <v>807316199</v>
      </c>
      <c r="H14" s="37"/>
      <c r="I14" s="107">
        <f>'MBG Sum'!$C$6</f>
        <v>3859.84</v>
      </c>
      <c r="J14" s="126"/>
      <c r="K14" s="120">
        <f t="shared" si="4"/>
        <v>101723.53361797379</v>
      </c>
      <c r="L14" s="120">
        <f t="shared" si="5"/>
        <v>209157.94411167302</v>
      </c>
      <c r="M14" s="119">
        <f t="shared" si="6"/>
        <v>0.48634793218115518</v>
      </c>
    </row>
    <row r="15" spans="1:13" ht="13.8" thickBot="1">
      <c r="A15" s="39"/>
      <c r="B15" s="39">
        <f>COUNTA(B6:B14)</f>
        <v>9</v>
      </c>
      <c r="C15" s="40" t="s">
        <v>129</v>
      </c>
      <c r="D15" s="114">
        <f t="shared" ref="D15:G15" si="7">SUM(D6:D14)</f>
        <v>1932448562</v>
      </c>
      <c r="E15" s="41">
        <f t="shared" si="7"/>
        <v>83720900</v>
      </c>
      <c r="F15" s="41">
        <f t="shared" si="7"/>
        <v>2016169462</v>
      </c>
      <c r="G15" s="41">
        <f t="shared" si="7"/>
        <v>8024660351</v>
      </c>
      <c r="H15" s="42"/>
      <c r="I15" s="108">
        <f>SUM(I6:I14)</f>
        <v>28475.360000000001</v>
      </c>
      <c r="J15" s="128">
        <f>SUM(J6:J14)</f>
        <v>0</v>
      </c>
      <c r="K15" s="121">
        <f>F15/I15</f>
        <v>70804.002548167962</v>
      </c>
      <c r="L15" s="121">
        <f>G15/I15</f>
        <v>281810.67249018099</v>
      </c>
      <c r="M15" s="122">
        <f>F15/G15</f>
        <v>0.25124670376220387</v>
      </c>
    </row>
    <row r="16" spans="1:13" ht="13.8" thickTop="1"/>
    <row r="17" spans="3:6">
      <c r="D17" s="10" t="s">
        <v>130</v>
      </c>
      <c r="E17" s="10" t="s">
        <v>130</v>
      </c>
      <c r="F17" s="14"/>
    </row>
    <row r="18" spans="3:6" ht="52.8">
      <c r="C18" s="15" t="s">
        <v>131</v>
      </c>
      <c r="D18" s="44" t="s">
        <v>101</v>
      </c>
      <c r="E18" s="45" t="s">
        <v>132</v>
      </c>
      <c r="F18" s="45" t="s">
        <v>133</v>
      </c>
    </row>
    <row r="19" spans="3:6" ht="52.5" customHeight="1">
      <c r="D19" s="44" t="s">
        <v>134</v>
      </c>
      <c r="E19" s="45" t="s">
        <v>135</v>
      </c>
      <c r="F19" s="46"/>
    </row>
    <row r="20" spans="3:6" ht="45" customHeight="1">
      <c r="D20" s="44" t="s">
        <v>136</v>
      </c>
      <c r="E20" s="46"/>
      <c r="F20" s="46"/>
    </row>
    <row r="21" spans="3:6" ht="12.75" customHeight="1"/>
    <row r="23" spans="3:6">
      <c r="D23" s="16" t="s">
        <v>137</v>
      </c>
    </row>
    <row r="24" spans="3:6">
      <c r="D24" s="47" t="s">
        <v>138</v>
      </c>
    </row>
    <row r="25" spans="3:6">
      <c r="D25" s="47" t="s">
        <v>139</v>
      </c>
    </row>
    <row r="26" spans="3:6">
      <c r="D26" s="47" t="s">
        <v>140</v>
      </c>
    </row>
    <row r="27" spans="3:6">
      <c r="D27" s="47" t="s">
        <v>141</v>
      </c>
    </row>
    <row r="32" spans="3:6">
      <c r="C32" s="15" t="s">
        <v>142</v>
      </c>
    </row>
    <row r="33" spans="2:13">
      <c r="B33" s="15">
        <v>9</v>
      </c>
      <c r="C33" s="15" t="s">
        <v>129</v>
      </c>
      <c r="D33" s="15">
        <v>1649647501</v>
      </c>
      <c r="E33" s="15">
        <v>34564834</v>
      </c>
      <c r="F33" s="15">
        <v>1684212335</v>
      </c>
      <c r="G33" s="15">
        <v>5600993758</v>
      </c>
      <c r="I33" s="15">
        <v>23535.68</v>
      </c>
      <c r="J33" s="15">
        <v>0</v>
      </c>
      <c r="K33" s="15">
        <v>71559.960663979116</v>
      </c>
      <c r="L33" s="15">
        <v>237978.83715278251</v>
      </c>
      <c r="M33" s="15">
        <v>0.300698841628668</v>
      </c>
    </row>
  </sheetData>
  <conditionalFormatting sqref="M6:M7">
    <cfRule type="colorScale" priority="8">
      <colorScale>
        <cfvo type="min"/>
        <cfvo type="percentile" val="50"/>
        <cfvo type="max"/>
        <color rgb="FFF8696B"/>
        <color rgb="FFFFEB84"/>
        <color rgb="FF63BE7B"/>
      </colorScale>
    </cfRule>
    <cfRule type="colorScale" priority="9">
      <colorScale>
        <cfvo type="min"/>
        <cfvo type="percentile" val="50"/>
        <cfvo type="max"/>
        <color rgb="FFF8696B"/>
        <color rgb="FFFFEB84"/>
        <color rgb="FF63BE7B"/>
      </colorScale>
    </cfRule>
  </conditionalFormatting>
  <conditionalFormatting sqref="M6:M15">
    <cfRule type="colorScale" priority="1">
      <colorScale>
        <cfvo type="min"/>
        <cfvo type="percentile" val="50"/>
        <cfvo type="max"/>
        <color rgb="FFF8696B"/>
        <color rgb="FFFFEB84"/>
        <color rgb="FF63BE7B"/>
      </colorScale>
    </cfRule>
  </conditionalFormatting>
  <conditionalFormatting sqref="M8:M9 M11:M14">
    <cfRule type="colorScale" priority="7">
      <colorScale>
        <cfvo type="min"/>
        <cfvo type="percentile" val="50"/>
        <cfvo type="max"/>
        <color rgb="FFF8696B"/>
        <color rgb="FFFFEB84"/>
        <color rgb="FF63BE7B"/>
      </colorScale>
    </cfRule>
  </conditionalFormatting>
  <conditionalFormatting sqref="M8:M9">
    <cfRule type="colorScale" priority="6">
      <colorScale>
        <cfvo type="min"/>
        <cfvo type="percentile" val="50"/>
        <cfvo type="max"/>
        <color rgb="FFF8696B"/>
        <color rgb="FFFFEB84"/>
        <color rgb="FF63BE7B"/>
      </colorScale>
    </cfRule>
  </conditionalFormatting>
  <conditionalFormatting sqref="M15">
    <cfRule type="colorScale" priority="4">
      <colorScale>
        <cfvo type="min"/>
        <cfvo type="percentile" val="50"/>
        <cfvo type="max"/>
        <color rgb="FFF8696B"/>
        <color rgb="FFFFEB84"/>
        <color rgb="FF63BE7B"/>
      </colorScale>
    </cfRule>
    <cfRule type="colorScale" priority="5">
      <colorScale>
        <cfvo type="min"/>
        <cfvo type="percentile" val="50"/>
        <cfvo type="max"/>
        <color rgb="FFF8696B"/>
        <color rgb="FFFFEB84"/>
        <color rgb="FF63BE7B"/>
      </colorScale>
    </cfRule>
  </conditionalFormatting>
  <hyperlinks>
    <hyperlink ref="K1" location="Index!A1" display="Return to Index" xr:uid="{00000000-0004-0000-0300-000000000000}"/>
  </hyperlinks>
  <printOptions horizontalCentered="1"/>
  <pageMargins left="0.25" right="0.25" top="0.5" bottom="0.5" header="0.5" footer="0.5"/>
  <pageSetup scale="82" orientation="landscape" horizontalDpi="1200" verticalDpi="1200" r:id="rId1"/>
  <headerFooter alignWithMargins="0">
    <oddFooter>&amp;L&amp;8Planning &amp; Accountability&amp;R&amp;8&amp;D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1.88671875" style="277" customWidth="1"/>
    <col min="11" max="16384" width="9.109375" style="277"/>
  </cols>
  <sheetData>
    <row r="1" spans="1:6">
      <c r="B1" s="742" t="str">
        <f>'HSSA Chts'!$A$1</f>
        <v>The University of Texas Health Science Center at San Antonio</v>
      </c>
      <c r="D1" s="321" t="s">
        <v>51</v>
      </c>
    </row>
    <row r="2" spans="1:6">
      <c r="B2" s="742" t="str">
        <f>'Smmy Chts'!$A$2</f>
        <v>For the Year Ended August 31, 2022</v>
      </c>
    </row>
    <row r="3" spans="1:6">
      <c r="B3" s="742" t="str">
        <f>'Smmy Chts'!$A$3</f>
        <v>Source: FY 2022 Annual Financial Report</v>
      </c>
    </row>
    <row r="4" spans="1:6">
      <c r="B4" s="1016" t="s">
        <v>7</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str">
        <f>IF('HSSA FGD'!$S$83="N/A","FN11.  N/A",$B$14&amp;$B$15&amp;$B$16&amp;$B$17&amp;$B$18&amp;$B$19&amp;$B$20&amp;$B$21&amp;$B$22&amp;$B$23&amp;$B$24)</f>
        <v>FN11.  N/A</v>
      </c>
      <c r="E9" s="669"/>
    </row>
    <row r="14" spans="1:6">
      <c r="B14" s="277" t="s">
        <v>698</v>
      </c>
    </row>
    <row r="15" spans="1:6">
      <c r="A15" s="277">
        <v>75</v>
      </c>
      <c r="B15" s="669" t="str">
        <f>TEXT(IF('HSSA FGD'!$M$91&lt;0,"N/A",'HSSA FGD'!$M$91),"$* #,##0;$* (#,##0)")</f>
        <v>N/A</v>
      </c>
      <c r="C15" s="282"/>
      <c r="F15" s="282"/>
    </row>
    <row r="16" spans="1:6">
      <c r="B16" s="277" t="s">
        <v>699</v>
      </c>
    </row>
    <row r="17" spans="1:6">
      <c r="A17" s="277">
        <v>68</v>
      </c>
      <c r="B17" s="748" t="str">
        <f>IF(ABS('HSSA FGD'!$S$84)&gt;=1000000,TEXT('HSSA FGD'!$S$84/1000000,"$* #,##0.0;$* (#,##0.0)")&amp;" million",IF(ABS('HSSA FGD'!$S$84)&lt;1000,TEXT('HSSA FGD'!$S$84,"$* #,##0;$* (#,##0)"),TEXT('HSSA FGD'!$S$84/1000,"$* #,##0;$* (#,##0)")&amp;" thousand"))</f>
        <v>$0</v>
      </c>
      <c r="C17" s="748"/>
      <c r="F17" s="748"/>
    </row>
    <row r="18" spans="1:6">
      <c r="B18" s="277" t="s">
        <v>700</v>
      </c>
    </row>
    <row r="19" spans="1:6">
      <c r="A19" s="277">
        <v>69</v>
      </c>
      <c r="B19" s="277" t="e">
        <f>IF(ABS('HSSA FGD'!$S$85)&gt;=1000000,TEXT('HSSA FGD'!$S$85/1000000,"$* #,##0.0;$* (#,##0.0)")&amp;" million",IF(ABS('HSSA FGD'!$S$85)&lt;1000,TEXT('HSSA FGD'!$S$85,"$* #,##0;$* (#,##0)"),TEXT('HSSA FGD'!$S$85/1000,"$* #,##0;$* (#,##0)")&amp;" thousand"))</f>
        <v>#VALUE!</v>
      </c>
    </row>
    <row r="20" spans="1:6">
      <c r="B20" s="277" t="s">
        <v>701</v>
      </c>
    </row>
    <row r="21" spans="1:6">
      <c r="A21" s="277">
        <v>71</v>
      </c>
      <c r="B21" s="277" t="str">
        <f>IF(ABS('HSSA FGD'!$S$87)&gt;=1000000,TEXT('HSSA FGD'!$S$87/1000000,"$* #,##0.0;$* (#,##0.0)")&amp;" million",IF(ABS('HSSA FGD'!$S$87)&lt;1000,TEXT('HSSA FGD'!$S$87,"$* #,##0;$* (#,##0)"),TEXT('HSSA FGD'!$S$87/1000,"$* #,##0;$* (#,##0)")&amp;" thousand"))</f>
        <v>$0</v>
      </c>
    </row>
    <row r="22" spans="1:6">
      <c r="B22" s="277" t="s">
        <v>702</v>
      </c>
    </row>
    <row r="23" spans="1:6">
      <c r="A23" s="277">
        <v>73</v>
      </c>
      <c r="B23" s="277" t="e">
        <f>IF(ABS('HSSA FGD'!$S$89)&gt;=1000000,TEXT('HSSA FGD'!$S$89/1000000,"$* #,##0.0;$* (#,##0.0)")&amp;" million",IF(ABS('HSSA FGD'!$S$89)&lt;1000,TEXT('HSSA FGD'!$S$89,"$* #,##0;$* (#,##0)"),TEXT('HSSA FGD'!$S$89/1000,"$* #,##0;$* (#,##0)")&amp;" thousand"))</f>
        <v>#VALUE!</v>
      </c>
    </row>
    <row r="24" spans="1:6">
      <c r="B24" s="277" t="s">
        <v>703</v>
      </c>
    </row>
  </sheetData>
  <hyperlinks>
    <hyperlink ref="D1" location="Index!A1" display="Return to Index" xr:uid="{00000000-0004-0000-2500-000000000000}"/>
  </hyperlinks>
  <pageMargins left="0.25" right="0.25" top="0.5" bottom="0.25" header="0.5" footer="0.5"/>
  <pageSetup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11.6640625" style="277" customWidth="1"/>
    <col min="3" max="3" width="55" style="277" customWidth="1"/>
    <col min="4" max="4" width="20.109375" style="277" customWidth="1"/>
    <col min="5" max="16384" width="9.109375" style="277"/>
  </cols>
  <sheetData>
    <row r="1" spans="1:5" ht="27.75" customHeight="1">
      <c r="A1" s="989" t="s">
        <v>23</v>
      </c>
      <c r="C1" s="321" t="s">
        <v>51</v>
      </c>
    </row>
    <row r="2" spans="1:5" ht="27.75" customHeight="1">
      <c r="A2" s="990" t="str">
        <f>'Smmy Chts'!$A$2</f>
        <v>For the Year Ended August 31, 2022</v>
      </c>
    </row>
    <row r="3" spans="1:5" ht="27" customHeight="1">
      <c r="A3" s="990" t="str">
        <f>'Smmy Chts'!$A$3</f>
        <v>Source: FY 2022 Annual Financial Report</v>
      </c>
      <c r="C3" s="991" t="s">
        <v>493</v>
      </c>
    </row>
    <row r="4" spans="1:5" ht="12.9" customHeight="1">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'MDA Sum'!A9</f>
        <v>State of Texas</v>
      </c>
      <c r="D11" s="994">
        <f>'MDA Sum'!B15</f>
        <v>261645065</v>
      </c>
      <c r="E11" s="995">
        <f>ROUND(D11/$D$17,3)</f>
        <v>3.7999999999999999E-2</v>
      </c>
    </row>
    <row r="12" spans="1:5" ht="12.9" customHeight="1">
      <c r="C12" s="993" t="str">
        <f>'MDA Sum'!A17</f>
        <v>Student &amp; Parent</v>
      </c>
      <c r="D12" s="994">
        <f>'MDA Sum'!B20</f>
        <v>1833860</v>
      </c>
      <c r="E12" s="995">
        <f t="shared" ref="E12:E15" si="0">ROUND(D12/$D$17,3)</f>
        <v>0</v>
      </c>
    </row>
    <row r="13" spans="1:5" ht="12.9" customHeight="1">
      <c r="C13" s="993" t="str">
        <f>'MDA Sum'!A22</f>
        <v>Federal Government</v>
      </c>
      <c r="D13" s="994">
        <f>'MDA Sum'!B23</f>
        <v>306905101</v>
      </c>
      <c r="E13" s="995">
        <f t="shared" si="0"/>
        <v>4.4999999999999998E-2</v>
      </c>
    </row>
    <row r="14" spans="1:5" ht="12.9" customHeight="1">
      <c r="C14" s="993" t="str">
        <f>'MDA Sum'!A31</f>
        <v>Institutional Resources</v>
      </c>
      <c r="D14" s="994">
        <f>'MDA Sum'!B38</f>
        <v>1007073812</v>
      </c>
      <c r="E14" s="995">
        <f t="shared" si="0"/>
        <v>0.14699999999999999</v>
      </c>
    </row>
    <row r="15" spans="1:5" ht="12.9" customHeight="1">
      <c r="C15" s="996" t="s">
        <v>497</v>
      </c>
      <c r="D15" s="994">
        <f>'MDA Sum'!B29+'MDA Sum'!B26</f>
        <v>5296331580</v>
      </c>
      <c r="E15" s="995">
        <f t="shared" si="0"/>
        <v>0.77100000000000002</v>
      </c>
    </row>
    <row r="16" spans="1:5" ht="12.9" customHeight="1">
      <c r="C16" s="991"/>
      <c r="D16" s="992"/>
    </row>
    <row r="17" spans="3:5" ht="12.9" customHeight="1">
      <c r="C17" s="997" t="s">
        <v>201</v>
      </c>
      <c r="D17" s="998">
        <f>SUM(D11:D16)</f>
        <v>6873789418</v>
      </c>
      <c r="E17" s="999">
        <f>SUM(E11:E15)</f>
        <v>1.0009999999999999</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$6,873,789,418</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2.9" customHeight="1">
      <c r="C53" s="993" t="s">
        <v>101</v>
      </c>
      <c r="D53" s="994">
        <f>'MDA Sum'!B10</f>
        <v>222277361</v>
      </c>
      <c r="E53" s="995">
        <f>ROUND(D53/$D$68,3)</f>
        <v>3.2000000000000001E-2</v>
      </c>
    </row>
    <row r="54" spans="3:5" ht="12.9" customHeight="1">
      <c r="C54" s="993" t="s">
        <v>510</v>
      </c>
      <c r="D54" s="994">
        <f>'MDA Sum'!B11</f>
        <v>39367704</v>
      </c>
      <c r="E54" s="995">
        <f t="shared" ref="E54:E67" si="1">ROUND(D54/$D$68,3)</f>
        <v>6.0000000000000001E-3</v>
      </c>
    </row>
    <row r="55" spans="3:5" ht="12.9" customHeight="1">
      <c r="C55" s="1001"/>
      <c r="D55" s="994"/>
      <c r="E55" s="995"/>
    </row>
    <row r="56" spans="3:5" ht="12.9" customHeight="1">
      <c r="C56" s="1001" t="str">
        <f>'MDA Sum'!A13</f>
        <v>Higher Education Fund</v>
      </c>
      <c r="D56" s="994">
        <f>'MDA Sum'!B13</f>
        <v>0</v>
      </c>
      <c r="E56" s="995">
        <f t="shared" si="1"/>
        <v>0</v>
      </c>
    </row>
    <row r="57" spans="3:5" ht="12.9" customHeight="1">
      <c r="C57" s="1001" t="s">
        <v>511</v>
      </c>
      <c r="D57" s="994">
        <f>'MDA Sum'!B14</f>
        <v>0</v>
      </c>
      <c r="E57" s="995">
        <f t="shared" si="1"/>
        <v>0</v>
      </c>
    </row>
    <row r="58" spans="3:5" ht="12.9" customHeight="1">
      <c r="C58" s="993" t="s">
        <v>460</v>
      </c>
      <c r="D58" s="994">
        <f>'MDA Sum'!B20</f>
        <v>1833860</v>
      </c>
      <c r="E58" s="995">
        <f t="shared" si="1"/>
        <v>0</v>
      </c>
    </row>
    <row r="59" spans="3:5" ht="12.9" customHeight="1">
      <c r="C59" s="993" t="s">
        <v>512</v>
      </c>
      <c r="D59" s="994">
        <f>'MDA Sum'!B23</f>
        <v>306905101</v>
      </c>
      <c r="E59" s="995">
        <f t="shared" si="1"/>
        <v>4.4999999999999998E-2</v>
      </c>
    </row>
    <row r="60" spans="3:5" ht="12.9" customHeight="1">
      <c r="C60" s="993" t="s">
        <v>513</v>
      </c>
      <c r="D60" s="994">
        <f>'MDA Sum'!B32</f>
        <v>459967078</v>
      </c>
      <c r="E60" s="995">
        <f t="shared" si="1"/>
        <v>6.7000000000000004E-2</v>
      </c>
    </row>
    <row r="61" spans="3:5" ht="12.9" customHeight="1">
      <c r="C61" s="1001" t="s">
        <v>514</v>
      </c>
      <c r="D61" s="994">
        <f>'MDA Sum'!B33</f>
        <v>0</v>
      </c>
      <c r="E61" s="995">
        <f t="shared" si="1"/>
        <v>0</v>
      </c>
    </row>
    <row r="62" spans="3:5" ht="12.9" customHeight="1">
      <c r="C62" s="993" t="s">
        <v>515</v>
      </c>
      <c r="D62" s="994">
        <f>'MDA Sum'!B34</f>
        <v>372373856</v>
      </c>
      <c r="E62" s="995">
        <f t="shared" si="1"/>
        <v>5.3999999999999999E-2</v>
      </c>
    </row>
    <row r="63" spans="3:5" ht="12.9" customHeight="1">
      <c r="C63" s="993" t="s">
        <v>516</v>
      </c>
      <c r="D63" s="994">
        <f>'MDA Sum'!B35</f>
        <v>1604852</v>
      </c>
      <c r="E63" s="995">
        <f t="shared" si="1"/>
        <v>0</v>
      </c>
    </row>
    <row r="64" spans="3:5" ht="12.9" customHeight="1">
      <c r="C64" s="993" t="s">
        <v>176</v>
      </c>
      <c r="D64" s="994">
        <f>'MDA Sum'!B36</f>
        <v>34980243</v>
      </c>
      <c r="E64" s="995">
        <f t="shared" si="1"/>
        <v>5.0000000000000001E-3</v>
      </c>
    </row>
    <row r="65" spans="3:5" ht="12.9" customHeight="1">
      <c r="C65" s="993" t="s">
        <v>517</v>
      </c>
      <c r="D65" s="994">
        <f>'MDA Sum'!B37</f>
        <v>138147783</v>
      </c>
      <c r="E65" s="995">
        <f t="shared" si="1"/>
        <v>0.02</v>
      </c>
    </row>
    <row r="66" spans="3:5" ht="12.9" customHeight="1">
      <c r="C66" s="993" t="s">
        <v>163</v>
      </c>
      <c r="D66" s="994">
        <f>'MDA Sum'!B26</f>
        <v>446606991</v>
      </c>
      <c r="E66" s="995">
        <f t="shared" si="1"/>
        <v>6.5000000000000002E-2</v>
      </c>
    </row>
    <row r="67" spans="3:5" ht="12.9" customHeight="1">
      <c r="C67" s="996" t="s">
        <v>497</v>
      </c>
      <c r="D67" s="994">
        <f>'MDA Sum'!B29</f>
        <v>4849724589</v>
      </c>
      <c r="E67" s="995">
        <f t="shared" si="1"/>
        <v>0.70599999999999996</v>
      </c>
    </row>
    <row r="68" spans="3:5" ht="12.9" customHeight="1">
      <c r="C68" s="997" t="s">
        <v>201</v>
      </c>
      <c r="D68" s="998">
        <f>SUM(D53:D67)</f>
        <v>6873789418</v>
      </c>
      <c r="E68" s="999">
        <f>SUM(E53:E67)</f>
        <v>1</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$6,873,789,418</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'MDA Sum'!B42</f>
        <v>99944089</v>
      </c>
      <c r="E102" s="995">
        <f>ROUND(D102/$D$115,3)</f>
        <v>1.7999999999999999E-2</v>
      </c>
    </row>
    <row r="103" spans="1:5" ht="12.9" customHeight="1">
      <c r="C103" s="1004" t="s">
        <v>179</v>
      </c>
      <c r="D103" s="994">
        <f>'MDA Sum'!B43</f>
        <v>943836402</v>
      </c>
      <c r="E103" s="995">
        <f t="shared" ref="E103:E113" si="2">ROUND(D103/$D$115,3)</f>
        <v>0.16900000000000001</v>
      </c>
    </row>
    <row r="104" spans="1:5" ht="12.9" customHeight="1">
      <c r="C104" s="1004" t="s">
        <v>180</v>
      </c>
      <c r="D104" s="994">
        <f>'MDA Sum'!B44</f>
        <v>22423991</v>
      </c>
      <c r="E104" s="995">
        <f t="shared" si="2"/>
        <v>4.0000000000000001E-3</v>
      </c>
    </row>
    <row r="105" spans="1:5" ht="12.9" customHeight="1">
      <c r="C105" s="1004" t="s">
        <v>181</v>
      </c>
      <c r="D105" s="994">
        <f>'MDA Sum'!B46</f>
        <v>201697296</v>
      </c>
      <c r="E105" s="995">
        <f t="shared" si="2"/>
        <v>3.5999999999999997E-2</v>
      </c>
    </row>
    <row r="106" spans="1:5" ht="12.9" customHeight="1">
      <c r="C106" s="1004" t="s">
        <v>182</v>
      </c>
      <c r="D106" s="994">
        <f>'MDA Sum'!B47</f>
        <v>3435119</v>
      </c>
      <c r="E106" s="995">
        <f t="shared" si="2"/>
        <v>1E-3</v>
      </c>
    </row>
    <row r="107" spans="1:5" ht="12.9" customHeight="1">
      <c r="C107" s="1004" t="s">
        <v>183</v>
      </c>
      <c r="D107" s="994">
        <f>'MDA Sum'!B48</f>
        <v>194073769</v>
      </c>
      <c r="E107" s="995">
        <f t="shared" si="2"/>
        <v>3.5000000000000003E-2</v>
      </c>
    </row>
    <row r="108" spans="1:5" ht="12.9" customHeight="1">
      <c r="C108" s="1004" t="s">
        <v>519</v>
      </c>
      <c r="D108" s="994">
        <f>'MDA Sum'!B49</f>
        <v>230701538</v>
      </c>
      <c r="E108" s="995">
        <f t="shared" si="2"/>
        <v>4.1000000000000002E-2</v>
      </c>
    </row>
    <row r="109" spans="1:5" ht="12.9" customHeight="1">
      <c r="C109" s="1004" t="s">
        <v>520</v>
      </c>
      <c r="D109" s="994">
        <f>'MDA Sum'!B50</f>
        <v>2720520</v>
      </c>
      <c r="E109" s="995">
        <f t="shared" si="2"/>
        <v>0</v>
      </c>
    </row>
    <row r="110" spans="1:5" ht="12.9" customHeight="1">
      <c r="C110" s="1004" t="s">
        <v>186</v>
      </c>
      <c r="D110" s="994">
        <f>'MDA Sum'!B51</f>
        <v>18756979</v>
      </c>
      <c r="E110" s="995">
        <f t="shared" si="2"/>
        <v>3.0000000000000001E-3</v>
      </c>
    </row>
    <row r="111" spans="1:5" ht="12.9" customHeight="1">
      <c r="C111" s="1015" t="s">
        <v>521</v>
      </c>
      <c r="D111" s="994">
        <f>'MDA Sum'!B52</f>
        <v>88539706</v>
      </c>
      <c r="E111" s="995">
        <f t="shared" si="2"/>
        <v>1.6E-2</v>
      </c>
    </row>
    <row r="112" spans="1:5" ht="12.9" customHeight="1">
      <c r="C112" s="993" t="s">
        <v>522</v>
      </c>
      <c r="D112" s="994">
        <f>'MDA Sum'!B53</f>
        <v>2179929</v>
      </c>
      <c r="E112" s="995">
        <f t="shared" si="2"/>
        <v>0</v>
      </c>
    </row>
    <row r="113" spans="3:5" ht="12.9" customHeight="1">
      <c r="C113" s="996" t="s">
        <v>523</v>
      </c>
      <c r="D113" s="994">
        <f>'MDA Sum'!B45</f>
        <v>3764483888</v>
      </c>
      <c r="E113" s="995">
        <f t="shared" si="2"/>
        <v>0.67600000000000005</v>
      </c>
    </row>
    <row r="114" spans="3:5" ht="12.9" customHeight="1">
      <c r="C114" s="991"/>
      <c r="D114" s="991"/>
      <c r="E114" s="999"/>
    </row>
    <row r="115" spans="3:5" ht="12.9" customHeight="1">
      <c r="C115" s="1005" t="s">
        <v>189</v>
      </c>
      <c r="D115" s="998">
        <f>SUM(D102:D114)</f>
        <v>5572793226</v>
      </c>
      <c r="E115" s="999">
        <f>SUM(E102:E113)</f>
        <v>0.99900000000000011</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$5,572,793,226</v>
      </c>
    </row>
    <row r="137" spans="1:1" ht="12.9" customHeight="1">
      <c r="A137" s="1136"/>
    </row>
    <row r="138" spans="1:1" ht="12.9" customHeight="1"/>
    <row r="139" spans="1:1" ht="12.9" customHeight="1">
      <c r="A139" s="1006" t="s">
        <v>524</v>
      </c>
    </row>
    <row r="140" spans="1:1" ht="12.9"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C101:D101"/>
    <mergeCell ref="A136:A137"/>
    <mergeCell ref="C9:D9"/>
    <mergeCell ref="A47:A48"/>
    <mergeCell ref="A92:A93"/>
    <mergeCell ref="C100:D100"/>
  </mergeCells>
  <hyperlinks>
    <hyperlink ref="C1" location="Index!A1" display="Return to Index" xr:uid="{00000000-0004-0000-2600-000000000000}"/>
  </hyperlinks>
  <printOptions horizontalCentered="1"/>
  <pageMargins left="0.5" right="0.5" top="0.25" bottom="0.25" header="0.25" footer="0.25"/>
  <pageSetup scale="41"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ransitionEvaluation="1" transitionEntry="1">
    <tabColor indexed="13"/>
  </sheetPr>
  <dimension ref="A1:AD83"/>
  <sheetViews>
    <sheetView showGridLines="0" zoomScale="85" zoomScaleNormal="85"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2.109375" style="277" customWidth="1"/>
    <col min="16" max="16384" width="9.109375" style="277"/>
  </cols>
  <sheetData>
    <row r="1" spans="1:15" ht="16.8" thickTop="1" thickBot="1">
      <c r="A1" s="899" t="str">
        <f>'MDA Chts'!$A$1</f>
        <v>The University of Texas M.D. Anderson Cancer Center</v>
      </c>
      <c r="B1" s="754"/>
      <c r="C1" s="754"/>
      <c r="D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1007">
        <f>VLOOKUP(A1,NamesLU,2,FALSE)</f>
        <v>25554</v>
      </c>
      <c r="J2" s="901"/>
      <c r="K2" s="901"/>
      <c r="L2" s="901"/>
      <c r="M2" s="901"/>
      <c r="O2" s="320"/>
    </row>
    <row r="3" spans="1:15" ht="15.75" customHeight="1">
      <c r="A3" s="900" t="str">
        <f>'Smmy Chts'!$A$3</f>
        <v>Source: FY 2022 Annual Financial Report</v>
      </c>
      <c r="B3" s="754"/>
      <c r="C3" s="754"/>
      <c r="O3" s="320"/>
    </row>
    <row r="4" spans="1:15" ht="13.5" customHeight="1">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909"/>
      <c r="C6" s="427">
        <f>VLOOKUP($G$2,FTSELU,10,FALSE)</f>
        <v>382.05</v>
      </c>
      <c r="J6" s="910"/>
      <c r="O6" s="320"/>
    </row>
    <row r="7" spans="1:15">
      <c r="B7" s="909"/>
      <c r="C7" s="909"/>
      <c r="I7" s="446" t="s">
        <v>533</v>
      </c>
      <c r="J7" s="911"/>
      <c r="O7" s="320"/>
    </row>
    <row r="8" spans="1:15">
      <c r="A8" s="912" t="s">
        <v>151</v>
      </c>
      <c r="B8" s="912"/>
      <c r="C8" s="913"/>
      <c r="I8" s="914">
        <f>VLOOKUP($G$2,FTSELU,11,FALSE)</f>
        <v>1879.17</v>
      </c>
      <c r="J8" s="910"/>
      <c r="O8" s="320"/>
    </row>
    <row r="9" spans="1:15" ht="12.75" customHeight="1" thickBot="1">
      <c r="A9" s="279" t="s">
        <v>152</v>
      </c>
      <c r="B9" s="915"/>
      <c r="C9" s="492" t="s">
        <v>534</v>
      </c>
      <c r="J9" s="910"/>
      <c r="O9" s="320"/>
    </row>
    <row r="10" spans="1:15" ht="12.75" customHeight="1" thickTop="1">
      <c r="A10" s="277" t="s">
        <v>535</v>
      </c>
      <c r="B10" s="501">
        <f>'MDA FGD'!M10</f>
        <v>222277361</v>
      </c>
      <c r="C10" s="492"/>
      <c r="D10" s="492">
        <f>'MDA FGD'!F10</f>
        <v>0</v>
      </c>
      <c r="E10" s="492"/>
      <c r="F10" s="916">
        <f>B10-(SUM(D10:E10))</f>
        <v>222277361</v>
      </c>
      <c r="G10" s="917" t="s">
        <v>101</v>
      </c>
      <c r="H10" s="918"/>
      <c r="I10" s="919" t="s">
        <v>536</v>
      </c>
      <c r="J10" s="920" t="s">
        <v>283</v>
      </c>
      <c r="O10" s="320"/>
    </row>
    <row r="11" spans="1:15" ht="12.75" customHeight="1" thickBot="1">
      <c r="A11" s="277" t="s">
        <v>134</v>
      </c>
      <c r="B11" s="669">
        <f>'MDA FGD'!M11</f>
        <v>39367704</v>
      </c>
      <c r="C11" s="501"/>
      <c r="D11" s="921">
        <f>'MDA FGD'!F11</f>
        <v>0</v>
      </c>
      <c r="E11" s="754"/>
      <c r="F11" s="922">
        <f t="shared" ref="F11:F14" si="0">B11-(SUM(D11:E11))</f>
        <v>39367704</v>
      </c>
      <c r="G11" s="923">
        <f>SUM(F10:F11)</f>
        <v>261645065</v>
      </c>
      <c r="H11" s="924"/>
      <c r="I11" s="1012" t="s">
        <v>283</v>
      </c>
      <c r="J11" s="926" t="s">
        <v>283</v>
      </c>
      <c r="O11" s="320"/>
    </row>
    <row r="12" spans="1:15" ht="12.75" hidden="1" customHeight="1" thickTop="1" thickBot="1">
      <c r="A12" s="277" t="s">
        <v>537</v>
      </c>
      <c r="B12" s="669"/>
      <c r="C12" s="501"/>
      <c r="D12" s="921"/>
      <c r="E12" s="754"/>
      <c r="F12" s="927"/>
      <c r="J12" s="926"/>
      <c r="O12" s="928"/>
    </row>
    <row r="13" spans="1:15" ht="12.75" customHeight="1" thickTop="1">
      <c r="A13" s="277" t="s">
        <v>468</v>
      </c>
      <c r="B13" s="669">
        <f>'MDA FGD'!M13</f>
        <v>0</v>
      </c>
      <c r="C13" s="501"/>
      <c r="D13" s="921">
        <f>'MDA FGD'!F13</f>
        <v>0</v>
      </c>
      <c r="E13" s="754"/>
      <c r="F13" s="929">
        <f t="shared" si="0"/>
        <v>0</v>
      </c>
      <c r="G13" s="930" t="s">
        <v>102</v>
      </c>
      <c r="H13" s="931"/>
      <c r="I13" s="417" t="s">
        <v>538</v>
      </c>
      <c r="J13" s="926" t="s">
        <v>283</v>
      </c>
      <c r="O13" s="320"/>
    </row>
    <row r="14" spans="1:15" ht="12.75" customHeight="1" thickBot="1">
      <c r="A14" s="277" t="s">
        <v>135</v>
      </c>
      <c r="B14" s="669">
        <f>'MDA FGD'!M14</f>
        <v>0</v>
      </c>
      <c r="C14" s="501"/>
      <c r="D14" s="921">
        <f>'MDA FGD'!F14</f>
        <v>0</v>
      </c>
      <c r="E14" s="754"/>
      <c r="F14" s="927">
        <f t="shared" si="0"/>
        <v>0</v>
      </c>
      <c r="G14" s="932">
        <f>SUM(F13:F14)</f>
        <v>0</v>
      </c>
      <c r="H14" s="933"/>
      <c r="I14" s="1012" t="s">
        <v>283</v>
      </c>
      <c r="J14" s="935" t="s">
        <v>283</v>
      </c>
      <c r="O14" s="320"/>
    </row>
    <row r="15" spans="1:15" ht="12.75" customHeight="1" thickTop="1">
      <c r="A15" s="936" t="s">
        <v>155</v>
      </c>
      <c r="B15" s="937">
        <f>SUM(B10:B14)</f>
        <v>261645065</v>
      </c>
      <c r="C15" s="937"/>
      <c r="D15" s="937">
        <f>SUM(D10:D14)</f>
        <v>0</v>
      </c>
      <c r="E15" s="937">
        <f>SUM(E10:E14)</f>
        <v>0</v>
      </c>
      <c r="F15" s="938">
        <f>SUM(F10:F14)</f>
        <v>261645065</v>
      </c>
      <c r="I15" s="345"/>
      <c r="J15" s="939" t="s">
        <v>283</v>
      </c>
      <c r="O15" s="320"/>
    </row>
    <row r="16" spans="1:15">
      <c r="C16" s="277"/>
      <c r="J16" s="910"/>
      <c r="O16" s="320"/>
    </row>
    <row r="17" spans="1:15" ht="12.75" customHeight="1">
      <c r="A17" s="279" t="s">
        <v>161</v>
      </c>
      <c r="C17" s="277"/>
      <c r="J17" s="910"/>
      <c r="O17" s="320"/>
    </row>
    <row r="18" spans="1:15">
      <c r="A18" s="277" t="s">
        <v>165</v>
      </c>
      <c r="B18" s="501">
        <f>'MDA FGD'!M29</f>
        <v>1488239</v>
      </c>
      <c r="C18" s="501"/>
      <c r="D18" s="492">
        <f>'MDA FGD'!$F$29</f>
        <v>0</v>
      </c>
      <c r="E18" s="492"/>
      <c r="F18" s="492">
        <f t="shared" ref="F18:F19" si="1">B18-(SUM(D18:E18))</f>
        <v>1488239</v>
      </c>
      <c r="J18" s="920" t="s">
        <v>283</v>
      </c>
      <c r="O18" s="320"/>
    </row>
    <row r="19" spans="1:15" ht="13.8" thickBot="1">
      <c r="A19" s="277" t="s">
        <v>166</v>
      </c>
      <c r="B19" s="669">
        <f>'MDA FGD'!M42</f>
        <v>345621</v>
      </c>
      <c r="C19" s="501"/>
      <c r="D19" s="754">
        <f>'MDA FGD'!$F$42</f>
        <v>0</v>
      </c>
      <c r="E19" s="754"/>
      <c r="F19" s="754">
        <f t="shared" si="1"/>
        <v>345621</v>
      </c>
      <c r="J19" s="926" t="s">
        <v>283</v>
      </c>
      <c r="O19" s="320"/>
    </row>
    <row r="20" spans="1:15" ht="14.4" thickTop="1" thickBot="1">
      <c r="A20" s="936" t="s">
        <v>167</v>
      </c>
      <c r="B20" s="937">
        <f>SUM(B18:B19)</f>
        <v>1833860</v>
      </c>
      <c r="C20" s="937"/>
      <c r="D20" s="798">
        <f>SUM(D18:D19)</f>
        <v>0</v>
      </c>
      <c r="E20" s="940">
        <f>SUM(E18:E19)</f>
        <v>0</v>
      </c>
      <c r="F20" s="941">
        <f>SUM(F18:F19)</f>
        <v>1833860</v>
      </c>
      <c r="G20" s="942" t="s">
        <v>539</v>
      </c>
      <c r="H20" s="943"/>
      <c r="J20" s="944" t="s">
        <v>283</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'MDA FGD'!M47</f>
        <v>306905101</v>
      </c>
      <c r="C23" s="1013"/>
      <c r="D23" s="798">
        <f>'MDA FGD'!F47</f>
        <v>0</v>
      </c>
      <c r="E23" s="940"/>
      <c r="F23" s="941">
        <f>B23-(SUM(D23:E23))</f>
        <v>306905101</v>
      </c>
      <c r="G23" s="946" t="s">
        <v>540</v>
      </c>
      <c r="H23" s="943"/>
      <c r="J23" s="947" t="s">
        <v>283</v>
      </c>
      <c r="O23" s="320"/>
    </row>
    <row r="24" spans="1:15" ht="13.8" thickTop="1">
      <c r="C24" s="277"/>
      <c r="J24" s="910"/>
      <c r="O24" s="320"/>
    </row>
    <row r="25" spans="1:15">
      <c r="A25" s="279" t="s">
        <v>163</v>
      </c>
      <c r="C25" s="277"/>
      <c r="D25" s="754"/>
      <c r="J25" s="910"/>
      <c r="O25" s="320"/>
    </row>
    <row r="26" spans="1:15">
      <c r="A26" s="936" t="s">
        <v>200</v>
      </c>
      <c r="B26" s="937">
        <f>'MDA FGD'!M50</f>
        <v>446606991</v>
      </c>
      <c r="C26" s="1013"/>
      <c r="D26" s="937">
        <f>'MDA FGD'!F50</f>
        <v>0</v>
      </c>
      <c r="E26" s="937">
        <f>B26-D26</f>
        <v>446606991</v>
      </c>
      <c r="F26" s="937">
        <f t="shared" ref="F26" si="2">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'MDA FGD'!M53</f>
        <v>4849724589</v>
      </c>
      <c r="C29" s="1013"/>
      <c r="D29" s="937">
        <f>'MDA FGD'!F53</f>
        <v>0</v>
      </c>
      <c r="E29" s="937">
        <f>B29-D29</f>
        <v>4849724589</v>
      </c>
      <c r="F29" s="937">
        <f t="shared" ref="F29" si="3">B29-(SUM(D29:E29))</f>
        <v>0</v>
      </c>
      <c r="J29" s="926"/>
      <c r="O29" s="320"/>
    </row>
    <row r="30" spans="1:15">
      <c r="C30" s="277"/>
      <c r="E30" s="754"/>
      <c r="F30" s="754"/>
      <c r="J30" s="926"/>
      <c r="O30" s="320"/>
    </row>
    <row r="31" spans="1:15">
      <c r="A31" s="279" t="s">
        <v>171</v>
      </c>
      <c r="C31" s="277"/>
      <c r="E31" s="754"/>
      <c r="F31" s="754"/>
      <c r="G31" s="400"/>
      <c r="H31" s="400"/>
      <c r="I31" s="400"/>
      <c r="J31" s="926"/>
      <c r="O31" s="320"/>
    </row>
    <row r="32" spans="1:15">
      <c r="A32" s="277" t="s">
        <v>172</v>
      </c>
      <c r="B32" s="501">
        <f>'MDA FGD'!M56</f>
        <v>459967078</v>
      </c>
      <c r="C32" s="501"/>
      <c r="D32" s="492">
        <f>'MDA FGD'!F56</f>
        <v>0</v>
      </c>
      <c r="E32" s="492"/>
      <c r="F32" s="492">
        <f t="shared" ref="F32:F37" si="4">B32-(SUM(D32:E32))</f>
        <v>459967078</v>
      </c>
      <c r="J32" s="920" t="s">
        <v>283</v>
      </c>
      <c r="O32" s="320"/>
    </row>
    <row r="33" spans="1:30">
      <c r="A33" s="277" t="s">
        <v>173</v>
      </c>
      <c r="B33" s="669">
        <f>'MDA FGD'!M57</f>
        <v>0</v>
      </c>
      <c r="C33" s="501"/>
      <c r="D33" s="921">
        <f>'MDA FGD'!F57</f>
        <v>0</v>
      </c>
      <c r="E33" s="754"/>
      <c r="F33" s="754">
        <f t="shared" si="4"/>
        <v>0</v>
      </c>
      <c r="J33" s="926" t="s">
        <v>283</v>
      </c>
      <c r="O33" s="320"/>
    </row>
    <row r="34" spans="1:30" ht="13.8" thickBot="1">
      <c r="A34" s="277" t="s">
        <v>174</v>
      </c>
      <c r="B34" s="669">
        <f>'MDA FGD'!M58</f>
        <v>372373856</v>
      </c>
      <c r="C34" s="501"/>
      <c r="D34" s="921">
        <f>'MDA FGD'!F58</f>
        <v>0</v>
      </c>
      <c r="E34" s="754"/>
      <c r="F34" s="754">
        <f t="shared" si="4"/>
        <v>372373856</v>
      </c>
      <c r="J34" s="926" t="s">
        <v>283</v>
      </c>
      <c r="O34" s="320"/>
    </row>
    <row r="35" spans="1:30" ht="13.8" thickBot="1">
      <c r="A35" s="277" t="s">
        <v>175</v>
      </c>
      <c r="B35" s="669">
        <f>'MDA FGD'!M59</f>
        <v>1604852</v>
      </c>
      <c r="C35" s="501"/>
      <c r="D35" s="921">
        <f>'MDA FGD'!F59</f>
        <v>0</v>
      </c>
      <c r="E35" s="754"/>
      <c r="F35" s="754">
        <f t="shared" si="4"/>
        <v>1604852</v>
      </c>
      <c r="J35" s="926" t="s">
        <v>283</v>
      </c>
      <c r="K35" s="1157"/>
      <c r="L35" s="1140"/>
      <c r="M35" s="1140"/>
      <c r="N35" s="1140"/>
      <c r="O35" s="1141"/>
    </row>
    <row r="36" spans="1:30" ht="13.8" thickBot="1">
      <c r="A36" s="277" t="s">
        <v>471</v>
      </c>
      <c r="B36" s="669">
        <f>'MDA FGD'!M60</f>
        <v>34980243</v>
      </c>
      <c r="C36" s="501"/>
      <c r="D36" s="921">
        <f>'MDA FGD'!F60</f>
        <v>34980243</v>
      </c>
      <c r="E36" s="754"/>
      <c r="F36" s="754">
        <f t="shared" si="4"/>
        <v>0</v>
      </c>
      <c r="J36" s="926" t="s">
        <v>283</v>
      </c>
      <c r="K36" s="1157" t="s">
        <v>268</v>
      </c>
      <c r="L36" s="1140"/>
      <c r="M36" s="1140"/>
      <c r="N36" s="1140"/>
      <c r="O36" s="1141"/>
    </row>
    <row r="37" spans="1:30" ht="13.5" customHeight="1" thickBot="1">
      <c r="A37" s="538" t="s">
        <v>177</v>
      </c>
      <c r="B37" s="669">
        <f>'MDA FGD'!M61</f>
        <v>138147783</v>
      </c>
      <c r="C37" s="501"/>
      <c r="D37" s="921">
        <f>'MDA FGD'!F61</f>
        <v>0</v>
      </c>
      <c r="E37" s="754"/>
      <c r="F37" s="754">
        <f t="shared" si="4"/>
        <v>138147783</v>
      </c>
      <c r="G37" s="400"/>
      <c r="H37" s="400"/>
      <c r="I37" s="400"/>
      <c r="J37" s="926" t="s">
        <v>283</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1007073812</v>
      </c>
      <c r="C38" s="937"/>
      <c r="D38" s="949">
        <f>SUM(D32:D37)</f>
        <v>34980243</v>
      </c>
      <c r="E38" s="949">
        <f>SUM(E32:E37)</f>
        <v>0</v>
      </c>
      <c r="F38" s="950">
        <f>SUM(F32:F37)</f>
        <v>972093569</v>
      </c>
      <c r="G38" s="1154" t="s">
        <v>171</v>
      </c>
      <c r="H38" s="1155"/>
      <c r="I38" s="951" t="s">
        <v>542</v>
      </c>
      <c r="J38" s="952" t="s">
        <v>283</v>
      </c>
      <c r="K38" s="1159"/>
      <c r="L38" s="1159"/>
      <c r="M38" s="1159"/>
      <c r="N38" s="1159" t="s">
        <v>543</v>
      </c>
      <c r="O38" s="1159" t="s">
        <v>280</v>
      </c>
    </row>
    <row r="39" spans="1:30" ht="13.8" thickTop="1">
      <c r="A39" s="953" t="s">
        <v>201</v>
      </c>
      <c r="B39" s="954">
        <f>B15+B20+B23+B26+B29+B38</f>
        <v>6873789418</v>
      </c>
      <c r="C39" s="955"/>
      <c r="D39" s="954">
        <f>D15+D20+D23+D26+D29+D38</f>
        <v>34980243</v>
      </c>
      <c r="E39" s="954">
        <f>E15+E20+E23+E26+E29+E38</f>
        <v>5296331580</v>
      </c>
      <c r="F39" s="956">
        <f>F38+F23+F20+F15</f>
        <v>1542477595</v>
      </c>
      <c r="G39" s="1156" t="s">
        <v>271</v>
      </c>
      <c r="H39" s="1156"/>
      <c r="I39" s="1012" t="s">
        <v>283</v>
      </c>
      <c r="J39" s="958" t="s">
        <v>283</v>
      </c>
      <c r="K39" s="1159"/>
      <c r="L39" s="1159"/>
      <c r="M39" s="1159"/>
      <c r="N39" s="1159"/>
      <c r="O39" s="1159"/>
    </row>
    <row r="40" spans="1:30" ht="13.8" thickBot="1">
      <c r="C40" s="277"/>
      <c r="F40" s="320" t="s">
        <v>544</v>
      </c>
      <c r="G40" s="959">
        <f>G14*-1</f>
        <v>0</v>
      </c>
      <c r="I40" s="951" t="s">
        <v>545</v>
      </c>
      <c r="J40" s="960"/>
      <c r="K40" s="1160"/>
      <c r="L40" s="1160"/>
      <c r="M40" s="1160"/>
      <c r="N40" s="1160"/>
      <c r="O40" s="1160"/>
    </row>
    <row r="41" spans="1:30" ht="14.4" thickTop="1" thickBot="1">
      <c r="A41" s="912" t="s">
        <v>178</v>
      </c>
      <c r="B41" s="912"/>
      <c r="C41" s="912"/>
      <c r="D41" s="344"/>
      <c r="E41" s="344"/>
      <c r="F41" s="961" t="s">
        <v>546</v>
      </c>
      <c r="G41" s="962">
        <f>F39+G40</f>
        <v>1542477595</v>
      </c>
      <c r="I41" s="1012" t="s">
        <v>283</v>
      </c>
      <c r="K41" s="964"/>
      <c r="L41" s="964"/>
      <c r="M41" s="964"/>
      <c r="N41" s="964"/>
      <c r="O41" s="964"/>
    </row>
    <row r="42" spans="1:30" ht="13.8" thickTop="1">
      <c r="A42" s="490" t="s">
        <v>92</v>
      </c>
      <c r="B42" s="501">
        <f>'MDA FGD'!M65</f>
        <v>99944089</v>
      </c>
      <c r="C42" s="501"/>
      <c r="D42" s="492">
        <f>'MDA FGD'!F65</f>
        <v>0</v>
      </c>
      <c r="E42" s="492"/>
      <c r="F42" s="492">
        <f t="shared" ref="F42" si="5">B42-(SUM(D42:E42))</f>
        <v>99944089</v>
      </c>
      <c r="H42" s="965" t="s">
        <v>547</v>
      </c>
      <c r="I42" s="966">
        <f>ROUND(F42/$C$6,0)</f>
        <v>261600</v>
      </c>
      <c r="J42" s="320" t="s">
        <v>548</v>
      </c>
      <c r="K42" s="492">
        <f>F42</f>
        <v>99944089</v>
      </c>
      <c r="L42" s="492">
        <f>K42</f>
        <v>99944089</v>
      </c>
      <c r="M42" s="492"/>
      <c r="N42" s="492"/>
      <c r="O42" s="492"/>
    </row>
    <row r="43" spans="1:30">
      <c r="A43" s="490" t="s">
        <v>179</v>
      </c>
      <c r="B43" s="669">
        <f>'MDA FGD'!M66</f>
        <v>943836402</v>
      </c>
      <c r="C43" s="501"/>
      <c r="D43" s="723">
        <f>'MDA FGD'!F66</f>
        <v>0</v>
      </c>
      <c r="E43" s="754"/>
      <c r="F43" s="754">
        <f t="shared" ref="F43:F44" si="6">B43-(SUM(D43:E43))</f>
        <v>943836402</v>
      </c>
      <c r="J43" s="320" t="s">
        <v>549</v>
      </c>
      <c r="K43" s="723">
        <f>F43</f>
        <v>943836402</v>
      </c>
      <c r="L43" s="723">
        <f>K43</f>
        <v>943836402</v>
      </c>
      <c r="M43" s="723"/>
      <c r="N43" s="723"/>
      <c r="O43" s="723"/>
    </row>
    <row r="44" spans="1:30">
      <c r="A44" s="490" t="s">
        <v>180</v>
      </c>
      <c r="B44" s="669">
        <f>'MDA FGD'!M67</f>
        <v>22423991</v>
      </c>
      <c r="C44" s="501"/>
      <c r="D44" s="723">
        <f>'MDA FGD'!F67</f>
        <v>0</v>
      </c>
      <c r="E44" s="921">
        <f>B44-D44</f>
        <v>22423991</v>
      </c>
      <c r="F44" s="754">
        <f t="shared" si="6"/>
        <v>0</v>
      </c>
      <c r="J44" s="320" t="s">
        <v>550</v>
      </c>
      <c r="K44" s="967"/>
      <c r="L44" s="769"/>
      <c r="M44" s="769" t="s">
        <v>551</v>
      </c>
      <c r="N44" s="769"/>
      <c r="O44" s="968"/>
    </row>
    <row r="45" spans="1:30">
      <c r="A45" s="300" t="s">
        <v>164</v>
      </c>
      <c r="B45" s="669">
        <f>'MDA FGD'!M68</f>
        <v>3764483888</v>
      </c>
      <c r="C45" s="501"/>
      <c r="D45" s="723">
        <f>'MDA FGD'!F68</f>
        <v>0</v>
      </c>
      <c r="E45" s="921">
        <f>B45-D45</f>
        <v>3764483888</v>
      </c>
      <c r="F45" s="754">
        <f t="shared" ref="F45" si="7">B45-(SUM(D45:E45))</f>
        <v>0</v>
      </c>
      <c r="G45" s="492"/>
      <c r="J45" s="320" t="s">
        <v>552</v>
      </c>
      <c r="K45" s="1161" t="s">
        <v>551</v>
      </c>
      <c r="L45" s="1162"/>
      <c r="M45" s="1162"/>
      <c r="N45" s="1162"/>
      <c r="O45" s="1163"/>
    </row>
    <row r="46" spans="1:30">
      <c r="A46" s="490" t="s">
        <v>181</v>
      </c>
      <c r="B46" s="669">
        <f>'MDA FGD'!M69</f>
        <v>201697296</v>
      </c>
      <c r="C46" s="501"/>
      <c r="D46" s="723">
        <f>'MDA FGD'!F69</f>
        <v>0</v>
      </c>
      <c r="E46" s="754"/>
      <c r="F46" s="754">
        <f t="shared" ref="F46:F53" si="8">B46-(SUM(D46:E46))</f>
        <v>201697296</v>
      </c>
      <c r="H46" s="965" t="s">
        <v>553</v>
      </c>
      <c r="I46" s="966">
        <f>ROUND(F46/$C$6,0)</f>
        <v>527934</v>
      </c>
      <c r="J46" s="320" t="s">
        <v>554</v>
      </c>
      <c r="K46" s="723">
        <f t="shared" ref="K46:K50" si="9">F46</f>
        <v>201697296</v>
      </c>
      <c r="L46" s="723">
        <f>K46</f>
        <v>201697296</v>
      </c>
      <c r="M46" s="723"/>
      <c r="N46" s="723"/>
      <c r="O46" s="723"/>
    </row>
    <row r="47" spans="1:30">
      <c r="A47" s="490" t="s">
        <v>182</v>
      </c>
      <c r="B47" s="669">
        <f>'MDA FGD'!M70</f>
        <v>3435119</v>
      </c>
      <c r="C47" s="501"/>
      <c r="D47" s="723">
        <f>'MDA FGD'!F70</f>
        <v>0</v>
      </c>
      <c r="E47" s="754"/>
      <c r="F47" s="754">
        <f t="shared" si="8"/>
        <v>3435119</v>
      </c>
      <c r="J47" s="320" t="s">
        <v>555</v>
      </c>
      <c r="K47" s="723">
        <f t="shared" si="9"/>
        <v>3435119</v>
      </c>
      <c r="L47" s="723"/>
      <c r="M47" s="723">
        <f>K47</f>
        <v>3435119</v>
      </c>
      <c r="N47" s="723"/>
      <c r="O47" s="723"/>
    </row>
    <row r="48" spans="1:30">
      <c r="A48" s="490" t="s">
        <v>183</v>
      </c>
      <c r="B48" s="669">
        <f>'MDA FGD'!M71</f>
        <v>194073769</v>
      </c>
      <c r="C48" s="501"/>
      <c r="D48" s="723">
        <f>'MDA FGD'!F71</f>
        <v>0</v>
      </c>
      <c r="E48" s="754"/>
      <c r="F48" s="754">
        <f t="shared" si="8"/>
        <v>194073769</v>
      </c>
      <c r="H48" s="965" t="s">
        <v>556</v>
      </c>
      <c r="I48" s="966">
        <f>ROUND(F48/$C$6,0)</f>
        <v>507980</v>
      </c>
      <c r="J48" s="320" t="s">
        <v>557</v>
      </c>
      <c r="K48" s="723">
        <f t="shared" si="9"/>
        <v>194073769</v>
      </c>
      <c r="L48" s="723"/>
      <c r="M48" s="723"/>
      <c r="N48" s="723">
        <f>K48</f>
        <v>194073769</v>
      </c>
      <c r="O48" s="723"/>
    </row>
    <row r="49" spans="1:30">
      <c r="A49" s="490" t="s">
        <v>184</v>
      </c>
      <c r="B49" s="669">
        <f>'MDA FGD'!M72</f>
        <v>230701538</v>
      </c>
      <c r="C49" s="501"/>
      <c r="D49" s="723">
        <f>'MDA FGD'!F72</f>
        <v>0</v>
      </c>
      <c r="E49" s="754"/>
      <c r="F49" s="754">
        <f t="shared" si="8"/>
        <v>230701538</v>
      </c>
      <c r="J49" s="320" t="s">
        <v>558</v>
      </c>
      <c r="K49" s="723">
        <f t="shared" si="9"/>
        <v>230701538</v>
      </c>
      <c r="L49" s="723"/>
      <c r="M49" s="723"/>
      <c r="N49" s="723">
        <f>K49</f>
        <v>230701538</v>
      </c>
      <c r="O49" s="723"/>
    </row>
    <row r="50" spans="1:30">
      <c r="A50" s="490" t="s">
        <v>185</v>
      </c>
      <c r="B50" s="669">
        <f>'MDA FGD'!M73</f>
        <v>2720520</v>
      </c>
      <c r="C50" s="501"/>
      <c r="D50" s="723">
        <f>'MDA FGD'!F73</f>
        <v>0</v>
      </c>
      <c r="E50" s="754"/>
      <c r="F50" s="754">
        <f t="shared" si="8"/>
        <v>2720520</v>
      </c>
      <c r="J50" s="320" t="s">
        <v>559</v>
      </c>
      <c r="K50" s="723">
        <f t="shared" si="9"/>
        <v>2720520</v>
      </c>
      <c r="L50" s="723"/>
      <c r="M50" s="723">
        <f>K50</f>
        <v>2720520</v>
      </c>
      <c r="N50" s="723"/>
      <c r="O50" s="723"/>
    </row>
    <row r="51" spans="1:30">
      <c r="A51" s="490" t="s">
        <v>472</v>
      </c>
      <c r="B51" s="669">
        <f>'MDA FGD'!M74</f>
        <v>18756979</v>
      </c>
      <c r="C51" s="501"/>
      <c r="D51" s="969">
        <f>B51</f>
        <v>18756979</v>
      </c>
      <c r="E51" s="754"/>
      <c r="F51" s="754">
        <f t="shared" si="8"/>
        <v>0</v>
      </c>
      <c r="J51" s="320" t="s">
        <v>560</v>
      </c>
      <c r="K51" s="967"/>
      <c r="L51" s="769"/>
      <c r="M51" s="769" t="s">
        <v>551</v>
      </c>
      <c r="N51" s="769"/>
      <c r="O51" s="968"/>
    </row>
    <row r="52" spans="1:30">
      <c r="A52" s="490" t="s">
        <v>187</v>
      </c>
      <c r="B52" s="669">
        <f>'MDA FGD'!M75</f>
        <v>88539706</v>
      </c>
      <c r="C52" s="501"/>
      <c r="D52" s="723">
        <f>'MDA FGD'!F75</f>
        <v>60619</v>
      </c>
      <c r="E52" s="754"/>
      <c r="F52" s="754">
        <f t="shared" si="8"/>
        <v>88479087</v>
      </c>
      <c r="J52" s="320" t="s">
        <v>561</v>
      </c>
      <c r="K52" s="723">
        <f t="shared" ref="K52:K53" si="10">F52</f>
        <v>88479087</v>
      </c>
      <c r="L52" s="723"/>
      <c r="M52" s="723"/>
      <c r="N52" s="723"/>
      <c r="O52" s="723">
        <f>K52</f>
        <v>88479087</v>
      </c>
    </row>
    <row r="53" spans="1:30" ht="13.8" thickBot="1">
      <c r="A53" s="277" t="s">
        <v>1713</v>
      </c>
      <c r="B53" s="669">
        <f>'MDA FGD'!M76</f>
        <v>2179929</v>
      </c>
      <c r="C53" s="501"/>
      <c r="D53" s="723">
        <f>'MDA FGD'!F76</f>
        <v>0</v>
      </c>
      <c r="E53" s="754"/>
      <c r="F53" s="754">
        <f t="shared" si="8"/>
        <v>2179929</v>
      </c>
      <c r="G53" s="400"/>
      <c r="H53" s="965" t="s">
        <v>562</v>
      </c>
      <c r="I53" s="966">
        <f>ROUND(SUM(F43+F47+F49+F50+F52+F53)/$C$6,0)</f>
        <v>3327713</v>
      </c>
      <c r="J53" s="400" t="s">
        <v>280</v>
      </c>
      <c r="K53" s="723">
        <f t="shared" si="10"/>
        <v>2179929</v>
      </c>
      <c r="L53" s="970"/>
      <c r="M53" s="970"/>
      <c r="N53" s="970"/>
      <c r="O53" s="723">
        <f>K53</f>
        <v>2179929</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5572793226</v>
      </c>
      <c r="C54" s="972"/>
      <c r="D54" s="972">
        <f>SUM(D42:D53)</f>
        <v>18817598</v>
      </c>
      <c r="E54" s="973">
        <f>SUM(E43:E53)</f>
        <v>3786907879</v>
      </c>
      <c r="F54" s="974">
        <f>SUM(F42:F53)</f>
        <v>1767067749</v>
      </c>
      <c r="G54" s="1174" t="s">
        <v>563</v>
      </c>
      <c r="H54" s="1175"/>
      <c r="I54" s="975" t="s">
        <v>623</v>
      </c>
      <c r="J54" s="400" t="s">
        <v>564</v>
      </c>
      <c r="K54" s="976">
        <f>SUM(K42:K53)</f>
        <v>1767067749</v>
      </c>
      <c r="L54" s="976">
        <f t="shared" ref="L54:O54" si="11">SUM(L42:L53)</f>
        <v>1245477787</v>
      </c>
      <c r="M54" s="976">
        <f t="shared" si="11"/>
        <v>6155639</v>
      </c>
      <c r="N54" s="976">
        <f t="shared" si="11"/>
        <v>424775307</v>
      </c>
      <c r="O54" s="976">
        <f t="shared" si="11"/>
        <v>90659016</v>
      </c>
    </row>
    <row r="55" spans="1:30" ht="14.25" customHeight="1" thickTop="1" thickBot="1">
      <c r="C55" s="277"/>
      <c r="F55" s="931"/>
      <c r="G55" s="1176"/>
      <c r="H55" s="1177"/>
      <c r="I55" s="977">
        <f>ROUND(F54/C6,0)</f>
        <v>4625226</v>
      </c>
      <c r="J55" s="1153" t="s">
        <v>565</v>
      </c>
      <c r="K55" s="970"/>
      <c r="L55" s="970"/>
      <c r="M55" s="970"/>
      <c r="N55" s="970"/>
      <c r="O55" s="970"/>
    </row>
    <row r="56" spans="1:30" ht="16.5" customHeight="1" thickBot="1">
      <c r="A56" s="279" t="s">
        <v>473</v>
      </c>
      <c r="C56" s="277"/>
      <c r="F56" s="978"/>
      <c r="G56" s="1178"/>
      <c r="H56" s="1179"/>
      <c r="I56" s="951" t="s">
        <v>624</v>
      </c>
      <c r="J56" s="1153"/>
      <c r="K56" s="979" t="s">
        <v>283</v>
      </c>
      <c r="L56" s="979" t="s">
        <v>283</v>
      </c>
      <c r="M56" s="979" t="s">
        <v>283</v>
      </c>
      <c r="N56" s="979" t="s">
        <v>283</v>
      </c>
      <c r="O56" s="979" t="s">
        <v>283</v>
      </c>
      <c r="P56" s="333"/>
      <c r="Q56" s="333"/>
      <c r="R56" s="333"/>
      <c r="S56" s="333"/>
      <c r="T56" s="333"/>
      <c r="U56" s="333"/>
      <c r="V56" s="333"/>
      <c r="W56" s="333"/>
      <c r="X56" s="333"/>
      <c r="Y56" s="333"/>
      <c r="Z56" s="333"/>
      <c r="AA56" s="333"/>
      <c r="AB56" s="333"/>
      <c r="AC56" s="333"/>
      <c r="AD56" s="333"/>
    </row>
    <row r="57" spans="1:30" ht="13.8" thickTop="1">
      <c r="A57" s="277" t="s">
        <v>474</v>
      </c>
      <c r="B57" s="669">
        <f>'MDA FGD'!M80</f>
        <v>-230791528</v>
      </c>
      <c r="C57" s="501"/>
      <c r="D57" s="492">
        <f>'MDA FGD'!F80</f>
        <v>0</v>
      </c>
      <c r="E57" s="492"/>
      <c r="F57" s="980">
        <f t="shared" ref="F57:F60" si="12">B57-(SUM(D57:E57))</f>
        <v>-230791528</v>
      </c>
      <c r="G57" s="930"/>
      <c r="I57" s="981">
        <f>ROUND($F$54/$I$8,0)</f>
        <v>940345</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'MDA FGD'!M81</f>
        <v>26826106</v>
      </c>
      <c r="C58" s="501"/>
      <c r="D58" s="982">
        <f>'MDA FGD'!F81</f>
        <v>-32984</v>
      </c>
      <c r="E58" s="915"/>
      <c r="F58" s="754">
        <f t="shared" si="12"/>
        <v>26859090</v>
      </c>
      <c r="K58" s="980"/>
      <c r="L58" s="980"/>
      <c r="M58" s="980"/>
      <c r="N58" s="980"/>
      <c r="O58" s="980"/>
    </row>
    <row r="59" spans="1:30">
      <c r="A59" s="983" t="s">
        <v>567</v>
      </c>
      <c r="B59" s="669">
        <f>'MDA FGD'!M82</f>
        <v>13354003</v>
      </c>
      <c r="C59" s="501"/>
      <c r="D59" s="982">
        <f>'MDA FGD'!F82</f>
        <v>0</v>
      </c>
      <c r="E59" s="915"/>
      <c r="F59" s="754">
        <f t="shared" si="12"/>
        <v>13354003</v>
      </c>
      <c r="G59" s="400"/>
      <c r="J59" s="400"/>
      <c r="K59" s="400"/>
      <c r="L59" s="400"/>
      <c r="M59" s="400"/>
      <c r="N59" s="400"/>
      <c r="O59" s="400"/>
    </row>
    <row r="60" spans="1:30" ht="12" customHeight="1">
      <c r="A60" s="277" t="s">
        <v>477</v>
      </c>
      <c r="B60" s="669">
        <f>'MDA FGD'!M83</f>
        <v>-150416051</v>
      </c>
      <c r="C60" s="501"/>
      <c r="D60" s="982">
        <f>'MDA FGD'!F83</f>
        <v>-8309479</v>
      </c>
      <c r="E60" s="915"/>
      <c r="F60" s="754">
        <f t="shared" si="12"/>
        <v>-142106572</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-341027470</v>
      </c>
      <c r="C61" s="937"/>
      <c r="D61" s="937">
        <f>SUM(D57:D60)</f>
        <v>-8342463</v>
      </c>
      <c r="E61" s="937">
        <f>SUM(E57:E60)</f>
        <v>0</v>
      </c>
      <c r="F61" s="984">
        <f>SUM(F57:F60)</f>
        <v>-332685007</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'MDA FGD'!M87</f>
        <v>-1149171683</v>
      </c>
      <c r="C64" s="501"/>
      <c r="D64" s="492">
        <f>'MDA FGD'!F87</f>
        <v>0</v>
      </c>
      <c r="E64" s="492"/>
      <c r="F64" s="492">
        <f t="shared" ref="F64:F65" si="13">B64-(SUM(D64:E64))</f>
        <v>-1149171683</v>
      </c>
      <c r="O64" s="320"/>
    </row>
    <row r="65" spans="1:30">
      <c r="A65" s="277" t="s">
        <v>480</v>
      </c>
      <c r="B65" s="669">
        <f>'MDA FGD'!M88</f>
        <v>19305649</v>
      </c>
      <c r="C65" s="501"/>
      <c r="D65" s="982">
        <f>'MDA FGD'!F88</f>
        <v>0</v>
      </c>
      <c r="E65" s="915"/>
      <c r="F65" s="754">
        <f t="shared" si="13"/>
        <v>19305649</v>
      </c>
      <c r="O65" s="320"/>
      <c r="P65" s="333"/>
      <c r="Q65" s="333"/>
      <c r="R65" s="333"/>
      <c r="S65" s="333"/>
      <c r="T65" s="333"/>
      <c r="U65" s="333"/>
      <c r="V65" s="333"/>
      <c r="W65" s="333"/>
      <c r="X65" s="333"/>
      <c r="Y65" s="333"/>
      <c r="Z65" s="333"/>
      <c r="AA65" s="333"/>
      <c r="AB65" s="333"/>
      <c r="AC65" s="333"/>
      <c r="AD65" s="333"/>
    </row>
    <row r="66" spans="1:30">
      <c r="A66" s="936" t="s">
        <v>155</v>
      </c>
      <c r="B66" s="937">
        <f>SUM(B64:B65)</f>
        <v>-1129866034</v>
      </c>
      <c r="C66" s="937"/>
      <c r="D66" s="937">
        <f>SUM(D64:D65)</f>
        <v>0</v>
      </c>
      <c r="E66" s="937">
        <f>SUM(E64:E65)</f>
        <v>0</v>
      </c>
      <c r="F66" s="937">
        <f>SUM(F64:F65)</f>
        <v>-1129866034</v>
      </c>
      <c r="O66" s="320"/>
    </row>
    <row r="67" spans="1:30">
      <c r="C67" s="277"/>
      <c r="O67" s="320"/>
    </row>
    <row r="68" spans="1:30" ht="13.8" thickBot="1">
      <c r="A68" s="985" t="s">
        <v>572</v>
      </c>
      <c r="B68" s="590">
        <f>B39-B54+B61+B66</f>
        <v>-169897312</v>
      </c>
      <c r="C68" s="590"/>
      <c r="D68" s="590">
        <f>D39-D54+D61+D66</f>
        <v>7820182</v>
      </c>
      <c r="E68" s="590">
        <f>E39-E54+E61+E66</f>
        <v>1509423701</v>
      </c>
      <c r="F68" s="590">
        <f>F39-F54+F61+F66</f>
        <v>-1687141195</v>
      </c>
      <c r="O68" s="320"/>
    </row>
    <row r="69" spans="1:30" ht="13.8" thickTop="1"/>
    <row r="70" spans="1:30">
      <c r="A70" s="320" t="s">
        <v>705</v>
      </c>
      <c r="D70" s="492"/>
    </row>
    <row r="71" spans="1:30">
      <c r="A71" s="320" t="s">
        <v>706</v>
      </c>
    </row>
    <row r="72" spans="1:30">
      <c r="B72" s="986">
        <f>'MDA FGD'!$M$91</f>
        <v>-169897312</v>
      </c>
      <c r="C72" s="277"/>
      <c r="D72" s="986">
        <f>'MDA FGD'!F91</f>
        <v>7820182</v>
      </c>
      <c r="E72" s="986">
        <f>'MDA FGD'!M50</f>
        <v>446606991</v>
      </c>
      <c r="F72" s="277"/>
    </row>
    <row r="73" spans="1:30">
      <c r="B73" s="986"/>
      <c r="C73" s="277"/>
      <c r="D73" s="986">
        <f>'MDA FGD'!F74</f>
        <v>18756979</v>
      </c>
      <c r="E73" s="986">
        <f>'MDA FGD'!M53</f>
        <v>4849724589</v>
      </c>
      <c r="F73" s="986"/>
    </row>
    <row r="74" spans="1:30">
      <c r="B74" s="986"/>
      <c r="C74" s="277"/>
      <c r="D74" s="986">
        <f>-'MDA FGD'!M74</f>
        <v>-18756979</v>
      </c>
      <c r="E74" s="986">
        <f>-'MDA FGD'!M68</f>
        <v>-3764483888</v>
      </c>
      <c r="F74" s="986"/>
    </row>
    <row r="75" spans="1:30">
      <c r="B75" s="986"/>
      <c r="C75" s="277"/>
      <c r="D75" s="986"/>
      <c r="E75" s="986">
        <f>-'MDA FGD'!M67</f>
        <v>-22423991</v>
      </c>
      <c r="F75" s="986"/>
    </row>
    <row r="76" spans="1:30" ht="12.75" customHeight="1">
      <c r="B76" s="987"/>
      <c r="C76" s="277"/>
      <c r="D76" s="987"/>
      <c r="E76" s="987">
        <f>-D26</f>
        <v>0</v>
      </c>
      <c r="F76" s="986"/>
    </row>
    <row r="77" spans="1:30" ht="12.75" customHeight="1">
      <c r="B77" s="986">
        <f>SUM(B72:B76)</f>
        <v>-169897312</v>
      </c>
      <c r="C77" s="277"/>
      <c r="D77" s="986">
        <f>SUM(D72:D76)</f>
        <v>7820182</v>
      </c>
      <c r="E77" s="986">
        <f>SUM(E72:E76)</f>
        <v>1509423701</v>
      </c>
      <c r="F77" s="986">
        <f>B77-D77-E77</f>
        <v>-1687141195</v>
      </c>
    </row>
    <row r="78" spans="1:30" ht="12.75" customHeight="1">
      <c r="B78" s="986"/>
      <c r="C78" s="277"/>
      <c r="D78" s="986"/>
      <c r="E78" s="986"/>
      <c r="F78" s="986"/>
    </row>
    <row r="79" spans="1:30" ht="12.75" customHeight="1">
      <c r="B79" s="987"/>
      <c r="C79" s="538"/>
      <c r="D79" s="987"/>
      <c r="E79" s="987"/>
      <c r="F79" s="987"/>
    </row>
    <row r="80" spans="1:30" ht="12.75" customHeight="1">
      <c r="B80" s="986">
        <f>SUM(B77:B79)</f>
        <v>-169897312</v>
      </c>
      <c r="C80" s="277"/>
      <c r="D80" s="986">
        <f>SUM(D77:D79)</f>
        <v>7820182</v>
      </c>
      <c r="E80" s="986">
        <f>SUM(E77:E79)</f>
        <v>1509423701</v>
      </c>
      <c r="F80" s="986">
        <f>SUM(F77:F79)</f>
        <v>-1687141195</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27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11"/>
    <pageSetUpPr fitToPage="1"/>
  </sheetPr>
  <dimension ref="A1:AB123"/>
  <sheetViews>
    <sheetView showGridLines="0" zoomScale="75" zoomScaleNormal="75" workbookViewId="0">
      <pane xSplit="2" ySplit="8" topLeftCell="D9"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6.6640625" style="751" customWidth="1"/>
    <col min="13" max="13" width="17.33203125" style="751" customWidth="1"/>
    <col min="14" max="14" width="5.109375" style="751" customWidth="1"/>
    <col min="15" max="15" width="15.4414062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3"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O1" s="322"/>
      <c r="P1" s="322"/>
      <c r="Q1" s="322"/>
      <c r="R1" s="322"/>
      <c r="S1" s="322"/>
      <c r="T1" s="322"/>
      <c r="U1" s="322"/>
      <c r="V1" s="322"/>
      <c r="W1" s="322"/>
      <c r="X1" s="322"/>
      <c r="Y1" s="322"/>
      <c r="Z1" s="322"/>
      <c r="AA1" s="322"/>
      <c r="AB1" s="322"/>
    </row>
    <row r="2" spans="1:28" ht="21">
      <c r="A2" s="656">
        <v>1</v>
      </c>
      <c r="B2" s="1168" t="str">
        <f>'MDA Chts'!$A$1</f>
        <v>The University of Texas M.D. Anderson Cancer Center</v>
      </c>
      <c r="C2" s="1168"/>
      <c r="D2" s="1168"/>
      <c r="E2" s="1168"/>
      <c r="F2" s="1168"/>
      <c r="H2" s="750"/>
      <c r="I2" s="752" t="str">
        <f>IF($B$2&lt;&gt;Input!$H$10,"Name Mismatch","")</f>
        <v/>
      </c>
      <c r="K2" s="750"/>
      <c r="L2" s="750"/>
      <c r="M2" s="672"/>
      <c r="O2" s="321" t="s">
        <v>51</v>
      </c>
      <c r="P2" s="334"/>
    </row>
    <row r="3" spans="1:28" ht="21">
      <c r="A3" s="656">
        <v>2</v>
      </c>
      <c r="B3" s="1168" t="str">
        <f>'Smmy Chts'!$A$2</f>
        <v>For the Year Ended August 31, 2022</v>
      </c>
      <c r="C3" s="1168"/>
      <c r="D3" s="1168"/>
      <c r="E3" s="1168"/>
      <c r="F3" s="1168"/>
      <c r="G3" s="750"/>
      <c r="H3" s="750"/>
      <c r="K3" s="750"/>
      <c r="L3" s="750"/>
      <c r="M3" s="672"/>
      <c r="O3" s="754"/>
    </row>
    <row r="4" spans="1:28" ht="21">
      <c r="A4" s="656">
        <v>3</v>
      </c>
      <c r="B4" s="1168" t="str">
        <f>'Smmy Chts'!$A$3</f>
        <v>Source: FY 2022 Annual Financial Report</v>
      </c>
      <c r="C4" s="1168"/>
      <c r="D4" s="1168"/>
      <c r="E4" s="1168"/>
      <c r="F4" s="1168"/>
      <c r="G4" s="750"/>
      <c r="H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Input!$M$10</f>
        <v>222277361</v>
      </c>
      <c r="E10" s="762">
        <f>Input!$N$10</f>
        <v>0</v>
      </c>
      <c r="F10" s="762">
        <f>Input!$O$10</f>
        <v>0</v>
      </c>
      <c r="G10" s="762">
        <f>Input!$P$10</f>
        <v>0</v>
      </c>
      <c r="H10" s="762">
        <f>Input!$Q$10</f>
        <v>0</v>
      </c>
      <c r="I10" s="762">
        <f>Input!$R$10</f>
        <v>0</v>
      </c>
      <c r="J10" s="762">
        <f>Input!$S$10</f>
        <v>0</v>
      </c>
      <c r="K10" s="762">
        <f>Input!$T$10</f>
        <v>0</v>
      </c>
      <c r="L10" s="762">
        <f>Input!$U$10</f>
        <v>0</v>
      </c>
      <c r="M10" s="723">
        <f t="shared" ref="M10:M15" si="0">D10+E10+F10+G10+H10+I10+J10+K10+L10</f>
        <v>222277361</v>
      </c>
      <c r="O10" s="763"/>
      <c r="P10" s="1200" t="s">
        <v>627</v>
      </c>
      <c r="Q10" s="320"/>
      <c r="R10" s="320"/>
      <c r="S10" s="320"/>
      <c r="V10" s="320"/>
      <c r="W10" s="320"/>
      <c r="X10" s="320"/>
      <c r="Y10" s="320"/>
      <c r="Z10" s="320"/>
      <c r="AA10" s="320"/>
      <c r="AB10" s="320"/>
    </row>
    <row r="11" spans="1:28" s="752" customFormat="1">
      <c r="A11" s="460">
        <v>10</v>
      </c>
      <c r="B11" s="752" t="s">
        <v>134</v>
      </c>
      <c r="D11" s="762">
        <f>Input!$V$10</f>
        <v>54310</v>
      </c>
      <c r="E11" s="762">
        <f>Input!$W$10</f>
        <v>1807482</v>
      </c>
      <c r="F11" s="762">
        <f>Input!$X$10</f>
        <v>0</v>
      </c>
      <c r="G11" s="762">
        <f>Input!$Y$10</f>
        <v>37505912</v>
      </c>
      <c r="H11" s="762">
        <f>Input!$Z$10</f>
        <v>0</v>
      </c>
      <c r="I11" s="762">
        <f>Input!$AA$10</f>
        <v>0</v>
      </c>
      <c r="J11" s="762">
        <f>Input!$AB$10</f>
        <v>0</v>
      </c>
      <c r="K11" s="762">
        <f>Input!$AC$10</f>
        <v>0</v>
      </c>
      <c r="L11" s="762">
        <f>Input!$AD$10</f>
        <v>0</v>
      </c>
      <c r="M11" s="723">
        <f t="shared" si="0"/>
        <v>39367704</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Input!$AN$10</f>
        <v>0</v>
      </c>
      <c r="E13" s="762">
        <f>Input!$AO$10</f>
        <v>0</v>
      </c>
      <c r="F13" s="762">
        <f>Input!$AP$10</f>
        <v>0</v>
      </c>
      <c r="G13" s="762">
        <f>Input!$AQ$10</f>
        <v>0</v>
      </c>
      <c r="H13" s="762">
        <f>Input!$AR$10</f>
        <v>0</v>
      </c>
      <c r="I13" s="762">
        <f>Input!$AS$10</f>
        <v>0</v>
      </c>
      <c r="J13" s="762">
        <f>Input!$AT$10</f>
        <v>0</v>
      </c>
      <c r="K13" s="762">
        <f>Input!$AU$10</f>
        <v>0</v>
      </c>
      <c r="L13" s="762">
        <f>Input!$AV$10</f>
        <v>0</v>
      </c>
      <c r="M13" s="723">
        <f t="shared" si="0"/>
        <v>0</v>
      </c>
      <c r="O13" s="764" t="str">
        <f>IF(P13&lt;&gt;M13,"Out of Balance","Balanced")</f>
        <v>Balanced</v>
      </c>
      <c r="P13" s="767">
        <f>IFERROR(VLOOKUP($B$2,AMTLU,6,FALSE),0)</f>
        <v>0</v>
      </c>
      <c r="Q13" s="320"/>
      <c r="R13" s="320"/>
      <c r="S13" s="320"/>
      <c r="V13" s="320"/>
      <c r="W13" s="320"/>
      <c r="X13" s="320"/>
      <c r="Y13" s="320"/>
      <c r="Z13" s="320"/>
      <c r="AA13" s="320"/>
      <c r="AB13" s="320"/>
    </row>
    <row r="14" spans="1:28" s="752" customFormat="1" ht="15">
      <c r="A14" s="460">
        <v>13</v>
      </c>
      <c r="B14" s="752" t="s">
        <v>135</v>
      </c>
      <c r="D14" s="762">
        <f>Input!$AW$10</f>
        <v>0</v>
      </c>
      <c r="E14" s="762">
        <f>Input!$AX$10</f>
        <v>0</v>
      </c>
      <c r="F14" s="762">
        <f>Input!$AY$10</f>
        <v>0</v>
      </c>
      <c r="G14" s="762">
        <f>Input!$AZ$10</f>
        <v>0</v>
      </c>
      <c r="H14" s="762">
        <f>Input!$BA$10</f>
        <v>0</v>
      </c>
      <c r="I14" s="762">
        <f>Input!$BB$10</f>
        <v>0</v>
      </c>
      <c r="J14" s="762">
        <f>Input!$BC$10</f>
        <v>0</v>
      </c>
      <c r="K14" s="762">
        <f>Input!$BD$10</f>
        <v>0</v>
      </c>
      <c r="L14" s="762">
        <f>Input!$BE$10</f>
        <v>0</v>
      </c>
      <c r="M14" s="723">
        <f t="shared" si="0"/>
        <v>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222331671</v>
      </c>
      <c r="E15" s="769">
        <f t="shared" ref="E15:L15" si="1">SUM(E10:E14)</f>
        <v>1807482</v>
      </c>
      <c r="F15" s="769">
        <f t="shared" si="1"/>
        <v>0</v>
      </c>
      <c r="G15" s="769">
        <f t="shared" si="1"/>
        <v>37505912</v>
      </c>
      <c r="H15" s="769">
        <f t="shared" si="1"/>
        <v>0</v>
      </c>
      <c r="I15" s="769">
        <f t="shared" si="1"/>
        <v>0</v>
      </c>
      <c r="J15" s="769">
        <f t="shared" si="1"/>
        <v>0</v>
      </c>
      <c r="K15" s="769">
        <f t="shared" si="1"/>
        <v>0</v>
      </c>
      <c r="L15" s="769">
        <f t="shared" si="1"/>
        <v>0</v>
      </c>
      <c r="M15" s="769">
        <f t="shared" si="0"/>
        <v>261645065</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1015964</v>
      </c>
      <c r="E18" s="769">
        <f t="shared" si="2"/>
        <v>720714</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1736678</v>
      </c>
      <c r="V18" s="723"/>
      <c r="X18" s="492"/>
    </row>
    <row r="19" spans="1:26" s="320" customFormat="1" ht="12.75" customHeight="1" thickTop="1" thickBot="1">
      <c r="A19" s="322"/>
      <c r="B19" s="320" t="s">
        <v>592</v>
      </c>
      <c r="D19" s="762">
        <f>Input!$BF$10</f>
        <v>-245732</v>
      </c>
      <c r="E19" s="762">
        <f>Input!$BG$10</f>
        <v>0</v>
      </c>
      <c r="F19" s="762">
        <f>Input!$BH$10</f>
        <v>0</v>
      </c>
      <c r="G19" s="762">
        <f>Input!$BI$10</f>
        <v>0</v>
      </c>
      <c r="H19" s="762">
        <f>Input!$BJ$10</f>
        <v>0</v>
      </c>
      <c r="I19" s="762">
        <f>Input!BK6</f>
        <v>0</v>
      </c>
      <c r="J19" s="762">
        <f>Input!$BL$10</f>
        <v>0</v>
      </c>
      <c r="K19" s="762">
        <f>Input!BM6</f>
        <v>0</v>
      </c>
      <c r="L19" s="762">
        <f>Input!BN6</f>
        <v>0</v>
      </c>
      <c r="M19" s="723">
        <f t="shared" si="3"/>
        <v>-245732</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Input!$BO$10</f>
        <v>0</v>
      </c>
      <c r="E20" s="762">
        <f>Input!$BP$10</f>
        <v>0</v>
      </c>
      <c r="F20" s="762">
        <f>Input!$BQ$10</f>
        <v>0</v>
      </c>
      <c r="G20" s="762">
        <f>Input!$BR$10</f>
        <v>0</v>
      </c>
      <c r="H20" s="762">
        <f>Input!$BS$10</f>
        <v>0</v>
      </c>
      <c r="I20" s="762">
        <f>Input!$BT$10</f>
        <v>0</v>
      </c>
      <c r="J20" s="762">
        <f>Input!BU6</f>
        <v>0</v>
      </c>
      <c r="K20" s="762">
        <f>Input!BV6</f>
        <v>0</v>
      </c>
      <c r="L20" s="762">
        <f>Input!$BW$10</f>
        <v>0</v>
      </c>
      <c r="M20" s="723">
        <f t="shared" si="3"/>
        <v>0</v>
      </c>
      <c r="O20" s="773" t="s">
        <v>631</v>
      </c>
      <c r="P20" s="774"/>
      <c r="Q20" s="774"/>
      <c r="R20" s="774"/>
      <c r="S20" s="775"/>
      <c r="U20" s="776" t="s">
        <v>252</v>
      </c>
      <c r="Y20" s="777"/>
    </row>
    <row r="21" spans="1:26" s="320" customFormat="1">
      <c r="A21" s="322"/>
      <c r="B21" s="320" t="s">
        <v>594</v>
      </c>
      <c r="D21" s="762">
        <f>Input!$BX$10</f>
        <v>0</v>
      </c>
      <c r="E21" s="762">
        <f>Input!$BY$10</f>
        <v>0</v>
      </c>
      <c r="F21" s="762">
        <f>Input!$BZ$10</f>
        <v>0</v>
      </c>
      <c r="G21" s="762">
        <f>Input!$CA$10</f>
        <v>0</v>
      </c>
      <c r="H21" s="762">
        <f>Input!$CB$10</f>
        <v>0</v>
      </c>
      <c r="I21" s="762">
        <f>Input!$CC$10</f>
        <v>0</v>
      </c>
      <c r="J21" s="762">
        <f>Input!$CD$10</f>
        <v>0</v>
      </c>
      <c r="K21" s="762">
        <f>Input!$CE$10</f>
        <v>0</v>
      </c>
      <c r="L21" s="762">
        <f>Input!$CF$10</f>
        <v>0</v>
      </c>
      <c r="M21" s="723">
        <f t="shared" si="3"/>
        <v>0</v>
      </c>
      <c r="O21" s="778"/>
      <c r="R21" s="492"/>
      <c r="S21" s="779"/>
      <c r="U21" s="780" t="s">
        <v>632</v>
      </c>
      <c r="X21" s="781">
        <f>M44</f>
        <v>1833860</v>
      </c>
      <c r="Y21" s="777"/>
      <c r="Z21" s="492"/>
    </row>
    <row r="22" spans="1:26" s="320" customFormat="1">
      <c r="A22" s="322"/>
      <c r="B22" s="320" t="s">
        <v>595</v>
      </c>
      <c r="D22" s="762">
        <f>Input!$CG$10</f>
        <v>0</v>
      </c>
      <c r="E22" s="762">
        <f>Input!$CH$10</f>
        <v>0</v>
      </c>
      <c r="F22" s="762">
        <f>Input!$CI$10</f>
        <v>0</v>
      </c>
      <c r="G22" s="762">
        <f>Input!$CJ$10</f>
        <v>0</v>
      </c>
      <c r="H22" s="762">
        <f>Input!$CK$10</f>
        <v>0</v>
      </c>
      <c r="I22" s="762">
        <f>Input!$CL$10</f>
        <v>0</v>
      </c>
      <c r="J22" s="762">
        <f>Input!$CM$10</f>
        <v>0</v>
      </c>
      <c r="K22" s="762">
        <f>Input!$CN$10</f>
        <v>0</v>
      </c>
      <c r="L22" s="762">
        <f>Input!$CO$10</f>
        <v>0</v>
      </c>
      <c r="M22" s="723">
        <f t="shared" si="3"/>
        <v>0</v>
      </c>
      <c r="N22" s="406"/>
      <c r="O22" s="778" t="s">
        <v>633</v>
      </c>
      <c r="Q22" s="492">
        <f>M23</f>
        <v>1490946</v>
      </c>
      <c r="S22" s="782"/>
      <c r="U22" s="780" t="s">
        <v>634</v>
      </c>
      <c r="X22" s="783">
        <f>R30*-1</f>
        <v>3545</v>
      </c>
      <c r="Y22" s="777"/>
    </row>
    <row r="23" spans="1:26" s="320" customFormat="1" ht="12.75" customHeight="1">
      <c r="A23" s="322"/>
      <c r="B23" s="772" t="s">
        <v>233</v>
      </c>
      <c r="C23" s="784"/>
      <c r="D23" s="785">
        <f>Input!$CP$10</f>
        <v>770232</v>
      </c>
      <c r="E23" s="785">
        <f>Input!$CQ$10</f>
        <v>720714</v>
      </c>
      <c r="F23" s="785">
        <f>Input!$CR$10</f>
        <v>0</v>
      </c>
      <c r="G23" s="785">
        <f>Input!$CS$10</f>
        <v>0</v>
      </c>
      <c r="H23" s="785">
        <f>Input!$CT$10</f>
        <v>0</v>
      </c>
      <c r="I23" s="785">
        <f>Input!$CU$10</f>
        <v>0</v>
      </c>
      <c r="J23" s="785">
        <f>Input!$CV$10</f>
        <v>0</v>
      </c>
      <c r="K23" s="785">
        <f>Input!$CW$10</f>
        <v>0</v>
      </c>
      <c r="L23" s="785">
        <f>Input!$CX$10</f>
        <v>0</v>
      </c>
      <c r="M23" s="786">
        <f t="shared" si="3"/>
        <v>1490946</v>
      </c>
      <c r="O23" s="778"/>
      <c r="Q23" s="492"/>
      <c r="S23" s="782"/>
      <c r="U23" s="776" t="s">
        <v>635</v>
      </c>
      <c r="Y23" s="777">
        <f>SUM(X21:X22)</f>
        <v>1837405</v>
      </c>
      <c r="Z23" s="492"/>
    </row>
    <row r="24" spans="1:26" s="320" customFormat="1" ht="12.75" customHeight="1">
      <c r="A24" s="322"/>
      <c r="B24" s="320" t="s">
        <v>596</v>
      </c>
      <c r="C24" s="751"/>
      <c r="D24" s="762">
        <f>Input!$CY$10</f>
        <v>0</v>
      </c>
      <c r="E24" s="762">
        <f>Input!$CZ$10</f>
        <v>0</v>
      </c>
      <c r="F24" s="762">
        <f>Input!$DA$10</f>
        <v>0</v>
      </c>
      <c r="G24" s="762">
        <f>Input!$DB$10</f>
        <v>0</v>
      </c>
      <c r="H24" s="762">
        <f>Input!$DC$10</f>
        <v>0</v>
      </c>
      <c r="I24" s="762">
        <f>Input!$DD$10</f>
        <v>0</v>
      </c>
      <c r="J24" s="762">
        <f>Input!$DE$10</f>
        <v>0</v>
      </c>
      <c r="K24" s="762">
        <f>Input!$DF$10</f>
        <v>0</v>
      </c>
      <c r="L24" s="762">
        <f>Input!$DG$10</f>
        <v>0</v>
      </c>
      <c r="M24" s="650">
        <f t="shared" si="3"/>
        <v>0</v>
      </c>
      <c r="O24" s="787" t="s">
        <v>636</v>
      </c>
      <c r="Q24" s="723"/>
      <c r="R24" s="723">
        <f>SUM(M24:M28)</f>
        <v>-2707</v>
      </c>
      <c r="S24" s="782"/>
      <c r="U24" s="776"/>
      <c r="Y24" s="777"/>
      <c r="Z24" s="492"/>
    </row>
    <row r="25" spans="1:26" s="320" customFormat="1" ht="12.75" customHeight="1">
      <c r="A25" s="322"/>
      <c r="B25" s="320" t="s">
        <v>597</v>
      </c>
      <c r="C25" s="751"/>
      <c r="D25" s="762">
        <f>Input!$DH$10</f>
        <v>0</v>
      </c>
      <c r="E25" s="762">
        <f>Input!$DI$10</f>
        <v>0</v>
      </c>
      <c r="F25" s="762">
        <f>Input!$DJ$10</f>
        <v>0</v>
      </c>
      <c r="G25" s="762">
        <f>Input!$DK$10</f>
        <v>0</v>
      </c>
      <c r="H25" s="762">
        <f>Input!$DL$10</f>
        <v>0</v>
      </c>
      <c r="I25" s="762">
        <f>Input!$DM$10</f>
        <v>0</v>
      </c>
      <c r="J25" s="762">
        <f>Input!$DN$10</f>
        <v>0</v>
      </c>
      <c r="K25" s="762">
        <f>Input!$DO$10</f>
        <v>0</v>
      </c>
      <c r="L25" s="762">
        <f>Input!$DP$10</f>
        <v>0</v>
      </c>
      <c r="M25" s="650">
        <f t="shared" si="3"/>
        <v>0</v>
      </c>
      <c r="O25" s="778"/>
      <c r="Q25" s="723"/>
      <c r="R25" s="723"/>
      <c r="S25" s="782"/>
      <c r="U25" s="788" t="s">
        <v>637</v>
      </c>
      <c r="V25" s="789"/>
      <c r="W25" s="789"/>
      <c r="X25" s="790">
        <f>(M26+M39)*-1</f>
        <v>1200</v>
      </c>
      <c r="Y25" s="777"/>
      <c r="Z25" s="492"/>
    </row>
    <row r="26" spans="1:26" s="320" customFormat="1" ht="12.75" customHeight="1">
      <c r="A26" s="322"/>
      <c r="B26" s="320" t="s">
        <v>598</v>
      </c>
      <c r="C26" s="751"/>
      <c r="D26" s="762">
        <f>Input!$DQ$10</f>
        <v>-1200</v>
      </c>
      <c r="E26" s="762">
        <f>Input!$DR$10</f>
        <v>0</v>
      </c>
      <c r="F26" s="762">
        <f>Input!$DS$10</f>
        <v>0</v>
      </c>
      <c r="G26" s="762">
        <f>Input!$DT$10</f>
        <v>0</v>
      </c>
      <c r="H26" s="762">
        <f>Input!$DU$10</f>
        <v>0</v>
      </c>
      <c r="I26" s="762">
        <f>Input!$DV$10</f>
        <v>0</v>
      </c>
      <c r="J26" s="762">
        <f>Input!$DW$10</f>
        <v>0</v>
      </c>
      <c r="K26" s="762">
        <f>Input!$DX$10</f>
        <v>0</v>
      </c>
      <c r="L26" s="762">
        <f>Input!$DY$10</f>
        <v>0</v>
      </c>
      <c r="M26" s="650">
        <f t="shared" si="3"/>
        <v>-1200</v>
      </c>
      <c r="O26" s="778" t="s">
        <v>638</v>
      </c>
      <c r="Q26" s="723">
        <f>M36</f>
        <v>346459</v>
      </c>
      <c r="R26" s="791"/>
      <c r="S26" s="792"/>
      <c r="U26" s="776" t="s">
        <v>639</v>
      </c>
      <c r="X26" s="793">
        <f>(M21+M34)*-1</f>
        <v>0</v>
      </c>
      <c r="Y26" s="777"/>
      <c r="Z26" s="492"/>
    </row>
    <row r="27" spans="1:26" s="320" customFormat="1">
      <c r="A27" s="322"/>
      <c r="B27" s="320" t="s">
        <v>599</v>
      </c>
      <c r="C27" s="751"/>
      <c r="D27" s="762">
        <f>Input!$DZ$10</f>
        <v>0</v>
      </c>
      <c r="E27" s="762">
        <f>Input!$EA$10</f>
        <v>-1507</v>
      </c>
      <c r="F27" s="762">
        <f>Input!$EB$10</f>
        <v>0</v>
      </c>
      <c r="G27" s="762">
        <f>Input!$EC$10</f>
        <v>0</v>
      </c>
      <c r="H27" s="762">
        <f>Input!$ED$10</f>
        <v>0</v>
      </c>
      <c r="I27" s="762">
        <f>Input!$EE$10</f>
        <v>0</v>
      </c>
      <c r="J27" s="762">
        <f>Input!$EF$10</f>
        <v>0</v>
      </c>
      <c r="K27" s="762">
        <f>Input!$EG$10</f>
        <v>0</v>
      </c>
      <c r="L27" s="762">
        <f>Input!$EH$10</f>
        <v>0</v>
      </c>
      <c r="M27" s="650">
        <f t="shared" si="3"/>
        <v>-1507</v>
      </c>
      <c r="O27" s="778"/>
      <c r="Q27" s="723"/>
      <c r="R27" s="791"/>
      <c r="S27" s="792"/>
      <c r="U27" s="780" t="s">
        <v>640</v>
      </c>
      <c r="V27" s="314"/>
      <c r="W27" s="314"/>
      <c r="X27" s="794">
        <f>SUM(X25:X26)</f>
        <v>1200</v>
      </c>
      <c r="Y27" s="721"/>
    </row>
    <row r="28" spans="1:26" s="320" customFormat="1">
      <c r="A28" s="322"/>
      <c r="B28" s="320" t="s">
        <v>600</v>
      </c>
      <c r="C28" s="751"/>
      <c r="D28" s="762">
        <f>Input!$EI$10</f>
        <v>0</v>
      </c>
      <c r="E28" s="762">
        <f>Input!$EJ$10</f>
        <v>0</v>
      </c>
      <c r="F28" s="762">
        <f>Input!$EK$10</f>
        <v>0</v>
      </c>
      <c r="G28" s="762">
        <f>Input!$EL$10</f>
        <v>0</v>
      </c>
      <c r="H28" s="762">
        <f>Input!$EM$10</f>
        <v>0</v>
      </c>
      <c r="I28" s="762">
        <f>Input!$EN$10</f>
        <v>0</v>
      </c>
      <c r="J28" s="762">
        <f>Input!$EO$10</f>
        <v>0</v>
      </c>
      <c r="K28" s="762">
        <f>Input!$EP$10</f>
        <v>0</v>
      </c>
      <c r="L28" s="762">
        <f>Input!$EQ$10</f>
        <v>0</v>
      </c>
      <c r="M28" s="650">
        <f t="shared" si="3"/>
        <v>0</v>
      </c>
      <c r="O28" s="787" t="s">
        <v>641</v>
      </c>
      <c r="Q28" s="723"/>
      <c r="R28" s="723">
        <f>SUM(M37:M41)</f>
        <v>-838</v>
      </c>
      <c r="S28" s="782"/>
      <c r="U28" s="776" t="s">
        <v>642</v>
      </c>
      <c r="X28" s="777">
        <f>(M27+M40)*-1</f>
        <v>2345</v>
      </c>
      <c r="Y28" s="721"/>
      <c r="Z28" s="492"/>
    </row>
    <row r="29" spans="1:26" s="320" customFormat="1" ht="12" customHeight="1">
      <c r="A29" s="322"/>
      <c r="B29" s="795" t="s">
        <v>165</v>
      </c>
      <c r="C29" s="784"/>
      <c r="D29" s="769">
        <f t="shared" ref="D29:L29" si="4">SUM(D23:D28)</f>
        <v>769032</v>
      </c>
      <c r="E29" s="769">
        <f t="shared" si="4"/>
        <v>719207</v>
      </c>
      <c r="F29" s="769">
        <f t="shared" si="4"/>
        <v>0</v>
      </c>
      <c r="G29" s="769">
        <f t="shared" si="4"/>
        <v>0</v>
      </c>
      <c r="H29" s="769">
        <f t="shared" si="4"/>
        <v>0</v>
      </c>
      <c r="I29" s="769">
        <f t="shared" si="4"/>
        <v>0</v>
      </c>
      <c r="J29" s="769">
        <f t="shared" si="4"/>
        <v>0</v>
      </c>
      <c r="K29" s="769">
        <f t="shared" si="4"/>
        <v>0</v>
      </c>
      <c r="L29" s="769">
        <f t="shared" si="4"/>
        <v>0</v>
      </c>
      <c r="M29" s="769">
        <f t="shared" si="3"/>
        <v>1488239</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1837405</v>
      </c>
      <c r="R30" s="798">
        <f>R28+R24</f>
        <v>-3545</v>
      </c>
      <c r="S30" s="799"/>
      <c r="U30" s="780" t="s">
        <v>645</v>
      </c>
      <c r="V30" s="314"/>
      <c r="W30" s="314"/>
      <c r="X30" s="794">
        <f>SUM(X28:X29)</f>
        <v>2345</v>
      </c>
      <c r="Y30" s="721"/>
    </row>
    <row r="31" spans="1:26" s="320" customFormat="1" ht="12.75" customHeight="1">
      <c r="A31" s="322"/>
      <c r="B31" s="772" t="s">
        <v>238</v>
      </c>
      <c r="C31" s="772"/>
      <c r="D31" s="769">
        <f t="shared" ref="D31:L31" si="5">D36-SUM(D32:D35)</f>
        <v>0</v>
      </c>
      <c r="E31" s="769">
        <f t="shared" si="5"/>
        <v>346459</v>
      </c>
      <c r="F31" s="769">
        <f t="shared" si="5"/>
        <v>0</v>
      </c>
      <c r="G31" s="769">
        <f t="shared" si="5"/>
        <v>0</v>
      </c>
      <c r="H31" s="769">
        <f t="shared" si="5"/>
        <v>0</v>
      </c>
      <c r="I31" s="769">
        <f t="shared" si="5"/>
        <v>0</v>
      </c>
      <c r="J31" s="769">
        <f t="shared" si="5"/>
        <v>0</v>
      </c>
      <c r="K31" s="769">
        <f t="shared" si="5"/>
        <v>0</v>
      </c>
      <c r="L31" s="769">
        <f t="shared" si="5"/>
        <v>0</v>
      </c>
      <c r="M31" s="769">
        <f t="shared" ref="M31:M42" si="6">D31+E31+F31+G31+H31+I31+J31+K31+L31</f>
        <v>346459</v>
      </c>
      <c r="O31" s="778" t="s">
        <v>646</v>
      </c>
      <c r="Q31" s="406"/>
      <c r="S31" s="782"/>
      <c r="U31" s="800" t="s">
        <v>647</v>
      </c>
      <c r="V31" s="801"/>
      <c r="W31" s="801"/>
      <c r="X31" s="802">
        <f>X27+X30</f>
        <v>3545</v>
      </c>
      <c r="Y31" s="777"/>
      <c r="Z31" s="492"/>
    </row>
    <row r="32" spans="1:26" s="320" customFormat="1" ht="12.75" customHeight="1">
      <c r="A32" s="322"/>
      <c r="B32" s="320" t="s">
        <v>592</v>
      </c>
      <c r="D32" s="762">
        <f>Input!$ER$10</f>
        <v>0</v>
      </c>
      <c r="E32" s="762">
        <f>Input!$ES$10</f>
        <v>0</v>
      </c>
      <c r="F32" s="762">
        <f>Input!$ET$10</f>
        <v>0</v>
      </c>
      <c r="G32" s="762">
        <f>Input!$EU$10</f>
        <v>0</v>
      </c>
      <c r="H32" s="762">
        <f>Input!$EV$10</f>
        <v>0</v>
      </c>
      <c r="I32" s="762">
        <f>Input!$EW$10</f>
        <v>0</v>
      </c>
      <c r="J32" s="762">
        <f>Input!$EX$10</f>
        <v>0</v>
      </c>
      <c r="K32" s="762">
        <f>Input!$EY$10</f>
        <v>0</v>
      </c>
      <c r="L32" s="762">
        <f>Input!$EZ$10</f>
        <v>0</v>
      </c>
      <c r="M32" s="650">
        <f t="shared" si="6"/>
        <v>0</v>
      </c>
      <c r="O32" s="803" t="s">
        <v>648</v>
      </c>
      <c r="P32" s="804"/>
      <c r="Q32" s="805">
        <f>Input!$TI$10</f>
        <v>1837405</v>
      </c>
      <c r="R32" s="804"/>
      <c r="S32" s="806"/>
      <c r="U32" s="776"/>
      <c r="Y32" s="777"/>
      <c r="Z32" s="492"/>
    </row>
    <row r="33" spans="1:28" s="320" customFormat="1">
      <c r="A33" s="322"/>
      <c r="B33" s="320" t="s">
        <v>593</v>
      </c>
      <c r="D33" s="762">
        <f>Input!$FA$10</f>
        <v>0</v>
      </c>
      <c r="E33" s="762">
        <f>Input!$FB$10</f>
        <v>0</v>
      </c>
      <c r="F33" s="762">
        <f>Input!$FC$10</f>
        <v>0</v>
      </c>
      <c r="G33" s="762">
        <f>Input!$FD$10</f>
        <v>0</v>
      </c>
      <c r="H33" s="762">
        <f>Input!$FE$10</f>
        <v>0</v>
      </c>
      <c r="I33" s="762">
        <f>Input!$FF$10</f>
        <v>0</v>
      </c>
      <c r="J33" s="762">
        <f>Input!$FG$10</f>
        <v>0</v>
      </c>
      <c r="K33" s="762">
        <f>Input!$FH$10</f>
        <v>0</v>
      </c>
      <c r="L33" s="762">
        <f>Input!$FI$10</f>
        <v>0</v>
      </c>
      <c r="M33" s="650">
        <f t="shared" si="6"/>
        <v>0</v>
      </c>
      <c r="O33" s="803"/>
      <c r="P33" s="804"/>
      <c r="Q33" s="723"/>
      <c r="R33" s="804"/>
      <c r="S33" s="806"/>
      <c r="U33" s="776" t="s">
        <v>649</v>
      </c>
      <c r="X33" s="492">
        <f>(M19+M32)*-1</f>
        <v>245732</v>
      </c>
      <c r="Y33" s="777"/>
    </row>
    <row r="34" spans="1:28" s="320" customFormat="1">
      <c r="A34" s="322"/>
      <c r="B34" s="320" t="s">
        <v>594</v>
      </c>
      <c r="D34" s="762">
        <f>Input!$FJ$10</f>
        <v>0</v>
      </c>
      <c r="E34" s="762">
        <f>Input!$FK$10</f>
        <v>0</v>
      </c>
      <c r="F34" s="762">
        <f>Input!$FL$10</f>
        <v>0</v>
      </c>
      <c r="G34" s="762">
        <f>Input!$FM$10</f>
        <v>0</v>
      </c>
      <c r="H34" s="762">
        <f>Input!$FN$10</f>
        <v>0</v>
      </c>
      <c r="I34" s="762">
        <f>Input!$FO$10</f>
        <v>0</v>
      </c>
      <c r="J34" s="762">
        <f>Input!$FP$10</f>
        <v>0</v>
      </c>
      <c r="K34" s="762">
        <f>Input!$FQ$10</f>
        <v>0</v>
      </c>
      <c r="L34" s="762">
        <f>Input!$FR$10</f>
        <v>0</v>
      </c>
      <c r="M34" s="650">
        <f t="shared" si="6"/>
        <v>0</v>
      </c>
      <c r="O34" s="807" t="s">
        <v>650</v>
      </c>
      <c r="P34" s="808"/>
      <c r="Q34" s="320" t="s">
        <v>651</v>
      </c>
      <c r="R34" s="805">
        <f>Input!$TJ$10</f>
        <v>-3545</v>
      </c>
      <c r="S34" s="809"/>
      <c r="U34" s="776" t="s">
        <v>652</v>
      </c>
      <c r="X34" s="739">
        <f>(M24+M37)*-1</f>
        <v>0</v>
      </c>
      <c r="Y34" s="777"/>
    </row>
    <row r="35" spans="1:28" s="320" customFormat="1" ht="13.8" thickBot="1">
      <c r="A35" s="322"/>
      <c r="B35" s="320" t="s">
        <v>595</v>
      </c>
      <c r="D35" s="762">
        <f>Input!$FS$10</f>
        <v>0</v>
      </c>
      <c r="E35" s="762">
        <f>Input!$FT$10</f>
        <v>0</v>
      </c>
      <c r="F35" s="762">
        <f>Input!$FU$10</f>
        <v>0</v>
      </c>
      <c r="G35" s="762">
        <f>Input!$FV$10</f>
        <v>0</v>
      </c>
      <c r="H35" s="762">
        <f>Input!$FW$10</f>
        <v>0</v>
      </c>
      <c r="I35" s="762">
        <f>Input!$FX$10</f>
        <v>0</v>
      </c>
      <c r="J35" s="762">
        <f>Input!$FY$10</f>
        <v>0</v>
      </c>
      <c r="K35" s="762">
        <f>Input!$FZ$10</f>
        <v>0</v>
      </c>
      <c r="L35" s="762">
        <f>Input!$GA$10</f>
        <v>0</v>
      </c>
      <c r="M35" s="650">
        <f t="shared" si="6"/>
        <v>0</v>
      </c>
      <c r="O35" s="810" t="s">
        <v>653</v>
      </c>
      <c r="P35" s="811"/>
      <c r="Q35" s="812">
        <f>Q30-Q32</f>
        <v>0</v>
      </c>
      <c r="R35" s="813">
        <f>R30-R34</f>
        <v>0</v>
      </c>
      <c r="S35" s="814"/>
      <c r="U35" s="780" t="s">
        <v>654</v>
      </c>
      <c r="V35" s="314"/>
      <c r="W35" s="314"/>
      <c r="X35" s="781">
        <f>SUM(X33:X34)</f>
        <v>245732</v>
      </c>
      <c r="Y35" s="721"/>
    </row>
    <row r="36" spans="1:28" s="320" customFormat="1" ht="13.8" thickTop="1">
      <c r="A36" s="322"/>
      <c r="B36" s="772" t="s">
        <v>239</v>
      </c>
      <c r="C36" s="784"/>
      <c r="D36" s="785">
        <f>Input!$GB$10</f>
        <v>0</v>
      </c>
      <c r="E36" s="785">
        <f>Input!$GC$10</f>
        <v>346459</v>
      </c>
      <c r="F36" s="785">
        <f>Input!$GD$10</f>
        <v>0</v>
      </c>
      <c r="G36" s="785">
        <f>Input!$GE$10</f>
        <v>0</v>
      </c>
      <c r="H36" s="785">
        <f>Input!$GF$10</f>
        <v>0</v>
      </c>
      <c r="I36" s="785">
        <f>Input!$GG$10</f>
        <v>0</v>
      </c>
      <c r="J36" s="785">
        <f>Input!$GH$10</f>
        <v>0</v>
      </c>
      <c r="K36" s="785">
        <f>Input!$GI$10</f>
        <v>0</v>
      </c>
      <c r="L36" s="785">
        <f>Input!$GJ$10</f>
        <v>0</v>
      </c>
      <c r="M36" s="786">
        <f t="shared" si="6"/>
        <v>346459</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Input!$GK$10</f>
        <v>0</v>
      </c>
      <c r="E37" s="762">
        <f>Input!$GL$10</f>
        <v>0</v>
      </c>
      <c r="F37" s="762">
        <f>Input!$GM$10</f>
        <v>0</v>
      </c>
      <c r="G37" s="762">
        <f>Input!$GN$10</f>
        <v>0</v>
      </c>
      <c r="H37" s="762">
        <f>Input!$GO$10</f>
        <v>0</v>
      </c>
      <c r="I37" s="762">
        <f>Input!$GP$10</f>
        <v>0</v>
      </c>
      <c r="J37" s="762">
        <f>Input!$GQ$10</f>
        <v>0</v>
      </c>
      <c r="K37" s="762">
        <f>Input!$GR$10</f>
        <v>0</v>
      </c>
      <c r="L37" s="762">
        <f>Input!$GS$10</f>
        <v>0</v>
      </c>
      <c r="M37" s="650">
        <f t="shared" si="6"/>
        <v>0</v>
      </c>
      <c r="U37" s="776" t="s">
        <v>656</v>
      </c>
      <c r="X37" s="739">
        <f>(M25+M38)*-1</f>
        <v>0</v>
      </c>
      <c r="Y37" s="721"/>
    </row>
    <row r="38" spans="1:28" s="320" customFormat="1">
      <c r="A38" s="322"/>
      <c r="B38" s="320" t="s">
        <v>597</v>
      </c>
      <c r="C38" s="751"/>
      <c r="D38" s="762">
        <f>Input!$GT$10</f>
        <v>0</v>
      </c>
      <c r="E38" s="762">
        <f>Input!$GU$10</f>
        <v>0</v>
      </c>
      <c r="F38" s="762">
        <f>Input!$GV$10</f>
        <v>0</v>
      </c>
      <c r="G38" s="762">
        <f>Input!$GW$10</f>
        <v>0</v>
      </c>
      <c r="H38" s="762">
        <f>Input!$GX$10</f>
        <v>0</v>
      </c>
      <c r="I38" s="762">
        <f>Input!$GY$10</f>
        <v>0</v>
      </c>
      <c r="J38" s="762">
        <f>Input!$GZ$10</f>
        <v>0</v>
      </c>
      <c r="K38" s="762">
        <f>Input!$HA$10</f>
        <v>0</v>
      </c>
      <c r="L38" s="762">
        <f>Input!$HB$10</f>
        <v>0</v>
      </c>
      <c r="M38" s="650">
        <f t="shared" si="6"/>
        <v>0</v>
      </c>
      <c r="U38" s="780" t="s">
        <v>657</v>
      </c>
      <c r="V38" s="314"/>
      <c r="W38" s="314"/>
      <c r="X38" s="781">
        <f>SUM(X36:X37)</f>
        <v>0</v>
      </c>
      <c r="Y38" s="777"/>
    </row>
    <row r="39" spans="1:28" s="320" customFormat="1">
      <c r="A39" s="322"/>
      <c r="B39" s="320" t="s">
        <v>598</v>
      </c>
      <c r="C39" s="751"/>
      <c r="D39" s="762">
        <f>Input!$HC$10</f>
        <v>0</v>
      </c>
      <c r="E39" s="762">
        <f>Input!$HD$10</f>
        <v>0</v>
      </c>
      <c r="F39" s="762">
        <f>Input!$HE$10</f>
        <v>0</v>
      </c>
      <c r="G39" s="762">
        <f>Input!$HF$10</f>
        <v>0</v>
      </c>
      <c r="H39" s="762">
        <f>Input!$HG$10</f>
        <v>0</v>
      </c>
      <c r="I39" s="762">
        <f>Input!$HH$10</f>
        <v>0</v>
      </c>
      <c r="J39" s="762">
        <f>Input!$HI$10</f>
        <v>0</v>
      </c>
      <c r="K39" s="762">
        <f>Input!$HJ$10</f>
        <v>0</v>
      </c>
      <c r="L39" s="762">
        <f>Input!$HK$10</f>
        <v>0</v>
      </c>
      <c r="M39" s="650">
        <f t="shared" si="6"/>
        <v>0</v>
      </c>
      <c r="U39" s="776" t="s">
        <v>658</v>
      </c>
      <c r="X39" s="492"/>
      <c r="Y39" s="777">
        <f>X38+X35</f>
        <v>245732</v>
      </c>
    </row>
    <row r="40" spans="1:28" s="320" customFormat="1">
      <c r="A40" s="322"/>
      <c r="B40" s="320" t="s">
        <v>599</v>
      </c>
      <c r="C40" s="751"/>
      <c r="D40" s="762">
        <f>Input!$HL$10</f>
        <v>0</v>
      </c>
      <c r="E40" s="762">
        <f>Input!$HM$10</f>
        <v>-838</v>
      </c>
      <c r="F40" s="762">
        <f>Input!$HN$10</f>
        <v>0</v>
      </c>
      <c r="G40" s="762">
        <f>Input!$HO$10</f>
        <v>0</v>
      </c>
      <c r="H40" s="762">
        <f>Input!$HP$10</f>
        <v>0</v>
      </c>
      <c r="I40" s="762">
        <f>Input!$HQ$10</f>
        <v>0</v>
      </c>
      <c r="J40" s="762">
        <f>Input!$HR$10</f>
        <v>0</v>
      </c>
      <c r="K40" s="762">
        <f>Input!$HS$10</f>
        <v>0</v>
      </c>
      <c r="L40" s="762">
        <f>Input!$HT$10</f>
        <v>0</v>
      </c>
      <c r="M40" s="650">
        <f t="shared" si="6"/>
        <v>-838</v>
      </c>
      <c r="U40" s="776"/>
      <c r="Y40" s="721"/>
    </row>
    <row r="41" spans="1:28" s="320" customFormat="1">
      <c r="A41" s="322"/>
      <c r="B41" s="320" t="s">
        <v>600</v>
      </c>
      <c r="C41" s="751"/>
      <c r="D41" s="762">
        <f>Input!$HU$10</f>
        <v>0</v>
      </c>
      <c r="E41" s="762">
        <f>Input!$HV$10</f>
        <v>0</v>
      </c>
      <c r="F41" s="762">
        <f>Input!$HW$10</f>
        <v>0</v>
      </c>
      <c r="G41" s="762">
        <f>Input!$HX$10</f>
        <v>0</v>
      </c>
      <c r="H41" s="762">
        <f>Input!$HY$10</f>
        <v>0</v>
      </c>
      <c r="I41" s="762">
        <f>Input!$HZ$10</f>
        <v>0</v>
      </c>
      <c r="J41" s="762">
        <f>Input!$IA$10</f>
        <v>0</v>
      </c>
      <c r="K41" s="762">
        <f>Input!$IB$10</f>
        <v>0</v>
      </c>
      <c r="L41" s="762">
        <f>Input!$IC$10</f>
        <v>0</v>
      </c>
      <c r="M41" s="650">
        <f t="shared" si="6"/>
        <v>0</v>
      </c>
      <c r="U41" s="776" t="s">
        <v>639</v>
      </c>
      <c r="X41" s="492">
        <f>(M21+M34)*-1</f>
        <v>0</v>
      </c>
      <c r="Y41" s="777"/>
    </row>
    <row r="42" spans="1:28" s="320" customFormat="1">
      <c r="A42" s="322"/>
      <c r="B42" s="795" t="s">
        <v>166</v>
      </c>
      <c r="C42" s="784"/>
      <c r="D42" s="769">
        <f t="shared" ref="D42:L42" si="7">SUM(D36:D41)</f>
        <v>0</v>
      </c>
      <c r="E42" s="769">
        <f t="shared" si="7"/>
        <v>345621</v>
      </c>
      <c r="F42" s="769">
        <f t="shared" si="7"/>
        <v>0</v>
      </c>
      <c r="G42" s="769">
        <f t="shared" si="7"/>
        <v>0</v>
      </c>
      <c r="H42" s="769">
        <f t="shared" si="7"/>
        <v>0</v>
      </c>
      <c r="I42" s="769">
        <f t="shared" si="7"/>
        <v>0</v>
      </c>
      <c r="J42" s="769">
        <f t="shared" si="7"/>
        <v>0</v>
      </c>
      <c r="K42" s="769">
        <f t="shared" si="7"/>
        <v>0</v>
      </c>
      <c r="L42" s="769">
        <f t="shared" si="7"/>
        <v>0</v>
      </c>
      <c r="M42" s="769">
        <f t="shared" si="6"/>
        <v>345621</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769032</v>
      </c>
      <c r="E44" s="769">
        <f t="shared" si="8"/>
        <v>1064828</v>
      </c>
      <c r="F44" s="769">
        <f t="shared" si="8"/>
        <v>0</v>
      </c>
      <c r="G44" s="769">
        <f t="shared" si="8"/>
        <v>0</v>
      </c>
      <c r="H44" s="769">
        <f t="shared" si="8"/>
        <v>0</v>
      </c>
      <c r="I44" s="769">
        <f t="shared" si="8"/>
        <v>0</v>
      </c>
      <c r="J44" s="769">
        <f t="shared" si="8"/>
        <v>0</v>
      </c>
      <c r="K44" s="769">
        <f t="shared" si="8"/>
        <v>0</v>
      </c>
      <c r="L44" s="769">
        <f t="shared" si="8"/>
        <v>0</v>
      </c>
      <c r="M44" s="769">
        <f>D44+E44+F44+G44+H44+I44+J44+K44+L44</f>
        <v>1833860</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Input!$ID$10</f>
        <v>468024</v>
      </c>
      <c r="E47" s="815">
        <f>Input!$IE$10</f>
        <v>110405429</v>
      </c>
      <c r="F47" s="815">
        <f>Input!$IF$10</f>
        <v>0</v>
      </c>
      <c r="G47" s="815">
        <f>Input!$IG$10</f>
        <v>196031648</v>
      </c>
      <c r="H47" s="815">
        <f>Input!$IH$10</f>
        <v>0</v>
      </c>
      <c r="I47" s="815">
        <f>Input!$II$10</f>
        <v>0</v>
      </c>
      <c r="J47" s="815">
        <f>Input!$IJ$10</f>
        <v>0</v>
      </c>
      <c r="K47" s="815">
        <f>Input!$IK$10</f>
        <v>0</v>
      </c>
      <c r="L47" s="815">
        <f>Input!$IL$10</f>
        <v>0</v>
      </c>
      <c r="M47" s="769">
        <f>D47+E47+F47+G47+H47+I47+J47+K47+L47</f>
        <v>306905101</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2083137</v>
      </c>
      <c r="Z49" s="320"/>
      <c r="AA49" s="320"/>
      <c r="AB49" s="320"/>
    </row>
    <row r="50" spans="1:28" s="752" customFormat="1">
      <c r="A50" s="460">
        <v>33</v>
      </c>
      <c r="B50" s="768" t="s">
        <v>200</v>
      </c>
      <c r="C50" s="768"/>
      <c r="D50" s="815">
        <f>Input!$IM$10</f>
        <v>0</v>
      </c>
      <c r="E50" s="815">
        <f>Input!$IN$10</f>
        <v>446606991</v>
      </c>
      <c r="F50" s="815">
        <f>Input!$IO$10</f>
        <v>0</v>
      </c>
      <c r="G50" s="815">
        <f>Input!$IP$10</f>
        <v>0</v>
      </c>
      <c r="H50" s="815">
        <f>Input!$IQ$10</f>
        <v>0</v>
      </c>
      <c r="I50" s="815">
        <f>Input!$IR$10</f>
        <v>0</v>
      </c>
      <c r="J50" s="815">
        <f>Input!$IS$10</f>
        <v>0</v>
      </c>
      <c r="K50" s="815">
        <f>Input!$IT$10</f>
        <v>0</v>
      </c>
      <c r="L50" s="815">
        <f>Input!$IU$10</f>
        <v>0</v>
      </c>
      <c r="M50" s="769">
        <f>D50+E50+F50+G50+H50+I50+J50+K50+L50</f>
        <v>446606991</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Input!$IV$10</f>
        <v>4849724589</v>
      </c>
      <c r="E53" s="815">
        <f>Input!$IW$10</f>
        <v>0</v>
      </c>
      <c r="F53" s="815">
        <f>Input!$IX$10</f>
        <v>0</v>
      </c>
      <c r="G53" s="815">
        <f>Input!$IY$10</f>
        <v>0</v>
      </c>
      <c r="H53" s="815">
        <f>Input!$IZ$10</f>
        <v>0</v>
      </c>
      <c r="I53" s="815">
        <f>Input!$JA$10</f>
        <v>0</v>
      </c>
      <c r="J53" s="815">
        <f>Input!$JB$10</f>
        <v>0</v>
      </c>
      <c r="K53" s="815">
        <f>Input!$JC$10</f>
        <v>0</v>
      </c>
      <c r="L53" s="815">
        <f>Input!$JD$10</f>
        <v>0</v>
      </c>
      <c r="M53" s="769">
        <f>D53+E53+F53+G53+H53+I53+J53+K53+L53</f>
        <v>4849724589</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Input!$JE$10</f>
        <v>212999362</v>
      </c>
      <c r="E56" s="762">
        <f>Input!$JF$10</f>
        <v>208236935</v>
      </c>
      <c r="F56" s="762">
        <f>Input!$JG$10</f>
        <v>0</v>
      </c>
      <c r="G56" s="762">
        <f>Input!$JH$10</f>
        <v>38610893</v>
      </c>
      <c r="H56" s="762">
        <f>Input!$JI$10</f>
        <v>0</v>
      </c>
      <c r="I56" s="762">
        <f>Input!$JJ$10</f>
        <v>119888</v>
      </c>
      <c r="J56" s="762">
        <f>Input!$JK$10</f>
        <v>0</v>
      </c>
      <c r="K56" s="762">
        <f>Input!$JL$10</f>
        <v>0</v>
      </c>
      <c r="L56" s="762">
        <f>Input!$JM$10</f>
        <v>0</v>
      </c>
      <c r="M56" s="723">
        <f t="shared" ref="M56:M62" si="9">D56+E56+F56+G56+H56+I56+J56+K56+L56</f>
        <v>459967078</v>
      </c>
      <c r="O56" s="320"/>
      <c r="P56" s="320"/>
      <c r="Q56" s="320"/>
      <c r="R56" s="320"/>
      <c r="S56" s="320"/>
      <c r="T56" s="320"/>
      <c r="U56" s="320"/>
      <c r="V56" s="320"/>
      <c r="W56" s="320"/>
      <c r="X56" s="322"/>
      <c r="Y56" s="320"/>
      <c r="Z56" s="320"/>
      <c r="AA56" s="320"/>
      <c r="AB56" s="320"/>
    </row>
    <row r="57" spans="1:28" s="752" customFormat="1">
      <c r="A57" s="460">
        <v>40</v>
      </c>
      <c r="B57" s="752" t="s">
        <v>173</v>
      </c>
      <c r="D57" s="762">
        <f>Input!$JN$10</f>
        <v>0</v>
      </c>
      <c r="E57" s="762">
        <f>Input!$JO$10</f>
        <v>0</v>
      </c>
      <c r="F57" s="762">
        <f>Input!$JP$10</f>
        <v>0</v>
      </c>
      <c r="G57" s="762">
        <f>Input!$JQ$10</f>
        <v>0</v>
      </c>
      <c r="H57" s="762">
        <f>Input!$JR$10</f>
        <v>0</v>
      </c>
      <c r="I57" s="762">
        <f>Input!$JS$10</f>
        <v>0</v>
      </c>
      <c r="J57" s="762">
        <f>Input!$JT$10</f>
        <v>0</v>
      </c>
      <c r="K57" s="762">
        <f>Input!$JU$10</f>
        <v>0</v>
      </c>
      <c r="L57" s="762">
        <f>Input!$JV$10</f>
        <v>0</v>
      </c>
      <c r="M57" s="723">
        <f t="shared" si="9"/>
        <v>0</v>
      </c>
      <c r="O57" s="320"/>
      <c r="P57" s="819"/>
      <c r="Q57" s="320"/>
      <c r="R57" s="320"/>
      <c r="S57" s="320"/>
      <c r="T57" s="320"/>
      <c r="U57" s="320"/>
      <c r="V57" s="320"/>
      <c r="W57" s="320"/>
      <c r="X57" s="320"/>
      <c r="Y57" s="320"/>
      <c r="Z57" s="320"/>
      <c r="AA57" s="320"/>
      <c r="AB57" s="320"/>
    </row>
    <row r="58" spans="1:28" s="752" customFormat="1">
      <c r="A58" s="460">
        <v>41</v>
      </c>
      <c r="B58" s="752" t="s">
        <v>174</v>
      </c>
      <c r="D58" s="762">
        <f>Input!$JW$10</f>
        <v>0</v>
      </c>
      <c r="E58" s="762">
        <f>Input!$JX$10</f>
        <v>85023716</v>
      </c>
      <c r="F58" s="762">
        <f>Input!$JY$10</f>
        <v>0</v>
      </c>
      <c r="G58" s="762">
        <f>Input!$JZ$10</f>
        <v>287350140</v>
      </c>
      <c r="H58" s="762">
        <f>Input!$KA$10</f>
        <v>0</v>
      </c>
      <c r="I58" s="762">
        <f>Input!$KB$10</f>
        <v>0</v>
      </c>
      <c r="J58" s="762">
        <f>Input!$KC$10</f>
        <v>0</v>
      </c>
      <c r="K58" s="762">
        <f>Input!$KD$10</f>
        <v>0</v>
      </c>
      <c r="L58" s="762">
        <f>Input!$KE$10</f>
        <v>0</v>
      </c>
      <c r="M58" s="723">
        <f t="shared" si="9"/>
        <v>372373856</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Input!$KF$10</f>
        <v>0</v>
      </c>
      <c r="E59" s="762">
        <f>Input!$KG$10</f>
        <v>1604852</v>
      </c>
      <c r="F59" s="762">
        <f>Input!$KH$10</f>
        <v>0</v>
      </c>
      <c r="G59" s="762">
        <f>Input!$KI$10</f>
        <v>0</v>
      </c>
      <c r="H59" s="762">
        <f>Input!$KJ$10</f>
        <v>0</v>
      </c>
      <c r="I59" s="762">
        <f>Input!$KK$10</f>
        <v>0</v>
      </c>
      <c r="J59" s="762">
        <f>Input!$KL$10</f>
        <v>0</v>
      </c>
      <c r="K59" s="762">
        <f>Input!$KM$10</f>
        <v>0</v>
      </c>
      <c r="L59" s="762">
        <f>Input!$KN$10</f>
        <v>0</v>
      </c>
      <c r="M59" s="723">
        <f t="shared" si="9"/>
        <v>1604852</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Input!$KO$10</f>
        <v>0</v>
      </c>
      <c r="E60" s="762">
        <f>Input!$KP$10</f>
        <v>0</v>
      </c>
      <c r="F60" s="762">
        <f>Input!$KQ$10</f>
        <v>34980243</v>
      </c>
      <c r="G60" s="762">
        <f>Input!$KR$10</f>
        <v>0</v>
      </c>
      <c r="H60" s="762">
        <f>Input!$KS$10</f>
        <v>0</v>
      </c>
      <c r="I60" s="762">
        <f>Input!$KT$10</f>
        <v>0</v>
      </c>
      <c r="J60" s="762">
        <f>Input!$KU$10</f>
        <v>0</v>
      </c>
      <c r="K60" s="762">
        <f>Input!$KV$10</f>
        <v>0</v>
      </c>
      <c r="L60" s="762">
        <f>Input!$KW$10</f>
        <v>0</v>
      </c>
      <c r="M60" s="723">
        <f t="shared" si="9"/>
        <v>34980243</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Input!$KX$10</f>
        <v>20558776</v>
      </c>
      <c r="E61" s="762">
        <f>Input!$KY$10</f>
        <v>113158367</v>
      </c>
      <c r="F61" s="762">
        <f>Input!$KZ$10</f>
        <v>0</v>
      </c>
      <c r="G61" s="762">
        <f>Input!$LA$10</f>
        <v>3377024</v>
      </c>
      <c r="H61" s="762">
        <f>Input!$LB$10</f>
        <v>0</v>
      </c>
      <c r="I61" s="762">
        <f>Input!$LC$10</f>
        <v>0</v>
      </c>
      <c r="J61" s="762">
        <f>Input!$LD$10</f>
        <v>0</v>
      </c>
      <c r="K61" s="762">
        <f>Input!$LE$10</f>
        <v>0</v>
      </c>
      <c r="L61" s="762">
        <f>Input!$LF$10</f>
        <v>1053616</v>
      </c>
      <c r="M61" s="723">
        <f t="shared" si="9"/>
        <v>138147783</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233558138</v>
      </c>
      <c r="E62" s="769">
        <f t="shared" si="10"/>
        <v>408023870</v>
      </c>
      <c r="F62" s="769">
        <f t="shared" si="10"/>
        <v>34980243</v>
      </c>
      <c r="G62" s="769">
        <f t="shared" si="10"/>
        <v>329338057</v>
      </c>
      <c r="H62" s="769">
        <f t="shared" si="10"/>
        <v>0</v>
      </c>
      <c r="I62" s="769">
        <f t="shared" si="10"/>
        <v>119888</v>
      </c>
      <c r="J62" s="769">
        <f t="shared" si="10"/>
        <v>0</v>
      </c>
      <c r="K62" s="769">
        <f t="shared" si="10"/>
        <v>0</v>
      </c>
      <c r="L62" s="769">
        <f t="shared" si="10"/>
        <v>1053616</v>
      </c>
      <c r="M62" s="769">
        <f t="shared" si="9"/>
        <v>1007073812</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5306851454</v>
      </c>
      <c r="E63" s="769">
        <f t="shared" ref="E63:M63" si="11">E15+E44+E47+E50+E53+E62</f>
        <v>967908600</v>
      </c>
      <c r="F63" s="769">
        <f t="shared" si="11"/>
        <v>34980243</v>
      </c>
      <c r="G63" s="769">
        <f t="shared" si="11"/>
        <v>562875617</v>
      </c>
      <c r="H63" s="769">
        <f t="shared" si="11"/>
        <v>0</v>
      </c>
      <c r="I63" s="769">
        <f t="shared" si="11"/>
        <v>119888</v>
      </c>
      <c r="J63" s="769">
        <f t="shared" si="11"/>
        <v>0</v>
      </c>
      <c r="K63" s="769">
        <f t="shared" si="11"/>
        <v>0</v>
      </c>
      <c r="L63" s="769">
        <f t="shared" si="11"/>
        <v>1053616</v>
      </c>
      <c r="M63" s="769">
        <f t="shared" si="11"/>
        <v>6873789418</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Input!$LG$10</f>
        <v>95643594</v>
      </c>
      <c r="E65" s="762">
        <f>Input!$LH$10</f>
        <v>2299006</v>
      </c>
      <c r="F65" s="762">
        <f>Input!$LI$10</f>
        <v>0</v>
      </c>
      <c r="G65" s="762">
        <f>Input!$LJ$10</f>
        <v>2001489</v>
      </c>
      <c r="H65" s="762">
        <f>Input!$LK$10</f>
        <v>0</v>
      </c>
      <c r="I65" s="762">
        <f>Input!$LL$10</f>
        <v>0</v>
      </c>
      <c r="J65" s="762">
        <f>Input!$LM$10</f>
        <v>0</v>
      </c>
      <c r="K65" s="762">
        <f>Input!$LN$10</f>
        <v>0</v>
      </c>
      <c r="L65" s="762">
        <f>Input!$LO$10</f>
        <v>0</v>
      </c>
      <c r="M65" s="723">
        <f t="shared" ref="M65:M77" si="12">D65+E65+F65+G65+H65+I65+J65+K65+L65</f>
        <v>99944089</v>
      </c>
      <c r="O65" s="824">
        <f>D65+E65+G65</f>
        <v>99944089</v>
      </c>
      <c r="P65" s="825">
        <f>Input!$TK$10</f>
        <v>484641</v>
      </c>
      <c r="Q65" s="825">
        <f>Input!$TU$10</f>
        <v>0</v>
      </c>
      <c r="R65" s="825">
        <f>Input!$UD$10</f>
        <v>0</v>
      </c>
      <c r="S65" s="826">
        <f>O65+P65-Q65-R65</f>
        <v>100428730</v>
      </c>
      <c r="T65" s="492"/>
      <c r="U65" s="827">
        <f>D65+E65+F65+G65+J65</f>
        <v>99944089</v>
      </c>
      <c r="V65" s="492"/>
      <c r="W65" s="828" t="s">
        <v>92</v>
      </c>
      <c r="X65" s="829">
        <f>Input!$UO$10</f>
        <v>99944089</v>
      </c>
      <c r="Y65" s="830">
        <f t="shared" ref="Y65:Y74" si="13">X65-M65</f>
        <v>0</v>
      </c>
      <c r="Z65" s="492"/>
      <c r="AA65" s="492"/>
      <c r="AB65" s="492"/>
    </row>
    <row r="66" spans="1:28" s="752" customFormat="1" ht="14.4" thickTop="1" thickBot="1">
      <c r="A66" s="460">
        <v>49</v>
      </c>
      <c r="B66" s="823" t="s">
        <v>179</v>
      </c>
      <c r="C66" s="823"/>
      <c r="D66" s="762">
        <f>Input!$LP$10</f>
        <v>262748909</v>
      </c>
      <c r="E66" s="762">
        <f>Input!$LQ$10</f>
        <v>129508549</v>
      </c>
      <c r="F66" s="762">
        <f>Input!$LR$10</f>
        <v>0</v>
      </c>
      <c r="G66" s="762">
        <f>Input!$LS$10</f>
        <v>551578944</v>
      </c>
      <c r="H66" s="762">
        <f>Input!$LT$10</f>
        <v>0</v>
      </c>
      <c r="I66" s="762">
        <f>Input!$LU$10</f>
        <v>0</v>
      </c>
      <c r="J66" s="762">
        <f>Input!$LV$10</f>
        <v>0</v>
      </c>
      <c r="K66" s="762">
        <f>Input!$LW$10</f>
        <v>0</v>
      </c>
      <c r="L66" s="762">
        <f>Input!$LX$10</f>
        <v>0</v>
      </c>
      <c r="M66" s="723">
        <f t="shared" si="12"/>
        <v>943836402</v>
      </c>
      <c r="O66" s="831">
        <f t="shared" ref="O66:O72" si="14">D66+E66+G66</f>
        <v>943836402</v>
      </c>
      <c r="P66" s="832">
        <f>Input!$TL$10</f>
        <v>22831058</v>
      </c>
      <c r="Q66" s="832">
        <f>Input!$TV$10</f>
        <v>4902178</v>
      </c>
      <c r="R66" s="832">
        <f>Input!$UE$10</f>
        <v>1816573</v>
      </c>
      <c r="S66" s="833">
        <f>O66+P66-Q66-R66</f>
        <v>959948709</v>
      </c>
      <c r="T66" s="492"/>
      <c r="U66" s="834">
        <f t="shared" ref="U66:U76" si="15">D66+E66+F66+G66+J66</f>
        <v>943836402</v>
      </c>
      <c r="V66" s="492"/>
      <c r="W66" s="828" t="s">
        <v>179</v>
      </c>
      <c r="X66" s="835">
        <f>Input!$UP$10</f>
        <v>943836402</v>
      </c>
      <c r="Y66" s="836">
        <f t="shared" si="13"/>
        <v>0</v>
      </c>
      <c r="Z66" s="723"/>
      <c r="AA66" s="723"/>
      <c r="AB66" s="723"/>
    </row>
    <row r="67" spans="1:28" s="752" customFormat="1" ht="13.8" thickTop="1">
      <c r="A67" s="460">
        <v>50</v>
      </c>
      <c r="B67" s="823" t="s">
        <v>180</v>
      </c>
      <c r="C67" s="823"/>
      <c r="D67" s="762">
        <f>Input!$LY$10</f>
        <v>10294879</v>
      </c>
      <c r="E67" s="762">
        <f>Input!$LZ$10</f>
        <v>6443825</v>
      </c>
      <c r="F67" s="762">
        <f>Input!$MA$10</f>
        <v>0</v>
      </c>
      <c r="G67" s="762">
        <f>Input!$MB$10</f>
        <v>5685287</v>
      </c>
      <c r="H67" s="762">
        <f>Input!$MC$10</f>
        <v>0</v>
      </c>
      <c r="I67" s="762">
        <f>Input!$MD$10</f>
        <v>0</v>
      </c>
      <c r="J67" s="762">
        <f>Input!$ME$10</f>
        <v>0</v>
      </c>
      <c r="K67" s="762">
        <f>Input!$MF$10</f>
        <v>0</v>
      </c>
      <c r="L67" s="762">
        <f>Input!$MG$10</f>
        <v>0</v>
      </c>
      <c r="M67" s="723">
        <f t="shared" si="12"/>
        <v>22423991</v>
      </c>
      <c r="O67" s="831">
        <f t="shared" si="14"/>
        <v>22423991</v>
      </c>
      <c r="P67" s="832">
        <f>Input!$TM$10</f>
        <v>0</v>
      </c>
      <c r="Q67" s="832">
        <f>Input!$TW$10</f>
        <v>0</v>
      </c>
      <c r="R67" s="832">
        <f>Input!$UF$10</f>
        <v>0</v>
      </c>
      <c r="S67" s="837">
        <f t="shared" ref="S67:S72" si="16">O67+P67-Q67-R67</f>
        <v>22423991</v>
      </c>
      <c r="T67" s="723"/>
      <c r="U67" s="834">
        <f t="shared" si="15"/>
        <v>22423991</v>
      </c>
      <c r="V67" s="723"/>
      <c r="W67" s="828" t="s">
        <v>180</v>
      </c>
      <c r="X67" s="835">
        <f>Input!$UQ$10</f>
        <v>22423991</v>
      </c>
      <c r="Y67" s="836">
        <f t="shared" si="13"/>
        <v>0</v>
      </c>
      <c r="Z67" s="723"/>
      <c r="AA67" s="723"/>
      <c r="AB67" s="723"/>
    </row>
    <row r="68" spans="1:28" s="752" customFormat="1">
      <c r="A68" s="460">
        <v>51</v>
      </c>
      <c r="B68" s="823" t="s">
        <v>164</v>
      </c>
      <c r="C68" s="823"/>
      <c r="D68" s="762">
        <f>Input!$MH$10</f>
        <v>3163335472</v>
      </c>
      <c r="E68" s="762">
        <f>Input!$MI$10</f>
        <v>597048095</v>
      </c>
      <c r="F68" s="762">
        <f>Input!$MJ$10</f>
        <v>0</v>
      </c>
      <c r="G68" s="762">
        <f>Input!$MK$10</f>
        <v>4100321</v>
      </c>
      <c r="H68" s="762">
        <f>Input!$ML$10</f>
        <v>0</v>
      </c>
      <c r="I68" s="762">
        <f>Input!$MM$10</f>
        <v>0</v>
      </c>
      <c r="J68" s="762">
        <f>Input!$MN$10</f>
        <v>0</v>
      </c>
      <c r="K68" s="762">
        <f>Input!$MO$10</f>
        <v>0</v>
      </c>
      <c r="L68" s="762">
        <f>Input!$MP$10</f>
        <v>0</v>
      </c>
      <c r="M68" s="723">
        <f t="shared" si="12"/>
        <v>3764483888</v>
      </c>
      <c r="O68" s="831">
        <f t="shared" si="14"/>
        <v>3764483888</v>
      </c>
      <c r="P68" s="832">
        <f>Input!$TN$10</f>
        <v>46675818</v>
      </c>
      <c r="Q68" s="832">
        <f>Input!$TX$10</f>
        <v>0</v>
      </c>
      <c r="R68" s="832">
        <f>Input!$UG$10</f>
        <v>0</v>
      </c>
      <c r="S68" s="837">
        <f t="shared" si="16"/>
        <v>3811159706</v>
      </c>
      <c r="T68" s="723"/>
      <c r="U68" s="834">
        <f t="shared" si="15"/>
        <v>3764483888</v>
      </c>
      <c r="V68" s="723"/>
      <c r="W68" s="828" t="s">
        <v>164</v>
      </c>
      <c r="X68" s="835">
        <f>Input!$UR$10</f>
        <v>3764483888</v>
      </c>
      <c r="Y68" s="836">
        <f t="shared" si="13"/>
        <v>0</v>
      </c>
      <c r="Z68" s="723"/>
      <c r="AA68" s="723"/>
      <c r="AB68" s="723"/>
    </row>
    <row r="69" spans="1:28" s="752" customFormat="1">
      <c r="A69" s="460">
        <v>52</v>
      </c>
      <c r="B69" s="823" t="s">
        <v>181</v>
      </c>
      <c r="C69" s="823"/>
      <c r="D69" s="762">
        <f>Input!$MQ$10</f>
        <v>199484889</v>
      </c>
      <c r="E69" s="762">
        <f>Input!$MR$10</f>
        <v>1893284</v>
      </c>
      <c r="F69" s="762">
        <f>Input!$MS$10</f>
        <v>0</v>
      </c>
      <c r="G69" s="762">
        <f>Input!$MT$10</f>
        <v>319123</v>
      </c>
      <c r="H69" s="762">
        <f>Input!$MU$10</f>
        <v>0</v>
      </c>
      <c r="I69" s="762">
        <f>Input!$MV$10</f>
        <v>0</v>
      </c>
      <c r="J69" s="762">
        <f>Input!$MW$10</f>
        <v>0</v>
      </c>
      <c r="K69" s="762">
        <f>Input!$MX$10</f>
        <v>0</v>
      </c>
      <c r="L69" s="762">
        <f>Input!$MY$10</f>
        <v>0</v>
      </c>
      <c r="M69" s="723">
        <f t="shared" si="12"/>
        <v>201697296</v>
      </c>
      <c r="O69" s="831">
        <f t="shared" si="14"/>
        <v>201697296</v>
      </c>
      <c r="P69" s="832">
        <f>Input!$TO$10</f>
        <v>0</v>
      </c>
      <c r="Q69" s="832">
        <f>Input!$TY$10</f>
        <v>0</v>
      </c>
      <c r="R69" s="832">
        <f>Input!$UH$10</f>
        <v>0</v>
      </c>
      <c r="S69" s="837">
        <f t="shared" si="16"/>
        <v>201697296</v>
      </c>
      <c r="T69" s="723"/>
      <c r="U69" s="834">
        <f t="shared" si="15"/>
        <v>201697296</v>
      </c>
      <c r="V69" s="723"/>
      <c r="W69" s="828" t="s">
        <v>181</v>
      </c>
      <c r="X69" s="835">
        <f>Input!$US$10</f>
        <v>201697296</v>
      </c>
      <c r="Y69" s="836">
        <f t="shared" si="13"/>
        <v>0</v>
      </c>
      <c r="Z69" s="723"/>
      <c r="AA69" s="723"/>
      <c r="AB69" s="723"/>
    </row>
    <row r="70" spans="1:28" s="752" customFormat="1">
      <c r="A70" s="460">
        <v>53</v>
      </c>
      <c r="B70" s="823" t="s">
        <v>182</v>
      </c>
      <c r="C70" s="823"/>
      <c r="D70" s="762">
        <f>Input!$MZ$10</f>
        <v>842888</v>
      </c>
      <c r="E70" s="762">
        <f>Input!$NA$10</f>
        <v>0</v>
      </c>
      <c r="F70" s="762">
        <f>Input!$NB$10</f>
        <v>0</v>
      </c>
      <c r="G70" s="762">
        <f>Input!$NC$10</f>
        <v>2592231</v>
      </c>
      <c r="H70" s="762">
        <f>Input!$ND$10</f>
        <v>0</v>
      </c>
      <c r="I70" s="762">
        <f>Input!$NE$10</f>
        <v>0</v>
      </c>
      <c r="J70" s="762">
        <f>Input!$NF$10</f>
        <v>0</v>
      </c>
      <c r="K70" s="762">
        <f>Input!$NG$10</f>
        <v>0</v>
      </c>
      <c r="L70" s="762">
        <f>Input!$NH$10</f>
        <v>0</v>
      </c>
      <c r="M70" s="723">
        <f t="shared" si="12"/>
        <v>3435119</v>
      </c>
      <c r="O70" s="831">
        <f t="shared" si="14"/>
        <v>3435119</v>
      </c>
      <c r="P70" s="832">
        <f>Input!$TP$10</f>
        <v>169365</v>
      </c>
      <c r="Q70" s="832">
        <f>Input!$TZ$10</f>
        <v>0</v>
      </c>
      <c r="R70" s="832">
        <f>Input!$UI$10</f>
        <v>0</v>
      </c>
      <c r="S70" s="837">
        <f t="shared" si="16"/>
        <v>3604484</v>
      </c>
      <c r="T70" s="723"/>
      <c r="U70" s="834">
        <f t="shared" si="15"/>
        <v>3435119</v>
      </c>
      <c r="V70" s="723"/>
      <c r="W70" s="828" t="s">
        <v>182</v>
      </c>
      <c r="X70" s="835">
        <f>Input!$UT$10</f>
        <v>3435119</v>
      </c>
      <c r="Y70" s="836">
        <f t="shared" si="13"/>
        <v>0</v>
      </c>
      <c r="Z70" s="723"/>
      <c r="AA70" s="723"/>
      <c r="AB70" s="723"/>
    </row>
    <row r="71" spans="1:28" s="752" customFormat="1">
      <c r="A71" s="460">
        <v>54</v>
      </c>
      <c r="B71" s="823" t="s">
        <v>183</v>
      </c>
      <c r="C71" s="823"/>
      <c r="D71" s="762">
        <f>Input!$NI$10</f>
        <v>167318035</v>
      </c>
      <c r="E71" s="762">
        <f>Input!$NJ$10</f>
        <v>22780144</v>
      </c>
      <c r="F71" s="762">
        <f>Input!$NK$10</f>
        <v>0</v>
      </c>
      <c r="G71" s="762">
        <f>Input!$NL$10</f>
        <v>3975590</v>
      </c>
      <c r="H71" s="762">
        <f>Input!$NM$10</f>
        <v>0</v>
      </c>
      <c r="I71" s="762">
        <f>Input!$NN$10</f>
        <v>0</v>
      </c>
      <c r="J71" s="762">
        <f>Input!$NO$10</f>
        <v>0</v>
      </c>
      <c r="K71" s="762">
        <f>Input!$NP$10</f>
        <v>0</v>
      </c>
      <c r="L71" s="762">
        <f>Input!$NQ$10</f>
        <v>0</v>
      </c>
      <c r="M71" s="723">
        <f t="shared" si="12"/>
        <v>194073769</v>
      </c>
      <c r="O71" s="831">
        <f t="shared" si="14"/>
        <v>194073769</v>
      </c>
      <c r="P71" s="832">
        <f>Input!$TQ$10</f>
        <v>17456239</v>
      </c>
      <c r="Q71" s="832">
        <f>Input!$UA$10</f>
        <v>0</v>
      </c>
      <c r="R71" s="832">
        <f>Input!$UJ$10</f>
        <v>0</v>
      </c>
      <c r="S71" s="837">
        <f t="shared" si="16"/>
        <v>211530008</v>
      </c>
      <c r="T71" s="723"/>
      <c r="U71" s="834">
        <f t="shared" si="15"/>
        <v>194073769</v>
      </c>
      <c r="V71" s="723"/>
      <c r="W71" s="828" t="s">
        <v>183</v>
      </c>
      <c r="X71" s="835">
        <f>Input!$UU$10</f>
        <v>194073769</v>
      </c>
      <c r="Y71" s="836">
        <f t="shared" si="13"/>
        <v>0</v>
      </c>
      <c r="Z71" s="723"/>
      <c r="AA71" s="723"/>
      <c r="AB71" s="723"/>
    </row>
    <row r="72" spans="1:28" s="752" customFormat="1">
      <c r="A72" s="460">
        <v>55</v>
      </c>
      <c r="B72" s="823" t="s">
        <v>184</v>
      </c>
      <c r="C72" s="823"/>
      <c r="D72" s="762">
        <f>Input!$NR$10</f>
        <v>230348290</v>
      </c>
      <c r="E72" s="762">
        <f>Input!$NS$10</f>
        <v>320532</v>
      </c>
      <c r="F72" s="762">
        <f>Input!$NT$10</f>
        <v>0</v>
      </c>
      <c r="G72" s="762">
        <f>Input!$NU$10</f>
        <v>32716</v>
      </c>
      <c r="H72" s="762">
        <f>Input!$NV$10</f>
        <v>0</v>
      </c>
      <c r="I72" s="762">
        <f>Input!$NW$10</f>
        <v>0</v>
      </c>
      <c r="J72" s="762">
        <f>Input!$NX$10</f>
        <v>0</v>
      </c>
      <c r="K72" s="762">
        <f>Input!$NY$10</f>
        <v>0</v>
      </c>
      <c r="L72" s="762">
        <f>Input!$NZ$10</f>
        <v>0</v>
      </c>
      <c r="M72" s="723">
        <f t="shared" si="12"/>
        <v>230701538</v>
      </c>
      <c r="O72" s="831">
        <f t="shared" si="14"/>
        <v>230701538</v>
      </c>
      <c r="P72" s="832">
        <f>Input!$TR$10</f>
        <v>749456</v>
      </c>
      <c r="Q72" s="832">
        <f>Input!$UB$10</f>
        <v>0</v>
      </c>
      <c r="R72" s="832">
        <f>Input!$UK$10</f>
        <v>0</v>
      </c>
      <c r="S72" s="837">
        <f t="shared" si="16"/>
        <v>231450994</v>
      </c>
      <c r="T72" s="723"/>
      <c r="U72" s="834">
        <f t="shared" si="15"/>
        <v>230701538</v>
      </c>
      <c r="V72" s="723"/>
      <c r="W72" s="828" t="s">
        <v>671</v>
      </c>
      <c r="X72" s="835">
        <f>Input!$UV$10</f>
        <v>230701538</v>
      </c>
      <c r="Y72" s="836">
        <f t="shared" si="13"/>
        <v>0</v>
      </c>
      <c r="Z72" s="723"/>
      <c r="AA72" s="723"/>
      <c r="AB72" s="723"/>
    </row>
    <row r="73" spans="1:28" s="752" customFormat="1" ht="13.8" thickBot="1">
      <c r="A73" s="460">
        <v>56</v>
      </c>
      <c r="B73" s="823" t="s">
        <v>185</v>
      </c>
      <c r="C73" s="823"/>
      <c r="D73" s="762">
        <f>Input!$OA$10</f>
        <v>54310</v>
      </c>
      <c r="E73" s="762">
        <f>Input!$OB$10</f>
        <v>947372</v>
      </c>
      <c r="F73" s="762">
        <f>Input!$OC$10</f>
        <v>0</v>
      </c>
      <c r="G73" s="762">
        <f>Input!$OD$10</f>
        <v>1718838</v>
      </c>
      <c r="H73" s="762">
        <f>Input!$OE$10</f>
        <v>0</v>
      </c>
      <c r="I73" s="762">
        <f>Input!$OF$10</f>
        <v>0</v>
      </c>
      <c r="J73" s="762">
        <f>Input!$OG$10</f>
        <v>0</v>
      </c>
      <c r="K73" s="762">
        <f>Input!$OH$10</f>
        <v>0</v>
      </c>
      <c r="L73" s="762">
        <f>Input!$OI$10</f>
        <v>0</v>
      </c>
      <c r="M73" s="723">
        <f t="shared" si="12"/>
        <v>2720520</v>
      </c>
      <c r="O73" s="838">
        <f>D73+E73+G73</f>
        <v>2720520</v>
      </c>
      <c r="P73" s="832">
        <f>Input!$TS$10</f>
        <v>112510</v>
      </c>
      <c r="Q73" s="839">
        <f>Input!$UC$10</f>
        <v>0</v>
      </c>
      <c r="R73" s="839">
        <f>Input!$UL$10</f>
        <v>0</v>
      </c>
      <c r="S73" s="840">
        <f>O73+P73-Q73-R73</f>
        <v>2833030</v>
      </c>
      <c r="T73" s="841"/>
      <c r="U73" s="834">
        <f t="shared" si="15"/>
        <v>2720520</v>
      </c>
      <c r="V73" s="841"/>
      <c r="W73" s="828" t="s">
        <v>185</v>
      </c>
      <c r="X73" s="835">
        <f>Input!$UW$10</f>
        <v>2720520</v>
      </c>
      <c r="Y73" s="836">
        <f t="shared" si="13"/>
        <v>0</v>
      </c>
      <c r="Z73" s="723"/>
      <c r="AA73" s="723"/>
      <c r="AB73" s="723"/>
    </row>
    <row r="74" spans="1:28" s="752" customFormat="1" ht="13.8" thickTop="1">
      <c r="A74" s="460">
        <v>57</v>
      </c>
      <c r="B74" s="823" t="s">
        <v>472</v>
      </c>
      <c r="C74" s="823"/>
      <c r="D74" s="762">
        <f>Input!$OJ$10</f>
        <v>0</v>
      </c>
      <c r="E74" s="762">
        <f>Input!$OK$10</f>
        <v>0</v>
      </c>
      <c r="F74" s="762">
        <f>Input!$OL$10</f>
        <v>18756979</v>
      </c>
      <c r="G74" s="762">
        <f>Input!$OM$10</f>
        <v>0</v>
      </c>
      <c r="H74" s="762">
        <f>Input!$ON$10</f>
        <v>0</v>
      </c>
      <c r="I74" s="762">
        <f>Input!$OO$10</f>
        <v>0</v>
      </c>
      <c r="J74" s="762">
        <f>Input!$OP$10</f>
        <v>0</v>
      </c>
      <c r="K74" s="762">
        <f>Input!$OQ$10</f>
        <v>0</v>
      </c>
      <c r="L74" s="762">
        <f>Input!$OR$10</f>
        <v>0</v>
      </c>
      <c r="M74" s="723">
        <f t="shared" si="12"/>
        <v>18756979</v>
      </c>
      <c r="O74" s="492"/>
      <c r="P74" s="842">
        <f>Input!$TT$10</f>
        <v>60619</v>
      </c>
      <c r="Q74" s="843"/>
      <c r="R74" s="844"/>
      <c r="S74" s="845">
        <f>SUM(S65:S73)</f>
        <v>5545076948</v>
      </c>
      <c r="T74" s="844"/>
      <c r="U74" s="834">
        <f t="shared" si="15"/>
        <v>18756979</v>
      </c>
      <c r="V74" s="844"/>
      <c r="W74" s="828" t="s">
        <v>186</v>
      </c>
      <c r="X74" s="835">
        <f>Input!$UX$10</f>
        <v>18756979</v>
      </c>
      <c r="Y74" s="836">
        <f t="shared" si="13"/>
        <v>0</v>
      </c>
      <c r="Z74" s="723"/>
      <c r="AA74" s="723"/>
      <c r="AB74" s="723"/>
    </row>
    <row r="75" spans="1:28" s="752" customFormat="1">
      <c r="A75" s="460">
        <v>58</v>
      </c>
      <c r="B75" s="846" t="s">
        <v>602</v>
      </c>
      <c r="C75" s="846"/>
      <c r="D75" s="762">
        <f>Input!$OS$10</f>
        <v>69900490</v>
      </c>
      <c r="E75" s="762">
        <f>Input!$OT$10</f>
        <v>13219847</v>
      </c>
      <c r="F75" s="762">
        <f>Input!$OU$10</f>
        <v>60619</v>
      </c>
      <c r="G75" s="762">
        <f>Input!$OV$10</f>
        <v>5358750</v>
      </c>
      <c r="H75" s="762">
        <f>Input!$OW$10</f>
        <v>0</v>
      </c>
      <c r="I75" s="762">
        <f>Input!$OX$10</f>
        <v>0</v>
      </c>
      <c r="J75" s="762">
        <f>Input!$OY$10</f>
        <v>0</v>
      </c>
      <c r="K75" s="762">
        <f>Input!$OZ$10</f>
        <v>0</v>
      </c>
      <c r="L75" s="762">
        <f>Input!$PA$10</f>
        <v>0</v>
      </c>
      <c r="M75" s="723">
        <f t="shared" si="12"/>
        <v>88539706</v>
      </c>
      <c r="O75" s="492"/>
      <c r="P75" s="492">
        <f>SUM(P65:P74)</f>
        <v>88539706</v>
      </c>
      <c r="Q75" s="843" t="s">
        <v>672</v>
      </c>
      <c r="R75" s="844"/>
      <c r="S75" s="847"/>
      <c r="T75" s="844"/>
      <c r="U75" s="834">
        <f t="shared" si="15"/>
        <v>88539706</v>
      </c>
      <c r="V75" s="844"/>
      <c r="W75" s="828" t="s">
        <v>673</v>
      </c>
      <c r="X75" s="848">
        <f>M93*-1</f>
        <v>372315602</v>
      </c>
      <c r="Y75" s="836">
        <f>X75+M93</f>
        <v>0</v>
      </c>
      <c r="Z75" s="849"/>
      <c r="AA75" s="849"/>
      <c r="AB75" s="849"/>
    </row>
    <row r="76" spans="1:28" s="752" customFormat="1" ht="13.8" thickBot="1">
      <c r="A76" s="460">
        <v>59</v>
      </c>
      <c r="B76" s="850" t="s">
        <v>603</v>
      </c>
      <c r="C76" s="850"/>
      <c r="D76" s="851">
        <f>Input!$PB$10</f>
        <v>2036838</v>
      </c>
      <c r="E76" s="851">
        <f>Input!$PC$10</f>
        <v>142970</v>
      </c>
      <c r="F76" s="851">
        <f>Input!$PD$10</f>
        <v>0</v>
      </c>
      <c r="G76" s="851">
        <f>Input!$PE$10</f>
        <v>121</v>
      </c>
      <c r="H76" s="851">
        <f>Input!$PF$10</f>
        <v>0</v>
      </c>
      <c r="I76" s="851">
        <f>Input!$PG$10</f>
        <v>0</v>
      </c>
      <c r="J76" s="851">
        <f>Input!$PH$10</f>
        <v>0</v>
      </c>
      <c r="K76" s="851">
        <f>Input!$PI$10</f>
        <v>0</v>
      </c>
      <c r="L76" s="851">
        <f>Input!$PJ$10</f>
        <v>0</v>
      </c>
      <c r="M76" s="723">
        <f t="shared" si="12"/>
        <v>2179929</v>
      </c>
      <c r="O76" s="492"/>
      <c r="P76" s="852" t="str">
        <f>IF(P75&lt;&gt;M75,"Out of Balance","Balanced")</f>
        <v>Balanced</v>
      </c>
      <c r="Q76" s="1213" t="s">
        <v>674</v>
      </c>
      <c r="R76" s="1214"/>
      <c r="S76" s="853">
        <f>Input!$UM$10</f>
        <v>10257634965</v>
      </c>
      <c r="T76" s="492"/>
      <c r="U76" s="854">
        <f t="shared" si="15"/>
        <v>2179929</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4202008594</v>
      </c>
      <c r="E77" s="769">
        <f t="shared" si="17"/>
        <v>774603624</v>
      </c>
      <c r="F77" s="769">
        <f t="shared" si="17"/>
        <v>18817598</v>
      </c>
      <c r="G77" s="769">
        <f t="shared" si="17"/>
        <v>577363410</v>
      </c>
      <c r="H77" s="769">
        <f t="shared" si="17"/>
        <v>0</v>
      </c>
      <c r="I77" s="769">
        <f t="shared" si="17"/>
        <v>0</v>
      </c>
      <c r="J77" s="769">
        <f t="shared" si="17"/>
        <v>0</v>
      </c>
      <c r="K77" s="769">
        <f t="shared" si="17"/>
        <v>0</v>
      </c>
      <c r="L77" s="769">
        <f t="shared" si="17"/>
        <v>0</v>
      </c>
      <c r="M77" s="769">
        <f t="shared" si="12"/>
        <v>5572793226</v>
      </c>
      <c r="O77" s="320"/>
      <c r="P77" s="492"/>
      <c r="Q77" s="859" t="s">
        <v>676</v>
      </c>
      <c r="R77" s="860"/>
      <c r="S77" s="861">
        <f>Input!$UN$10</f>
        <v>5407910376</v>
      </c>
      <c r="T77" s="320"/>
      <c r="U77" s="862">
        <f>SUM(U65:U76)</f>
        <v>5572793226</v>
      </c>
      <c r="V77" s="320"/>
      <c r="W77" s="320"/>
      <c r="X77" s="863">
        <f>SUM(X65:X76)</f>
        <v>5854389193</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695352359</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Input!$PK$10</f>
        <v>0</v>
      </c>
      <c r="E80" s="762">
        <f>Input!$PL$10</f>
        <v>0</v>
      </c>
      <c r="F80" s="762">
        <f>Input!$PM$10</f>
        <v>0</v>
      </c>
      <c r="G80" s="762">
        <f>Input!$PN$10</f>
        <v>0</v>
      </c>
      <c r="H80" s="762">
        <f>Input!$PO$10</f>
        <v>0</v>
      </c>
      <c r="I80" s="762">
        <f>Input!$PP$10</f>
        <v>0</v>
      </c>
      <c r="J80" s="762">
        <f>Input!$PQ$10</f>
        <v>-230791528</v>
      </c>
      <c r="K80" s="762">
        <f>Input!$PR$10</f>
        <v>0</v>
      </c>
      <c r="L80" s="762">
        <f>Input!$PS$10</f>
        <v>0</v>
      </c>
      <c r="M80" s="723">
        <f>D80+E80+F80+G80+H80+I80+J80+K80+L80</f>
        <v>-230791528</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Input!$PT$10</f>
        <v>-650935488</v>
      </c>
      <c r="E81" s="762">
        <f>Input!$PU$10</f>
        <v>-8280647</v>
      </c>
      <c r="F81" s="762">
        <f>Input!$PV$10</f>
        <v>-32984</v>
      </c>
      <c r="G81" s="762">
        <f>Input!$PW$10</f>
        <v>812940</v>
      </c>
      <c r="H81" s="762">
        <f>Input!$PX$10</f>
        <v>0</v>
      </c>
      <c r="I81" s="762">
        <f>Input!$PY$10</f>
        <v>8521448</v>
      </c>
      <c r="J81" s="762">
        <f>Input!$PZ$10</f>
        <v>652761186</v>
      </c>
      <c r="K81" s="762">
        <f>Input!$QA$10</f>
        <v>0</v>
      </c>
      <c r="L81" s="762">
        <f>Input!$QB$10</f>
        <v>23979651</v>
      </c>
      <c r="M81" s="723">
        <f>D81+E81+F81+G81+H81+I81+J81+K81+L81</f>
        <v>26826106</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Input!$QC$10</f>
        <v>0</v>
      </c>
      <c r="E82" s="762">
        <f>Input!$QD$10</f>
        <v>0</v>
      </c>
      <c r="F82" s="762">
        <f>Input!$QE$10</f>
        <v>0</v>
      </c>
      <c r="G82" s="762">
        <f>Input!$QF$10</f>
        <v>0</v>
      </c>
      <c r="H82" s="762">
        <f>Input!$QG$10</f>
        <v>0</v>
      </c>
      <c r="I82" s="762">
        <f>Input!$QH$10</f>
        <v>0</v>
      </c>
      <c r="J82" s="762">
        <f>Input!$QI$10</f>
        <v>13354003</v>
      </c>
      <c r="K82" s="762">
        <f>Input!$QJ$10</f>
        <v>0</v>
      </c>
      <c r="L82" s="762">
        <f>Input!$QK$10</f>
        <v>0</v>
      </c>
      <c r="M82" s="723">
        <f>D82+E82+F82+G82+H82+I82+J82+K82+L82</f>
        <v>13354003</v>
      </c>
      <c r="O82" s="492"/>
      <c r="P82" s="1218" t="str">
        <f>IF(M91&lt;0,"Footnote 11 is N/A - No Data Entry Required","Footnote 11")</f>
        <v>Footnote 11 is N/A - No Data Entry Required</v>
      </c>
      <c r="Q82" s="1219"/>
      <c r="R82" s="1219"/>
      <c r="S82" s="1220"/>
      <c r="T82" s="443"/>
      <c r="U82" s="443"/>
      <c r="V82" s="320"/>
      <c r="W82" s="320"/>
      <c r="X82" s="320"/>
      <c r="Y82" s="320"/>
      <c r="Z82" s="320"/>
      <c r="AA82" s="320"/>
      <c r="AB82" s="320"/>
    </row>
    <row r="83" spans="1:28" s="752" customFormat="1" ht="13.8" thickTop="1">
      <c r="A83" s="460">
        <v>66</v>
      </c>
      <c r="B83" s="752" t="s">
        <v>477</v>
      </c>
      <c r="D83" s="762">
        <f>Input!$QL$10</f>
        <v>-142106572</v>
      </c>
      <c r="E83" s="762">
        <f>Input!$QM$10</f>
        <v>0</v>
      </c>
      <c r="F83" s="762">
        <f>Input!$QN$10</f>
        <v>-8309479</v>
      </c>
      <c r="G83" s="762">
        <f>Input!$QO$10</f>
        <v>0</v>
      </c>
      <c r="H83" s="762">
        <f>Input!$QP$10</f>
        <v>0</v>
      </c>
      <c r="I83" s="762">
        <f>Input!$QQ$10</f>
        <v>0</v>
      </c>
      <c r="J83" s="762">
        <f>Input!$QR$10</f>
        <v>0</v>
      </c>
      <c r="K83" s="762">
        <f>Input!$QS$10</f>
        <v>0</v>
      </c>
      <c r="L83" s="762">
        <f>Input!$QT$10</f>
        <v>0</v>
      </c>
      <c r="M83" s="723">
        <f>D83+E83+F83+G83+H83+I83+J83+K83+L83</f>
        <v>-150416051</v>
      </c>
      <c r="O83" s="723"/>
      <c r="P83" s="869" t="s">
        <v>678</v>
      </c>
      <c r="Q83" s="870"/>
      <c r="R83" s="871"/>
      <c r="S83" s="872" t="str">
        <f>IF(M91&lt;0,"N/A",M91)</f>
        <v>N/A</v>
      </c>
      <c r="T83" s="492"/>
      <c r="U83" s="443"/>
      <c r="V83" s="320"/>
      <c r="W83" s="320"/>
      <c r="X83" s="443"/>
      <c r="Y83" s="443"/>
      <c r="Z83" s="320"/>
      <c r="AA83" s="320"/>
      <c r="AB83" s="320"/>
    </row>
    <row r="84" spans="1:28" s="752" customFormat="1">
      <c r="A84" s="460">
        <v>67</v>
      </c>
      <c r="B84" s="858" t="s">
        <v>155</v>
      </c>
      <c r="C84" s="858"/>
      <c r="D84" s="769">
        <f t="shared" ref="D84:L84" si="18">SUM(D80:D83)</f>
        <v>-793042060</v>
      </c>
      <c r="E84" s="769">
        <f t="shared" si="18"/>
        <v>-8280647</v>
      </c>
      <c r="F84" s="769">
        <f t="shared" si="18"/>
        <v>-8342463</v>
      </c>
      <c r="G84" s="769">
        <f t="shared" si="18"/>
        <v>812940</v>
      </c>
      <c r="H84" s="769">
        <f t="shared" si="18"/>
        <v>0</v>
      </c>
      <c r="I84" s="769">
        <f t="shared" si="18"/>
        <v>8521448</v>
      </c>
      <c r="J84" s="769">
        <f t="shared" si="18"/>
        <v>435323661</v>
      </c>
      <c r="K84" s="769">
        <f t="shared" si="18"/>
        <v>0</v>
      </c>
      <c r="L84" s="769">
        <f t="shared" si="18"/>
        <v>23979651</v>
      </c>
      <c r="M84" s="769">
        <f>D84+E84+F84+G84+H84+I84+J84+K84+L84</f>
        <v>-341027470</v>
      </c>
      <c r="O84" s="723"/>
      <c r="P84" s="873" t="s">
        <v>679</v>
      </c>
      <c r="Q84" s="492"/>
      <c r="R84" s="492"/>
      <c r="S84" s="874">
        <f>Input!$UY$10</f>
        <v>0</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t="str">
        <f>IF(M91&lt;0,"",S83-S84)</f>
        <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Input!$QU$10</f>
        <v>-767463283</v>
      </c>
      <c r="E87" s="762">
        <f>Input!$QV$10</f>
        <v>-187465697</v>
      </c>
      <c r="F87" s="762">
        <f>Input!$QW$10</f>
        <v>0</v>
      </c>
      <c r="G87" s="762">
        <f>Input!$QX$10</f>
        <v>0</v>
      </c>
      <c r="H87" s="762">
        <f>Input!$QY$10</f>
        <v>0</v>
      </c>
      <c r="I87" s="762">
        <f>Input!$QZ$10</f>
        <v>-194242703</v>
      </c>
      <c r="J87" s="762">
        <f>Input!$RA$10</f>
        <v>0</v>
      </c>
      <c r="K87" s="762">
        <f>Input!$RB$10</f>
        <v>0</v>
      </c>
      <c r="L87" s="762">
        <f>Input!$RC$10</f>
        <v>0</v>
      </c>
      <c r="M87" s="723">
        <f>D87+E87+F87+G87+H87+I87+J87+K87+L87</f>
        <v>-1149171683</v>
      </c>
      <c r="O87" s="320"/>
      <c r="P87" s="873" t="s">
        <v>681</v>
      </c>
      <c r="Q87" s="320"/>
      <c r="R87" s="492"/>
      <c r="S87" s="878">
        <f>Input!$UZ$10</f>
        <v>0</v>
      </c>
      <c r="T87" s="320"/>
      <c r="U87" s="320"/>
      <c r="V87" s="320"/>
      <c r="W87" s="320"/>
      <c r="X87" s="443"/>
      <c r="Y87" s="443"/>
      <c r="Z87" s="320"/>
      <c r="AA87" s="320"/>
      <c r="AB87" s="320"/>
    </row>
    <row r="88" spans="1:28" s="752" customFormat="1">
      <c r="A88" s="460">
        <v>71</v>
      </c>
      <c r="B88" s="752" t="s">
        <v>480</v>
      </c>
      <c r="D88" s="762">
        <f>Input!$RD$10</f>
        <v>0</v>
      </c>
      <c r="E88" s="762">
        <f>Input!$RE$10</f>
        <v>0</v>
      </c>
      <c r="F88" s="762">
        <f>Input!$RF$10</f>
        <v>0</v>
      </c>
      <c r="G88" s="762">
        <f>Input!$RG$10</f>
        <v>-586811</v>
      </c>
      <c r="H88" s="762">
        <f>Input!$RH$10</f>
        <v>0</v>
      </c>
      <c r="I88" s="762">
        <f>Input!$RI$10</f>
        <v>19892460</v>
      </c>
      <c r="J88" s="762">
        <f>Input!$RJ$10</f>
        <v>0</v>
      </c>
      <c r="K88" s="762">
        <f>Input!$RK$10</f>
        <v>0</v>
      </c>
      <c r="L88" s="762">
        <f>Input!$RL$10</f>
        <v>0</v>
      </c>
      <c r="M88" s="723">
        <f>D88+E88+F88+G88+H88+I88+J88+K88+L88</f>
        <v>19305649</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-767463283</v>
      </c>
      <c r="E89" s="769">
        <f t="shared" si="19"/>
        <v>-187465697</v>
      </c>
      <c r="F89" s="769">
        <f t="shared" si="19"/>
        <v>0</v>
      </c>
      <c r="G89" s="769">
        <f t="shared" si="19"/>
        <v>-586811</v>
      </c>
      <c r="H89" s="769">
        <f t="shared" si="19"/>
        <v>0</v>
      </c>
      <c r="I89" s="769">
        <f t="shared" si="19"/>
        <v>-174350243</v>
      </c>
      <c r="J89" s="769">
        <f t="shared" si="19"/>
        <v>0</v>
      </c>
      <c r="K89" s="769">
        <f t="shared" si="19"/>
        <v>0</v>
      </c>
      <c r="L89" s="769">
        <f t="shared" si="19"/>
        <v>0</v>
      </c>
      <c r="M89" s="769">
        <f>D89+E89+F89+G89+H89+I89+J89+K89+L89</f>
        <v>-1129866034</v>
      </c>
      <c r="O89" s="320"/>
      <c r="P89" s="873" t="s">
        <v>683</v>
      </c>
      <c r="Q89" s="320"/>
      <c r="R89" s="320"/>
      <c r="S89" s="875" t="str">
        <f>IFERROR(S85-S87,"")</f>
        <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-455662483</v>
      </c>
      <c r="E91" s="769">
        <f t="shared" si="20"/>
        <v>-2441368</v>
      </c>
      <c r="F91" s="769">
        <f t="shared" si="20"/>
        <v>7820182</v>
      </c>
      <c r="G91" s="769">
        <f t="shared" si="20"/>
        <v>-14261664</v>
      </c>
      <c r="H91" s="769">
        <f t="shared" si="20"/>
        <v>0</v>
      </c>
      <c r="I91" s="769">
        <f t="shared" si="20"/>
        <v>-165708907</v>
      </c>
      <c r="J91" s="769">
        <f t="shared" si="20"/>
        <v>435323661</v>
      </c>
      <c r="K91" s="769">
        <f t="shared" si="20"/>
        <v>0</v>
      </c>
      <c r="L91" s="769">
        <f>L63-L77+L84+L89</f>
        <v>25033267</v>
      </c>
      <c r="M91" s="769">
        <f>D91+E91+F91+G91+H91+I91+J91+K91+L91</f>
        <v>-169897312</v>
      </c>
      <c r="O91" s="320"/>
      <c r="P91" s="881" t="s">
        <v>684</v>
      </c>
      <c r="Q91" s="882"/>
      <c r="R91" s="882"/>
      <c r="S91" s="883" t="str">
        <f>IFERROR((S89+S87)-S85,"")</f>
        <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Input!$RM$10</f>
        <v>-367129</v>
      </c>
      <c r="E93" s="762">
        <f>Input!$RN$10</f>
        <v>0</v>
      </c>
      <c r="F93" s="762">
        <f>Input!$RO$10</f>
        <v>0</v>
      </c>
      <c r="G93" s="762">
        <f>Input!$RP$10</f>
        <v>0</v>
      </c>
      <c r="H93" s="762">
        <f>Input!$RQ$10</f>
        <v>0</v>
      </c>
      <c r="I93" s="762">
        <f>Input!$RR$10</f>
        <v>0</v>
      </c>
      <c r="J93" s="762">
        <f>Input!$RS$10</f>
        <v>0</v>
      </c>
      <c r="K93" s="762">
        <f>Input!$RT$10</f>
        <v>0</v>
      </c>
      <c r="L93" s="762">
        <f>Input!$RU$10</f>
        <v>-371948473</v>
      </c>
      <c r="M93" s="723">
        <f>D93+E93+F93+G93+H93+I93+J93+K93+L93</f>
        <v>-372315602</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Input!$RV$10</f>
        <v>0</v>
      </c>
      <c r="E94" s="762">
        <f>Input!$RW$10</f>
        <v>0</v>
      </c>
      <c r="F94" s="762">
        <f>Input!$RX$10</f>
        <v>0</v>
      </c>
      <c r="G94" s="762">
        <f>Input!$RY$10</f>
        <v>0</v>
      </c>
      <c r="H94" s="762">
        <f>Input!$RZ$10</f>
        <v>0</v>
      </c>
      <c r="I94" s="762">
        <f>Input!$SA$10</f>
        <v>0</v>
      </c>
      <c r="J94" s="762">
        <f>Input!$SB$10</f>
        <v>0</v>
      </c>
      <c r="K94" s="762">
        <f>Input!$SC$10</f>
        <v>0</v>
      </c>
      <c r="L94" s="762">
        <f>Input!$SD$10</f>
        <v>0</v>
      </c>
      <c r="M94" s="723">
        <f>D94+E94+F94+G94+H94+I94+J94+K94+L94</f>
        <v>0</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Input!$SE$10</f>
        <v>0</v>
      </c>
      <c r="E95" s="762">
        <f>Input!$SF$10</f>
        <v>0</v>
      </c>
      <c r="F95" s="762">
        <f>Input!$SG$10</f>
        <v>0</v>
      </c>
      <c r="G95" s="762">
        <f>Input!$SH$10</f>
        <v>0</v>
      </c>
      <c r="H95" s="762">
        <f>Input!$SI$10</f>
        <v>0</v>
      </c>
      <c r="I95" s="762">
        <f>Input!$SJ$10</f>
        <v>0</v>
      </c>
      <c r="J95" s="762">
        <f>Input!$SK$10</f>
        <v>0</v>
      </c>
      <c r="K95" s="762">
        <f>Input!$SL$10</f>
        <v>0</v>
      </c>
      <c r="L95" s="762">
        <f>Input!$SM$10</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Input!$SN$10</f>
        <v>0</v>
      </c>
      <c r="E96" s="762">
        <f>Input!$SO$10</f>
        <v>0</v>
      </c>
      <c r="F96" s="762">
        <f>Input!$SP$10</f>
        <v>0</v>
      </c>
      <c r="G96" s="762">
        <f>Input!$SQ$10</f>
        <v>0</v>
      </c>
      <c r="H96" s="762">
        <f>Input!$SR$10</f>
        <v>0</v>
      </c>
      <c r="I96" s="762">
        <f>Input!$SS$10</f>
        <v>0</v>
      </c>
      <c r="J96" s="762">
        <f>Input!$ST$10</f>
        <v>0</v>
      </c>
      <c r="K96" s="762">
        <f>Input!$SU$10</f>
        <v>0</v>
      </c>
      <c r="L96" s="762">
        <f>Input!$SV$10</f>
        <v>38738</v>
      </c>
      <c r="M96" s="723">
        <f>D96+E96+F96+G96+H96+I96+J96+K96+L96</f>
        <v>38738</v>
      </c>
      <c r="O96" s="884"/>
      <c r="P96" s="320"/>
      <c r="Q96" s="320"/>
      <c r="R96" s="320"/>
      <c r="S96" s="320"/>
      <c r="Y96" s="320"/>
      <c r="Z96" s="320"/>
      <c r="AA96" s="320"/>
      <c r="AB96" s="320"/>
    </row>
    <row r="97" spans="1:28" s="752" customFormat="1">
      <c r="A97" s="460">
        <v>79</v>
      </c>
      <c r="B97" s="320" t="s">
        <v>486</v>
      </c>
      <c r="C97" s="320"/>
      <c r="D97" s="762">
        <f>Input!$SW$10</f>
        <v>0</v>
      </c>
      <c r="E97" s="762">
        <f>Input!$SX$10</f>
        <v>0</v>
      </c>
      <c r="F97" s="762">
        <f>Input!$SY$10</f>
        <v>0</v>
      </c>
      <c r="G97" s="762">
        <f>Input!$SZ$10</f>
        <v>0</v>
      </c>
      <c r="H97" s="762">
        <f>Input!$TA$10</f>
        <v>0</v>
      </c>
      <c r="I97" s="762">
        <f>Input!$TB$10</f>
        <v>0</v>
      </c>
      <c r="J97" s="762">
        <f>Input!$TC$10</f>
        <v>0</v>
      </c>
      <c r="K97" s="762">
        <f>Input!$TD$10</f>
        <v>0</v>
      </c>
      <c r="L97" s="762">
        <f>Input!$TE$10</f>
        <v>319331235</v>
      </c>
      <c r="M97" s="723">
        <f>D97+E97+F97+G97+H97+I97+J97+K97+L97</f>
        <v>319331235</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-456029612</v>
      </c>
      <c r="E98" s="886">
        <f t="shared" si="21"/>
        <v>-2441368</v>
      </c>
      <c r="F98" s="886">
        <f t="shared" si="21"/>
        <v>7820182</v>
      </c>
      <c r="G98" s="886">
        <f t="shared" si="21"/>
        <v>-14261664</v>
      </c>
      <c r="H98" s="886">
        <f t="shared" si="21"/>
        <v>0</v>
      </c>
      <c r="I98" s="886">
        <f t="shared" si="21"/>
        <v>-165708907</v>
      </c>
      <c r="J98" s="886">
        <f t="shared" si="21"/>
        <v>435323661</v>
      </c>
      <c r="K98" s="886">
        <f t="shared" si="21"/>
        <v>0</v>
      </c>
      <c r="L98" s="886">
        <f t="shared" si="21"/>
        <v>-27545233</v>
      </c>
      <c r="M98" s="886">
        <f>SUM(M91:M97)</f>
        <v>-222842941</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4" t="str">
        <f>Input!$VC$10</f>
        <v>Duy</v>
      </c>
      <c r="Q103" s="1225"/>
      <c r="R103" s="1224" t="str">
        <f>Input!$VD$10</f>
        <v>713-745-8630</v>
      </c>
      <c r="S103" s="1225"/>
      <c r="T103" s="320"/>
      <c r="U103" s="1226" t="str">
        <f>HYPERLINK("Mailto:"&amp;Input!$VE$10,Input!$VE$10)</f>
        <v>ddtran2@mdanderson.org</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Input!$TF$10</f>
        <v>-222842941</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IF($L$123&lt;&gt;Input!$F$10,"Out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7947741844</v>
      </c>
      <c r="E110" s="723">
        <f>SUM($E$10:$E$14)+SUM($E$19:$E$28)+SUM($E$50)+$E$53+SUM($E$56:$E$61)+SUM($E$65:$E$76)+SUM($E$80:$E$83)+SUM($E$87:$E$88)+SUM($E$93:$E$97)+SUM($E$32:$E$41)+$E$47</f>
        <v>1546765880</v>
      </c>
      <c r="F110" s="723">
        <f>SUM($F$10:$F$14)+SUM($F$19:$F$28)+SUM($F$50)+$F$53+SUM($F$56:$F$61)+SUM($F$65:$F$76)+SUM($F$80:$F$83)+SUM($F$87:$F$88)+SUM($F$93:$F$97)+SUM($F$32:$F$41)+$F$47</f>
        <v>45455378</v>
      </c>
      <c r="G110" s="723">
        <f>SUM($G$10:$G$14)+SUM($G$19:$G$28)+SUM($G$50)+$G$53+SUM($G$56:$G$61)+SUM($G$65:$G$76)+SUM($G$80:$G$83)+SUM($G$87:$G$88)+SUM($G$93:$G$97)+SUM($G$32:$G$41)+$G$47</f>
        <v>1140465156</v>
      </c>
      <c r="H110" s="723">
        <f>SUM($H$10:$H$14)+SUM($H$19:$H$28)+SUM($H$50)+$H$53+SUM($H$56:$H$61)+SUM($H$65:$H$76)+SUM($H$80:$H$83)+SUM($H$87:$H$88)+SUM($H$93:$H$97)+SUM($H$32:$H$41)+$H$47</f>
        <v>0</v>
      </c>
      <c r="I110" s="723">
        <f>SUM($I$10:$I$14)+SUM($I$19:$I$28)+SUM($I$50)+$I$53+SUM($I$56:$I$61)+SUM($I$65:$I$76)+SUM($I$80:$I$83)+SUM($I$87:$I$88)+SUM($I$93:$I$97)+SUM($I$32:$I$41)+$I$47</f>
        <v>-165708907</v>
      </c>
      <c r="J110" s="723">
        <f>SUM($J$10:$J$14)+SUM($J$19:$J$28)+SUM($J$50)+$J$53+SUM($J$56:$J$61)+SUM($J$65:$J$76)+SUM($J$80:$J$83)+SUM($J$87:$J$88)+SUM($J$93:$J$97)+SUM($J$32:$J$41)+$J$47</f>
        <v>435323661</v>
      </c>
      <c r="K110" s="723">
        <f>SUM($K$10:$K$14)+SUM($K$19:$K$28)+SUM($K$50)+$K$53+SUM($K$56:$K$61)+SUM($K$65:$K$76)+SUM($K$80:$K$83)+SUM($K$87:$K$88)+SUM($K$93:$K$97)+SUM($K$32:$K$41)+$K$47</f>
        <v>0</v>
      </c>
      <c r="L110" s="723">
        <f>SUM($L$10:$L$14)+SUM($L$19:$L$28)+SUM($L$50)+$L$53+SUM($L$56:$L$61)+SUM($L$65:$L$76)+SUM($L$80:$L$83)+SUM($L$87:$L$88)+SUM($L$93:$L$97)+SUM($L$32:$L$41)+$L$47</f>
        <v>-27545233</v>
      </c>
    </row>
    <row r="111" spans="1:28" s="320" customFormat="1">
      <c r="A111" s="322"/>
      <c r="L111" s="723">
        <f>SUM($D$110:$L$110)</f>
        <v>10922497779</v>
      </c>
    </row>
    <row r="112" spans="1:28" s="320" customFormat="1">
      <c r="A112" s="322"/>
      <c r="J112" s="320" t="s">
        <v>690</v>
      </c>
      <c r="L112" s="723">
        <f>$M$105</f>
        <v>-222842941</v>
      </c>
    </row>
    <row r="113" spans="1:12" s="320" customFormat="1">
      <c r="A113" s="322"/>
      <c r="J113" s="320" t="s">
        <v>691</v>
      </c>
      <c r="L113" s="492">
        <f>$Q$32</f>
        <v>1837405</v>
      </c>
    </row>
    <row r="114" spans="1:12" s="320" customFormat="1">
      <c r="A114" s="322"/>
      <c r="J114" s="320" t="s">
        <v>691</v>
      </c>
      <c r="L114" s="492">
        <f>$R$34</f>
        <v>-3545</v>
      </c>
    </row>
    <row r="115" spans="1:12" s="320" customFormat="1">
      <c r="A115" s="322"/>
      <c r="J115" s="320" t="s">
        <v>521</v>
      </c>
      <c r="L115" s="492">
        <f>SUM($P$65:$P$74)</f>
        <v>88539706</v>
      </c>
    </row>
    <row r="116" spans="1:12" s="320" customFormat="1">
      <c r="A116" s="322"/>
      <c r="J116" s="320" t="s">
        <v>692</v>
      </c>
      <c r="L116" s="492">
        <f>$S$76+$S$77</f>
        <v>15665545341</v>
      </c>
    </row>
    <row r="117" spans="1:12" s="320" customFormat="1">
      <c r="A117" s="322"/>
      <c r="J117" s="320" t="s">
        <v>693</v>
      </c>
      <c r="L117" s="492">
        <f>SUM($Q$65:$Q$73)</f>
        <v>4902178</v>
      </c>
    </row>
    <row r="118" spans="1:12" s="320" customFormat="1">
      <c r="A118" s="322"/>
      <c r="J118" s="320" t="s">
        <v>694</v>
      </c>
      <c r="L118" s="492">
        <f>SUM($R$65:$R$73)</f>
        <v>1816573</v>
      </c>
    </row>
    <row r="119" spans="1:12" s="320" customFormat="1">
      <c r="A119" s="322"/>
      <c r="J119" s="320" t="s">
        <v>695</v>
      </c>
      <c r="L119" s="492">
        <f>SUM($X$65:$X$74)</f>
        <v>5482073591</v>
      </c>
    </row>
    <row r="120" spans="1:12" s="320" customFormat="1">
      <c r="A120" s="322"/>
      <c r="J120" s="320" t="s">
        <v>696</v>
      </c>
      <c r="L120" s="492">
        <f>$S$84</f>
        <v>0</v>
      </c>
    </row>
    <row r="121" spans="1:12" s="320" customFormat="1">
      <c r="A121" s="322"/>
      <c r="J121" s="320" t="s">
        <v>696</v>
      </c>
      <c r="L121" s="492">
        <f>$S$87</f>
        <v>0</v>
      </c>
    </row>
    <row r="122" spans="1:12" s="320" customFormat="1">
      <c r="A122" s="322"/>
      <c r="J122" s="320" t="s">
        <v>697</v>
      </c>
      <c r="L122" s="443">
        <f>VLOOKUP(B2,Names!$B$10:$C$90,2,FALSE)</f>
        <v>25554</v>
      </c>
    </row>
    <row r="123" spans="1:12">
      <c r="L123" s="898">
        <f>SUM($L$111:$L$122)</f>
        <v>31944391641</v>
      </c>
    </row>
  </sheetData>
  <mergeCells count="27">
    <mergeCell ref="Q76:R76"/>
    <mergeCell ref="O60:S60"/>
    <mergeCell ref="W61:W64"/>
    <mergeCell ref="P105:V106"/>
    <mergeCell ref="P82:S82"/>
    <mergeCell ref="P100:V100"/>
    <mergeCell ref="P103:Q103"/>
    <mergeCell ref="R103:S103"/>
    <mergeCell ref="U103:V103"/>
    <mergeCell ref="R61:R64"/>
    <mergeCell ref="S61:S64"/>
    <mergeCell ref="X61:X64"/>
    <mergeCell ref="Y61:Y64"/>
    <mergeCell ref="U61:U64"/>
    <mergeCell ref="W60:Y60"/>
    <mergeCell ref="U19:Y19"/>
    <mergeCell ref="G64:K64"/>
    <mergeCell ref="P10:P11"/>
    <mergeCell ref="O61:O64"/>
    <mergeCell ref="P61:P64"/>
    <mergeCell ref="Q61:Q64"/>
    <mergeCell ref="O19:S19"/>
    <mergeCell ref="B2:F2"/>
    <mergeCell ref="B3:F3"/>
    <mergeCell ref="B4:F4"/>
    <mergeCell ref="B6:M6"/>
    <mergeCell ref="P4:Q4"/>
  </mergeCells>
  <conditionalFormatting sqref="D98:L98">
    <cfRule type="cellIs" dxfId="303" priority="15" stopIfTrue="1" operator="notEqual">
      <formula>#REF!</formula>
    </cfRule>
  </conditionalFormatting>
  <conditionalFormatting sqref="D99:M99">
    <cfRule type="cellIs" dxfId="302" priority="21" stopIfTrue="1" operator="notEqual">
      <formula>#REF!</formula>
    </cfRule>
  </conditionalFormatting>
  <conditionalFormatting sqref="G64:K64">
    <cfRule type="expression" dxfId="301" priority="14">
      <formula>$R$98&lt;&gt;0</formula>
    </cfRule>
  </conditionalFormatting>
  <conditionalFormatting sqref="M15">
    <cfRule type="cellIs" dxfId="300" priority="16" stopIfTrue="1" operator="notEqual">
      <formula>SUM($M$10:$M$14)</formula>
    </cfRule>
  </conditionalFormatting>
  <conditionalFormatting sqref="M62">
    <cfRule type="cellIs" dxfId="299" priority="17" stopIfTrue="1" operator="notEqual">
      <formula>SUM($M$56:$M$61)</formula>
    </cfRule>
  </conditionalFormatting>
  <conditionalFormatting sqref="M77">
    <cfRule type="cellIs" dxfId="298" priority="20" stopIfTrue="1" operator="notEqual">
      <formula>SUM($M$65:$M$76)</formula>
    </cfRule>
  </conditionalFormatting>
  <conditionalFormatting sqref="M84">
    <cfRule type="cellIs" dxfId="297" priority="18" stopIfTrue="1" operator="notEqual">
      <formula>SUM($M$80:$M$83)</formula>
    </cfRule>
  </conditionalFormatting>
  <conditionalFormatting sqref="M89">
    <cfRule type="cellIs" dxfId="296" priority="19" stopIfTrue="1" operator="notEqual">
      <formula>SUM($M$87:$M$88)</formula>
    </cfRule>
  </conditionalFormatting>
  <conditionalFormatting sqref="O12">
    <cfRule type="expression" dxfId="295" priority="11">
      <formula>$Q$12&lt;&gt;$N$12</formula>
    </cfRule>
  </conditionalFormatting>
  <conditionalFormatting sqref="O13">
    <cfRule type="expression" dxfId="294" priority="12">
      <formula>$Q$13&lt;&gt;$N$13</formula>
    </cfRule>
  </conditionalFormatting>
  <conditionalFormatting sqref="O11:P11">
    <cfRule type="expression" dxfId="293" priority="13">
      <formula>#REF!&lt;&gt;$N$11</formula>
    </cfRule>
  </conditionalFormatting>
  <conditionalFormatting sqref="P76">
    <cfRule type="expression" dxfId="292" priority="5">
      <formula>$P$75&lt;&gt;$M$75</formula>
    </cfRule>
  </conditionalFormatting>
  <conditionalFormatting sqref="P94:P101 Q100:R100 U100:V100 S100:T102 U101 R102 S105:U106">
    <cfRule type="cellIs" dxfId="291" priority="6" stopIfTrue="1" operator="notEqual">
      <formula>#REF!</formula>
    </cfRule>
  </conditionalFormatting>
  <conditionalFormatting sqref="Q35">
    <cfRule type="expression" dxfId="290" priority="1">
      <formula>#REF!&lt;&gt;0</formula>
    </cfRule>
  </conditionalFormatting>
  <conditionalFormatting sqref="Q93:Q100 U93:W100 T95:T102 R99:S102 O93:O100 R95:R97 S95:S98 X95:AB102">
    <cfRule type="cellIs" dxfId="289" priority="47" stopIfTrue="1" operator="notEqual">
      <formula>#REF!</formula>
    </cfRule>
  </conditionalFormatting>
  <conditionalFormatting sqref="Q36:R36">
    <cfRule type="expression" dxfId="288" priority="3">
      <formula>#REF!&lt;&gt;#REF!</formula>
    </cfRule>
  </conditionalFormatting>
  <conditionalFormatting sqref="R35">
    <cfRule type="expression" dxfId="287" priority="2">
      <formula>#REF!&lt;&gt;0</formula>
    </cfRule>
  </conditionalFormatting>
  <conditionalFormatting sqref="S84 S87">
    <cfRule type="expression" dxfId="286" priority="7" stopIfTrue="1">
      <formula>$M$91&gt;=0</formula>
    </cfRule>
    <cfRule type="expression" priority="8">
      <formula>$M$91&lt;0</formula>
    </cfRule>
    <cfRule type="expression" dxfId="285" priority="33" stopIfTrue="1">
      <formula>$M$91&gt;=0</formula>
    </cfRule>
    <cfRule type="expression" priority="34">
      <formula>$M$91&lt;0</formula>
    </cfRule>
  </conditionalFormatting>
  <conditionalFormatting sqref="S91">
    <cfRule type="expression" priority="9" stopIfTrue="1">
      <formula>$N$91&lt;0</formula>
    </cfRule>
    <cfRule type="expression" dxfId="284" priority="10">
      <formula>$T$91&lt;&gt;0</formula>
    </cfRule>
    <cfRule type="expression" priority="35" stopIfTrue="1">
      <formula>$N$91&lt;0</formula>
    </cfRule>
    <cfRule type="expression" dxfId="283" priority="36">
      <formula>$T$91&lt;&gt;0</formula>
    </cfRule>
  </conditionalFormatting>
  <conditionalFormatting sqref="Y78">
    <cfRule type="expression" dxfId="282" priority="4">
      <formula>$Y$77&lt;&gt;0</formula>
    </cfRule>
  </conditionalFormatting>
  <hyperlinks>
    <hyperlink ref="O2" location="Index!A1" display="Return to Index" xr:uid="{00000000-0004-0000-28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2.44140625" style="277" customWidth="1"/>
    <col min="11" max="16384" width="9.109375" style="277"/>
  </cols>
  <sheetData>
    <row r="1" spans="1:6">
      <c r="B1" s="742" t="str">
        <f>'MDA Chts'!$A$1</f>
        <v>The University of Texas M.D. Anderson Cancer Center</v>
      </c>
      <c r="D1" s="321" t="s">
        <v>51</v>
      </c>
    </row>
    <row r="2" spans="1:6">
      <c r="B2" s="742" t="str">
        <f>'Smmy Chts'!$A$2</f>
        <v>For the Year Ended August 31, 2022</v>
      </c>
    </row>
    <row r="3" spans="1:6">
      <c r="B3" s="742" t="str">
        <f>'Smmy Chts'!$A$3</f>
        <v>Source: FY 2022 Annual Financial Report</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str">
        <f>IF('MDA FGD'!$S$83="N/A","FN11.  N/A",$B$14&amp;$B$15&amp;$B$16&amp;$B$17&amp;$B$18&amp;$B$19&amp;$B$20&amp;$B$21&amp;$B$22&amp;$B$23&amp;$B$24)</f>
        <v>FN11.  N/A</v>
      </c>
      <c r="E9" s="669"/>
    </row>
    <row r="14" spans="1:6">
      <c r="B14" s="277" t="s">
        <v>698</v>
      </c>
    </row>
    <row r="15" spans="1:6">
      <c r="A15" s="277">
        <v>75</v>
      </c>
      <c r="B15" s="669" t="str">
        <f>TEXT(IF('MDA FGD'!$M$91&lt;0,"N/A",'MDA FGD'!$M$91),"$* #,##0;$* (#,##0)")</f>
        <v>N/A</v>
      </c>
      <c r="C15" s="282"/>
      <c r="F15" s="282"/>
    </row>
    <row r="16" spans="1:6">
      <c r="B16" s="277" t="s">
        <v>699</v>
      </c>
    </row>
    <row r="17" spans="1:6">
      <c r="A17" s="277">
        <v>68</v>
      </c>
      <c r="B17" s="748" t="str">
        <f>IF(ABS('MDA FGD'!$S$84)&gt;=1000000,TEXT('MDA FGD'!$S$84/1000000,"$* #,##0.0;$* (#,##0.0)")&amp;" million",IF(ABS('MDA FGD'!$S$84)&lt;1000,TEXT('MDA FGD'!$S$84,"$* #,##0;$* (#,##0)"),TEXT('MDA FGD'!$S$84/1000,"$* #,##0;$* (#,##0)")&amp;" thousand"))</f>
        <v>$0</v>
      </c>
      <c r="C17" s="748"/>
      <c r="F17" s="748"/>
    </row>
    <row r="18" spans="1:6">
      <c r="B18" s="277" t="s">
        <v>700</v>
      </c>
    </row>
    <row r="19" spans="1:6">
      <c r="A19" s="277">
        <v>69</v>
      </c>
      <c r="B19" s="277" t="e">
        <f>IF(ABS('MDA FGD'!$S$85)&gt;=1000000,TEXT('MDA FGD'!$S$85/1000000,"$* #,##0.0;$* (#,##0.0)")&amp;" million",IF(ABS('MDA FGD'!$S$85)&lt;1000,TEXT('MDA FGD'!$S$85,"$* #,##0;$* (#,##0)"),TEXT('MDA FGD'!$S$85/1000,"$* #,##0;$* (#,##0)")&amp;" thousand"))</f>
        <v>#VALUE!</v>
      </c>
    </row>
    <row r="20" spans="1:6">
      <c r="B20" s="277" t="s">
        <v>701</v>
      </c>
    </row>
    <row r="21" spans="1:6">
      <c r="A21" s="277">
        <v>71</v>
      </c>
      <c r="B21" s="277" t="str">
        <f>IF(ABS('MDA FGD'!$S$87)&gt;=1000000,TEXT('MDA FGD'!$S$87/1000000,"$* #,##0.0;$* (#,##0.0)")&amp;" million",IF(ABS('MDA FGD'!$S$87)&lt;1000,TEXT('MDA FGD'!$S$87,"$* #,##0;$* (#,##0)"),TEXT('MDA FGD'!$S$87/1000,"$* #,##0;$* (#,##0)")&amp;" thousand"))</f>
        <v>$0</v>
      </c>
    </row>
    <row r="22" spans="1:6">
      <c r="B22" s="277" t="s">
        <v>702</v>
      </c>
    </row>
    <row r="23" spans="1:6">
      <c r="A23" s="277">
        <v>73</v>
      </c>
      <c r="B23" s="277" t="e">
        <f>IF(ABS('MDA FGD'!$S$89)&gt;=1000000,TEXT('MDA FGD'!$S$89/1000000,"$* #,##0.0;$* (#,##0.0)")&amp;" million",IF(ABS('MDA FGD'!$S$89)&lt;1000,TEXT('MDA FGD'!$S$89,"$* #,##0;$* (#,##0)"),TEXT('MDA FGD'!$S$89/1000,"$* #,##0;$* (#,##0)")&amp;" thousand"))</f>
        <v>#VALUE!</v>
      </c>
    </row>
    <row r="24" spans="1:6">
      <c r="B24" s="277" t="s">
        <v>703</v>
      </c>
    </row>
  </sheetData>
  <hyperlinks>
    <hyperlink ref="D1" location="Index!A1" display="Return to Index" xr:uid="{00000000-0004-0000-2900-000000000000}"/>
  </hyperlinks>
  <pageMargins left="0.25" right="0.25" top="0.5" bottom="0.25" header="0.5" footer="0.5"/>
  <pageSetup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10.88671875" style="277" customWidth="1"/>
    <col min="3" max="3" width="55" style="277" customWidth="1"/>
    <col min="4" max="4" width="20.109375" style="277" customWidth="1"/>
    <col min="5" max="16384" width="9.109375" style="277"/>
  </cols>
  <sheetData>
    <row r="1" spans="1:5" ht="27.75" customHeight="1">
      <c r="A1" s="989" t="s">
        <v>24</v>
      </c>
      <c r="C1" s="321" t="s">
        <v>51</v>
      </c>
    </row>
    <row r="2" spans="1:5" ht="27.75" customHeight="1">
      <c r="A2" s="990" t="str">
        <f>'Smmy Chts'!$A$2</f>
        <v>For the Year Ended August 31, 2022</v>
      </c>
    </row>
    <row r="3" spans="1:5" ht="27" customHeight="1">
      <c r="A3" s="990" t="str">
        <f>'Smmy Chts'!$A$3</f>
        <v>Source: FY 2022 Annual Financial Report</v>
      </c>
      <c r="C3" s="991" t="s">
        <v>493</v>
      </c>
    </row>
    <row r="4" spans="1:5" ht="12.9" customHeight="1">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'THC Sum'!A9</f>
        <v>State of Texas</v>
      </c>
      <c r="D11" s="994">
        <f>'THC Sum'!B15</f>
        <v>61784935</v>
      </c>
      <c r="E11" s="995">
        <f>ROUND(D11/$D$17,3)</f>
        <v>0.17</v>
      </c>
    </row>
    <row r="12" spans="1:5" ht="12.9" customHeight="1">
      <c r="C12" s="993" t="str">
        <f>'THC Sum'!A17</f>
        <v>Student &amp; Parent</v>
      </c>
      <c r="D12" s="994">
        <f>'THC Sum'!B20</f>
        <v>645312</v>
      </c>
      <c r="E12" s="995">
        <f t="shared" ref="E12:E15" si="0">ROUND(D12/$D$17,3)</f>
        <v>2E-3</v>
      </c>
    </row>
    <row r="13" spans="1:5" ht="12.9" customHeight="1">
      <c r="C13" s="993" t="str">
        <f>'THC Sum'!A22</f>
        <v>Federal Government</v>
      </c>
      <c r="D13" s="994">
        <f>'THC Sum'!B23</f>
        <v>21490496</v>
      </c>
      <c r="E13" s="995">
        <f t="shared" si="0"/>
        <v>5.8999999999999997E-2</v>
      </c>
    </row>
    <row r="14" spans="1:5" ht="12.9" customHeight="1">
      <c r="C14" s="993" t="str">
        <f>'THC Sum'!A31</f>
        <v>Institutional Resources</v>
      </c>
      <c r="D14" s="994">
        <f>'THC Sum'!B38</f>
        <v>105500653</v>
      </c>
      <c r="E14" s="995">
        <f t="shared" si="0"/>
        <v>0.28999999999999998</v>
      </c>
    </row>
    <row r="15" spans="1:5" ht="12.9" customHeight="1">
      <c r="C15" s="996" t="s">
        <v>497</v>
      </c>
      <c r="D15" s="994">
        <f>'THC Sum'!B29+'THC Sum'!B26</f>
        <v>173802746</v>
      </c>
      <c r="E15" s="995">
        <f t="shared" si="0"/>
        <v>0.47799999999999998</v>
      </c>
    </row>
    <row r="16" spans="1:5" ht="12.9" customHeight="1">
      <c r="C16" s="991"/>
      <c r="D16" s="992"/>
    </row>
    <row r="17" spans="3:5" ht="12.9" customHeight="1">
      <c r="C17" s="997" t="s">
        <v>201</v>
      </c>
      <c r="D17" s="998">
        <f>SUM(D11:D16)</f>
        <v>363224142</v>
      </c>
      <c r="E17" s="999">
        <f>SUM(E11:E15)</f>
        <v>0.999</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$363,224,142</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2.9" customHeight="1">
      <c r="C53" s="993" t="s">
        <v>101</v>
      </c>
      <c r="D53" s="994">
        <f>'THC Sum'!B10</f>
        <v>55239453</v>
      </c>
      <c r="E53" s="995">
        <f>ROUND(D53/$D$68,3)</f>
        <v>0.152</v>
      </c>
    </row>
    <row r="54" spans="3:5" ht="12.9" customHeight="1">
      <c r="C54" s="993" t="s">
        <v>510</v>
      </c>
      <c r="D54" s="994">
        <f>'THC Sum'!B11</f>
        <v>6545482</v>
      </c>
      <c r="E54" s="995">
        <f t="shared" ref="E54:E67" si="1">ROUND(D54/$D$68,3)</f>
        <v>1.7999999999999999E-2</v>
      </c>
    </row>
    <row r="55" spans="3:5" ht="12.9" customHeight="1">
      <c r="C55" s="1001"/>
      <c r="D55" s="994"/>
      <c r="E55" s="995"/>
    </row>
    <row r="56" spans="3:5" ht="12.9" customHeight="1">
      <c r="C56" s="1001" t="str">
        <f>'THC Sum'!A13</f>
        <v>Higher Education Fund</v>
      </c>
      <c r="D56" s="994">
        <f>'THC Sum'!B13</f>
        <v>0</v>
      </c>
      <c r="E56" s="995">
        <f t="shared" si="1"/>
        <v>0</v>
      </c>
    </row>
    <row r="57" spans="3:5" ht="12.9" customHeight="1">
      <c r="C57" s="1001" t="s">
        <v>511</v>
      </c>
      <c r="D57" s="994">
        <f>'THC Sum'!B14</f>
        <v>0</v>
      </c>
      <c r="E57" s="995">
        <f t="shared" si="1"/>
        <v>0</v>
      </c>
    </row>
    <row r="58" spans="3:5" ht="12.9" customHeight="1">
      <c r="C58" s="993" t="s">
        <v>460</v>
      </c>
      <c r="D58" s="994">
        <f>'THC Sum'!B20</f>
        <v>645312</v>
      </c>
      <c r="E58" s="995">
        <f t="shared" si="1"/>
        <v>2E-3</v>
      </c>
    </row>
    <row r="59" spans="3:5" ht="12.9" customHeight="1">
      <c r="C59" s="993" t="s">
        <v>512</v>
      </c>
      <c r="D59" s="994">
        <f>'THC Sum'!B23</f>
        <v>21490496</v>
      </c>
      <c r="E59" s="995">
        <f t="shared" si="1"/>
        <v>5.8999999999999997E-2</v>
      </c>
    </row>
    <row r="60" spans="3:5" ht="12.9" customHeight="1">
      <c r="C60" s="993" t="s">
        <v>513</v>
      </c>
      <c r="D60" s="994">
        <f>'THC Sum'!B32</f>
        <v>4332367</v>
      </c>
      <c r="E60" s="995">
        <f t="shared" si="1"/>
        <v>1.2E-2</v>
      </c>
    </row>
    <row r="61" spans="3:5" ht="12.9" customHeight="1">
      <c r="C61" s="993" t="s">
        <v>514</v>
      </c>
      <c r="D61" s="994">
        <f>'THC Sum'!B33</f>
        <v>0</v>
      </c>
      <c r="E61" s="995">
        <f t="shared" si="1"/>
        <v>0</v>
      </c>
    </row>
    <row r="62" spans="3:5" ht="12.9" customHeight="1">
      <c r="C62" s="993" t="s">
        <v>515</v>
      </c>
      <c r="D62" s="994">
        <f>'THC Sum'!B34</f>
        <v>76202258</v>
      </c>
      <c r="E62" s="995">
        <f t="shared" si="1"/>
        <v>0.21</v>
      </c>
    </row>
    <row r="63" spans="3:5" ht="12.9" customHeight="1">
      <c r="C63" s="993" t="s">
        <v>516</v>
      </c>
      <c r="D63" s="994">
        <f>'THC Sum'!B35</f>
        <v>7310391</v>
      </c>
      <c r="E63" s="995">
        <f t="shared" si="1"/>
        <v>0.02</v>
      </c>
    </row>
    <row r="64" spans="3:5" ht="12.9" customHeight="1">
      <c r="C64" s="993" t="s">
        <v>176</v>
      </c>
      <c r="D64" s="994">
        <f>'THC Sum'!B36</f>
        <v>136714</v>
      </c>
      <c r="E64" s="995">
        <f t="shared" si="1"/>
        <v>0</v>
      </c>
    </row>
    <row r="65" spans="3:5" ht="12.9" customHeight="1">
      <c r="C65" s="993" t="s">
        <v>517</v>
      </c>
      <c r="D65" s="994">
        <f>'THC Sum'!B37</f>
        <v>17518923</v>
      </c>
      <c r="E65" s="995">
        <f t="shared" si="1"/>
        <v>4.8000000000000001E-2</v>
      </c>
    </row>
    <row r="66" spans="3:5" ht="12.9" customHeight="1">
      <c r="C66" s="993" t="s">
        <v>163</v>
      </c>
      <c r="D66" s="994">
        <f>'THC Sum'!B26</f>
        <v>19660488</v>
      </c>
      <c r="E66" s="995">
        <f t="shared" si="1"/>
        <v>5.3999999999999999E-2</v>
      </c>
    </row>
    <row r="67" spans="3:5" ht="12.9" customHeight="1">
      <c r="C67" s="996" t="s">
        <v>497</v>
      </c>
      <c r="D67" s="994">
        <f>'THC Sum'!B29</f>
        <v>154142258</v>
      </c>
      <c r="E67" s="995">
        <f t="shared" si="1"/>
        <v>0.42399999999999999</v>
      </c>
    </row>
    <row r="68" spans="3:5" ht="12.9" customHeight="1">
      <c r="C68" s="997" t="s">
        <v>201</v>
      </c>
      <c r="D68" s="998">
        <f>SUM(D53:D67)</f>
        <v>363224142</v>
      </c>
      <c r="E68" s="999">
        <f>SUM(E53:E67)</f>
        <v>0.99900000000000011</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$363,224,142</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'THC Sum'!B42</f>
        <v>80102466</v>
      </c>
      <c r="E102" s="995">
        <f>ROUND(D102/$D$115,3)</f>
        <v>0.23100000000000001</v>
      </c>
    </row>
    <row r="103" spans="1:5" ht="12.9" customHeight="1">
      <c r="C103" s="1004" t="s">
        <v>179</v>
      </c>
      <c r="D103" s="994">
        <f>'THC Sum'!B43</f>
        <v>24276371</v>
      </c>
      <c r="E103" s="995">
        <f t="shared" ref="E103:E113" si="2">ROUND(D103/$D$115,3)</f>
        <v>7.0000000000000007E-2</v>
      </c>
    </row>
    <row r="104" spans="1:5" ht="12.9" customHeight="1">
      <c r="C104" s="1004" t="s">
        <v>180</v>
      </c>
      <c r="D104" s="994">
        <f>'THC Sum'!B44</f>
        <v>152558</v>
      </c>
      <c r="E104" s="995">
        <f t="shared" si="2"/>
        <v>0</v>
      </c>
    </row>
    <row r="105" spans="1:5" ht="12.9" customHeight="1">
      <c r="C105" s="1004" t="s">
        <v>181</v>
      </c>
      <c r="D105" s="994">
        <f>'THC Sum'!B46</f>
        <v>2491046</v>
      </c>
      <c r="E105" s="995">
        <f t="shared" si="2"/>
        <v>7.0000000000000001E-3</v>
      </c>
    </row>
    <row r="106" spans="1:5" ht="12.9" customHeight="1">
      <c r="C106" s="1014" t="s">
        <v>182</v>
      </c>
      <c r="D106" s="994">
        <f>'THC Sum'!B47</f>
        <v>460027</v>
      </c>
      <c r="E106" s="995">
        <f t="shared" si="2"/>
        <v>1E-3</v>
      </c>
    </row>
    <row r="107" spans="1:5" ht="12.9" customHeight="1">
      <c r="C107" s="1004" t="s">
        <v>183</v>
      </c>
      <c r="D107" s="994">
        <f>'THC Sum'!B48</f>
        <v>15143920</v>
      </c>
      <c r="E107" s="995">
        <f t="shared" si="2"/>
        <v>4.3999999999999997E-2</v>
      </c>
    </row>
    <row r="108" spans="1:5" ht="12.9" customHeight="1">
      <c r="C108" s="1004" t="s">
        <v>519</v>
      </c>
      <c r="D108" s="994">
        <f>'THC Sum'!B49</f>
        <v>10479079</v>
      </c>
      <c r="E108" s="995">
        <f t="shared" si="2"/>
        <v>0.03</v>
      </c>
    </row>
    <row r="109" spans="1:5" ht="12.9" customHeight="1">
      <c r="C109" s="1004" t="s">
        <v>520</v>
      </c>
      <c r="D109" s="994">
        <f>'THC Sum'!B50</f>
        <v>59947</v>
      </c>
      <c r="E109" s="995">
        <f t="shared" si="2"/>
        <v>0</v>
      </c>
    </row>
    <row r="110" spans="1:5" ht="12.9" customHeight="1">
      <c r="C110" s="1004" t="s">
        <v>186</v>
      </c>
      <c r="D110" s="994">
        <f>'THC Sum'!B51</f>
        <v>168402</v>
      </c>
      <c r="E110" s="995">
        <f t="shared" si="2"/>
        <v>0</v>
      </c>
    </row>
    <row r="111" spans="1:5" ht="12.9" customHeight="1">
      <c r="C111" s="1004" t="s">
        <v>521</v>
      </c>
      <c r="D111" s="994">
        <f>'THC Sum'!B52</f>
        <v>1733562</v>
      </c>
      <c r="E111" s="995">
        <f t="shared" si="2"/>
        <v>5.0000000000000001E-3</v>
      </c>
    </row>
    <row r="112" spans="1:5" ht="12.9" customHeight="1">
      <c r="C112" s="993" t="s">
        <v>522</v>
      </c>
      <c r="D112" s="994">
        <f>'THC Sum'!B53</f>
        <v>57002</v>
      </c>
      <c r="E112" s="995">
        <f t="shared" si="2"/>
        <v>0</v>
      </c>
    </row>
    <row r="113" spans="3:5" ht="12.9" customHeight="1">
      <c r="C113" s="996" t="s">
        <v>523</v>
      </c>
      <c r="D113" s="994">
        <f>'THC Sum'!B45</f>
        <v>211748148</v>
      </c>
      <c r="E113" s="995">
        <f t="shared" si="2"/>
        <v>0.61</v>
      </c>
    </row>
    <row r="114" spans="3:5" ht="12.9" customHeight="1">
      <c r="C114" s="991"/>
      <c r="D114" s="991"/>
      <c r="E114" s="999"/>
    </row>
    <row r="115" spans="3:5" ht="12.9" customHeight="1">
      <c r="C115" s="1005" t="s">
        <v>189</v>
      </c>
      <c r="D115" s="998">
        <f>SUM(D102:D114)</f>
        <v>346872528</v>
      </c>
      <c r="E115" s="999">
        <f>SUM(E102:E113)</f>
        <v>0.998</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$346,872,528</v>
      </c>
    </row>
    <row r="137" spans="1:1" ht="12.9" customHeight="1">
      <c r="A137" s="1136"/>
    </row>
    <row r="138" spans="1:1" ht="12.9" customHeight="1"/>
    <row r="139" spans="1:1" ht="12.9" customHeight="1">
      <c r="A139" s="1006" t="s">
        <v>524</v>
      </c>
    </row>
    <row r="140" spans="1:1" ht="12.9"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C101:D101"/>
    <mergeCell ref="A136:A137"/>
    <mergeCell ref="C9:D9"/>
    <mergeCell ref="A47:A48"/>
    <mergeCell ref="A92:A93"/>
    <mergeCell ref="C100:D100"/>
  </mergeCells>
  <hyperlinks>
    <hyperlink ref="C1" location="Index!A1" display="Return to Index" xr:uid="{00000000-0004-0000-2A00-000000000000}"/>
  </hyperlinks>
  <printOptions horizontalCentered="1"/>
  <pageMargins left="0.5" right="0.5" top="0.25" bottom="0.25" header="0.25" footer="0.25"/>
  <pageSetup scale="41"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ransitionEvaluation="1" transitionEntry="1">
    <tabColor indexed="13"/>
  </sheetPr>
  <dimension ref="A1:AD83"/>
  <sheetViews>
    <sheetView showGridLines="0" zoomScale="85" zoomScaleNormal="85" zoomScaleSheetLayoutView="100"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2.109375" style="277" customWidth="1"/>
    <col min="16" max="16384" width="9.109375" style="277"/>
  </cols>
  <sheetData>
    <row r="1" spans="1:15" ht="16.8" thickTop="1" thickBot="1">
      <c r="A1" s="899" t="str">
        <f>'THC Chts'!$A$1</f>
        <v>The University of Texas Health Science Center at Tyler</v>
      </c>
      <c r="B1" s="754"/>
      <c r="C1" s="754"/>
      <c r="D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1007">
        <f>VLOOKUP(A1,NamesLU,2,FALSE)</f>
        <v>42439</v>
      </c>
      <c r="J2" s="901"/>
      <c r="K2" s="901"/>
      <c r="L2" s="901"/>
      <c r="M2" s="901"/>
      <c r="O2" s="320"/>
    </row>
    <row r="3" spans="1:15" ht="15.75" customHeight="1">
      <c r="A3" s="900" t="str">
        <f>'Smmy Chts'!$A$3</f>
        <v>Source: FY 2022 Annual Financial Report</v>
      </c>
      <c r="B3" s="754"/>
      <c r="C3" s="754"/>
      <c r="O3" s="320"/>
    </row>
    <row r="4" spans="1:15" ht="13.5" customHeight="1">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1011"/>
      <c r="C6" s="427">
        <f>VLOOKUP($G$2,FTSELU,10,FALSE)</f>
        <v>80.5</v>
      </c>
      <c r="J6" s="910"/>
      <c r="O6" s="320"/>
    </row>
    <row r="7" spans="1:15">
      <c r="B7" s="909"/>
      <c r="C7" s="909"/>
      <c r="I7" s="446" t="s">
        <v>533</v>
      </c>
      <c r="J7" s="911"/>
      <c r="O7" s="320"/>
    </row>
    <row r="8" spans="1:15">
      <c r="A8" s="912" t="s">
        <v>151</v>
      </c>
      <c r="B8" s="912"/>
      <c r="C8" s="913"/>
      <c r="I8" s="914">
        <f>VLOOKUP($G$2,FTSELU,11,FALSE)</f>
        <v>235.1</v>
      </c>
      <c r="J8" s="910"/>
      <c r="O8" s="320"/>
    </row>
    <row r="9" spans="1:15" ht="12.75" customHeight="1" thickBot="1">
      <c r="A9" s="279" t="s">
        <v>152</v>
      </c>
      <c r="B9" s="915"/>
      <c r="C9" s="915"/>
      <c r="J9" s="910"/>
      <c r="O9" s="320"/>
    </row>
    <row r="10" spans="1:15" ht="12.75" customHeight="1" thickTop="1">
      <c r="A10" s="277" t="s">
        <v>535</v>
      </c>
      <c r="B10" s="501">
        <f>'THC FGD'!M10</f>
        <v>55239453</v>
      </c>
      <c r="C10" s="492" t="s">
        <v>534</v>
      </c>
      <c r="D10" s="492">
        <f>'THC FGD'!F10</f>
        <v>0</v>
      </c>
      <c r="E10" s="492"/>
      <c r="F10" s="916">
        <f>B10-(SUM(D10:E10))</f>
        <v>55239453</v>
      </c>
      <c r="G10" s="917" t="s">
        <v>101</v>
      </c>
      <c r="H10" s="918"/>
      <c r="I10" s="919" t="s">
        <v>536</v>
      </c>
      <c r="J10" s="920" t="s">
        <v>283</v>
      </c>
      <c r="O10" s="320"/>
    </row>
    <row r="11" spans="1:15" ht="12.75" customHeight="1" thickBot="1">
      <c r="A11" s="277" t="s">
        <v>134</v>
      </c>
      <c r="B11" s="669">
        <f>'THC FGD'!M11</f>
        <v>6545482</v>
      </c>
      <c r="C11" s="501"/>
      <c r="D11" s="921">
        <f>'THC FGD'!F11</f>
        <v>0</v>
      </c>
      <c r="E11" s="754"/>
      <c r="F11" s="922">
        <f t="shared" ref="F11:F14" si="0">B11-(SUM(D11:E11))</f>
        <v>6545482</v>
      </c>
      <c r="G11" s="923">
        <f>SUM(F10:F11)</f>
        <v>61784935</v>
      </c>
      <c r="H11" s="924"/>
      <c r="I11" s="1012" t="s">
        <v>283</v>
      </c>
      <c r="J11" s="926" t="s">
        <v>283</v>
      </c>
      <c r="O11" s="320"/>
    </row>
    <row r="12" spans="1:15" ht="12.75" hidden="1" customHeight="1" thickTop="1" thickBot="1">
      <c r="A12" s="277" t="s">
        <v>537</v>
      </c>
      <c r="B12" s="669"/>
      <c r="C12" s="501"/>
      <c r="D12" s="921"/>
      <c r="E12" s="754"/>
      <c r="F12" s="927"/>
      <c r="J12" s="926"/>
      <c r="O12" s="928"/>
    </row>
    <row r="13" spans="1:15" ht="12.75" customHeight="1" thickTop="1">
      <c r="A13" s="277" t="s">
        <v>468</v>
      </c>
      <c r="B13" s="669">
        <f>'THC FGD'!M13</f>
        <v>0</v>
      </c>
      <c r="C13" s="501"/>
      <c r="D13" s="921">
        <f>'THC FGD'!F13</f>
        <v>0</v>
      </c>
      <c r="E13" s="754"/>
      <c r="F13" s="929">
        <f t="shared" si="0"/>
        <v>0</v>
      </c>
      <c r="G13" s="930" t="s">
        <v>102</v>
      </c>
      <c r="H13" s="931"/>
      <c r="I13" s="417" t="s">
        <v>538</v>
      </c>
      <c r="J13" s="926" t="s">
        <v>283</v>
      </c>
      <c r="O13" s="320"/>
    </row>
    <row r="14" spans="1:15" ht="12.75" customHeight="1" thickBot="1">
      <c r="A14" s="277" t="s">
        <v>135</v>
      </c>
      <c r="B14" s="669">
        <f>'THC FGD'!M14</f>
        <v>0</v>
      </c>
      <c r="C14" s="501"/>
      <c r="D14" s="921">
        <f>'THC FGD'!F14</f>
        <v>0</v>
      </c>
      <c r="E14" s="754"/>
      <c r="F14" s="927">
        <f t="shared" si="0"/>
        <v>0</v>
      </c>
      <c r="G14" s="932">
        <f>SUM(F13:F14)</f>
        <v>0</v>
      </c>
      <c r="H14" s="933"/>
      <c r="I14" s="1012" t="s">
        <v>283</v>
      </c>
      <c r="J14" s="935" t="s">
        <v>283</v>
      </c>
      <c r="O14" s="320"/>
    </row>
    <row r="15" spans="1:15" ht="12.75" customHeight="1" thickTop="1">
      <c r="A15" s="936" t="s">
        <v>155</v>
      </c>
      <c r="B15" s="937">
        <f>SUM(B10:B14)</f>
        <v>61784935</v>
      </c>
      <c r="C15" s="937"/>
      <c r="D15" s="937">
        <f>SUM(D10:D14)</f>
        <v>0</v>
      </c>
      <c r="E15" s="937">
        <f>SUM(E10:E14)</f>
        <v>0</v>
      </c>
      <c r="F15" s="938">
        <f>SUM(F10:F14)</f>
        <v>61784935</v>
      </c>
      <c r="I15" s="345"/>
      <c r="J15" s="939" t="s">
        <v>283</v>
      </c>
      <c r="O15" s="320"/>
    </row>
    <row r="16" spans="1:15">
      <c r="C16" s="277"/>
      <c r="J16" s="910"/>
      <c r="O16" s="320"/>
    </row>
    <row r="17" spans="1:15" ht="12.75" customHeight="1">
      <c r="A17" s="279" t="s">
        <v>161</v>
      </c>
      <c r="C17" s="277"/>
      <c r="J17" s="910"/>
      <c r="O17" s="320"/>
    </row>
    <row r="18" spans="1:15">
      <c r="A18" s="277" t="s">
        <v>165</v>
      </c>
      <c r="B18" s="501">
        <f>'THC FGD'!M29</f>
        <v>548210</v>
      </c>
      <c r="C18" s="501"/>
      <c r="D18" s="492">
        <f>'THC FGD'!$F$29</f>
        <v>0</v>
      </c>
      <c r="E18" s="492"/>
      <c r="F18" s="492">
        <f t="shared" ref="F18:F19" si="1">B18-(SUM(D18:E18))</f>
        <v>548210</v>
      </c>
      <c r="J18" s="920" t="s">
        <v>283</v>
      </c>
      <c r="O18" s="320"/>
    </row>
    <row r="19" spans="1:15" ht="13.8" thickBot="1">
      <c r="A19" s="277" t="s">
        <v>166</v>
      </c>
      <c r="B19" s="669">
        <f>'THC FGD'!M42</f>
        <v>97102</v>
      </c>
      <c r="C19" s="501"/>
      <c r="D19" s="754">
        <f>'THC FGD'!$F$42</f>
        <v>0</v>
      </c>
      <c r="E19" s="754"/>
      <c r="F19" s="754">
        <f t="shared" si="1"/>
        <v>97102</v>
      </c>
      <c r="J19" s="926" t="s">
        <v>283</v>
      </c>
      <c r="O19" s="320"/>
    </row>
    <row r="20" spans="1:15" ht="14.4" thickTop="1" thickBot="1">
      <c r="A20" s="936" t="s">
        <v>167</v>
      </c>
      <c r="B20" s="937">
        <f>SUM(B18:B19)</f>
        <v>645312</v>
      </c>
      <c r="C20" s="937"/>
      <c r="D20" s="798">
        <f>SUM(D18:D19)</f>
        <v>0</v>
      </c>
      <c r="E20" s="940">
        <f>SUM(E18:E19)</f>
        <v>0</v>
      </c>
      <c r="F20" s="941">
        <f>SUM(F18:F19)</f>
        <v>645312</v>
      </c>
      <c r="G20" s="942" t="s">
        <v>539</v>
      </c>
      <c r="H20" s="943"/>
      <c r="J20" s="944" t="s">
        <v>283</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'THC FGD'!M47</f>
        <v>21490496</v>
      </c>
      <c r="C23" s="1013"/>
      <c r="D23" s="798">
        <f>'THC FGD'!F47</f>
        <v>0</v>
      </c>
      <c r="E23" s="940"/>
      <c r="F23" s="941">
        <f>B23-(SUM(D23:E23))</f>
        <v>21490496</v>
      </c>
      <c r="G23" s="946" t="s">
        <v>540</v>
      </c>
      <c r="H23" s="943"/>
      <c r="J23" s="947" t="s">
        <v>283</v>
      </c>
      <c r="O23" s="320"/>
    </row>
    <row r="24" spans="1:15" ht="13.8" thickTop="1">
      <c r="C24" s="277"/>
      <c r="J24" s="910"/>
      <c r="O24" s="320"/>
    </row>
    <row r="25" spans="1:15">
      <c r="A25" s="279" t="s">
        <v>163</v>
      </c>
      <c r="C25" s="277"/>
      <c r="D25" s="754"/>
      <c r="J25" s="910"/>
      <c r="O25" s="320"/>
    </row>
    <row r="26" spans="1:15">
      <c r="A26" s="936" t="s">
        <v>200</v>
      </c>
      <c r="B26" s="937">
        <f>'THC FGD'!M50</f>
        <v>19660488</v>
      </c>
      <c r="C26" s="1013"/>
      <c r="D26" s="937">
        <f>'THC FGD'!F50</f>
        <v>0</v>
      </c>
      <c r="E26" s="937">
        <f>B26-D26</f>
        <v>19660488</v>
      </c>
      <c r="F26" s="937">
        <f t="shared" ref="F26" si="2">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'THC FGD'!M53</f>
        <v>154142258</v>
      </c>
      <c r="C29" s="1013"/>
      <c r="D29" s="937">
        <f>'THC FGD'!F53</f>
        <v>0</v>
      </c>
      <c r="E29" s="937">
        <f>B29-D29</f>
        <v>154142258</v>
      </c>
      <c r="F29" s="937">
        <f t="shared" ref="F29" si="3">B29-(SUM(D29:E29))</f>
        <v>0</v>
      </c>
      <c r="J29" s="926"/>
      <c r="O29" s="320"/>
    </row>
    <row r="30" spans="1:15">
      <c r="C30" s="277"/>
      <c r="E30" s="754"/>
      <c r="F30" s="754"/>
      <c r="J30" s="926"/>
      <c r="O30" s="320"/>
    </row>
    <row r="31" spans="1:15">
      <c r="A31" s="279" t="s">
        <v>171</v>
      </c>
      <c r="C31" s="277"/>
      <c r="E31" s="754"/>
      <c r="F31" s="754"/>
      <c r="G31" s="400"/>
      <c r="H31" s="400"/>
      <c r="I31" s="400"/>
      <c r="J31" s="926"/>
      <c r="O31" s="320"/>
    </row>
    <row r="32" spans="1:15">
      <c r="A32" s="277" t="s">
        <v>172</v>
      </c>
      <c r="B32" s="501">
        <f>'THC FGD'!M56</f>
        <v>4332367</v>
      </c>
      <c r="C32" s="501"/>
      <c r="D32" s="492">
        <f>'THC FGD'!F56</f>
        <v>0</v>
      </c>
      <c r="E32" s="492"/>
      <c r="F32" s="492">
        <f t="shared" ref="F32:F37" si="4">B32-(SUM(D32:E32))</f>
        <v>4332367</v>
      </c>
      <c r="J32" s="920" t="s">
        <v>283</v>
      </c>
      <c r="O32" s="320"/>
    </row>
    <row r="33" spans="1:30">
      <c r="A33" s="277" t="s">
        <v>173</v>
      </c>
      <c r="B33" s="669">
        <f>'THC FGD'!M57</f>
        <v>0</v>
      </c>
      <c r="C33" s="501"/>
      <c r="D33" s="921">
        <f>'THC FGD'!F57</f>
        <v>0</v>
      </c>
      <c r="E33" s="754"/>
      <c r="F33" s="754">
        <f t="shared" si="4"/>
        <v>0</v>
      </c>
      <c r="J33" s="926" t="s">
        <v>283</v>
      </c>
      <c r="O33" s="320"/>
    </row>
    <row r="34" spans="1:30" ht="13.8" thickBot="1">
      <c r="A34" s="277" t="s">
        <v>174</v>
      </c>
      <c r="B34" s="669">
        <f>'THC FGD'!M58</f>
        <v>76202258</v>
      </c>
      <c r="C34" s="501"/>
      <c r="D34" s="921">
        <f>'THC FGD'!F58</f>
        <v>0</v>
      </c>
      <c r="E34" s="754"/>
      <c r="F34" s="754">
        <f t="shared" si="4"/>
        <v>76202258</v>
      </c>
      <c r="J34" s="926" t="s">
        <v>283</v>
      </c>
      <c r="O34" s="320"/>
    </row>
    <row r="35" spans="1:30" ht="13.8" thickBot="1">
      <c r="A35" s="277" t="s">
        <v>175</v>
      </c>
      <c r="B35" s="669">
        <f>'THC FGD'!M59</f>
        <v>7310391</v>
      </c>
      <c r="C35" s="501"/>
      <c r="D35" s="921">
        <f>'THC FGD'!F59</f>
        <v>0</v>
      </c>
      <c r="E35" s="754"/>
      <c r="F35" s="754">
        <f t="shared" si="4"/>
        <v>7310391</v>
      </c>
      <c r="J35" s="926" t="s">
        <v>283</v>
      </c>
      <c r="K35" s="1157"/>
      <c r="L35" s="1140"/>
      <c r="M35" s="1140"/>
      <c r="N35" s="1140"/>
      <c r="O35" s="1141"/>
    </row>
    <row r="36" spans="1:30" ht="13.8" thickBot="1">
      <c r="A36" s="277" t="s">
        <v>471</v>
      </c>
      <c r="B36" s="669">
        <f>'THC FGD'!M60</f>
        <v>136714</v>
      </c>
      <c r="C36" s="501"/>
      <c r="D36" s="921">
        <f>'THC FGD'!F60</f>
        <v>136714</v>
      </c>
      <c r="E36" s="754"/>
      <c r="F36" s="754">
        <f t="shared" si="4"/>
        <v>0</v>
      </c>
      <c r="J36" s="926" t="s">
        <v>283</v>
      </c>
      <c r="K36" s="1157" t="s">
        <v>268</v>
      </c>
      <c r="L36" s="1140"/>
      <c r="M36" s="1140"/>
      <c r="N36" s="1140"/>
      <c r="O36" s="1141"/>
    </row>
    <row r="37" spans="1:30" ht="13.5" customHeight="1" thickBot="1">
      <c r="A37" s="538" t="s">
        <v>177</v>
      </c>
      <c r="B37" s="669">
        <f>'THC FGD'!M61</f>
        <v>17518923</v>
      </c>
      <c r="C37" s="501"/>
      <c r="D37" s="921">
        <f>'THC FGD'!F61</f>
        <v>0</v>
      </c>
      <c r="E37" s="754"/>
      <c r="F37" s="754">
        <f t="shared" si="4"/>
        <v>17518923</v>
      </c>
      <c r="G37" s="400"/>
      <c r="H37" s="400"/>
      <c r="I37" s="400"/>
      <c r="J37" s="926" t="s">
        <v>283</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105500653</v>
      </c>
      <c r="C38" s="937"/>
      <c r="D38" s="949">
        <f>SUM(D32:D37)</f>
        <v>136714</v>
      </c>
      <c r="E38" s="949">
        <f>SUM(E32:E37)</f>
        <v>0</v>
      </c>
      <c r="F38" s="950">
        <f>SUM(F32:F37)</f>
        <v>105363939</v>
      </c>
      <c r="G38" s="1154" t="s">
        <v>171</v>
      </c>
      <c r="H38" s="1155"/>
      <c r="I38" s="951" t="s">
        <v>542</v>
      </c>
      <c r="J38" s="952" t="s">
        <v>283</v>
      </c>
      <c r="K38" s="1159"/>
      <c r="L38" s="1159"/>
      <c r="M38" s="1159"/>
      <c r="N38" s="1159" t="s">
        <v>543</v>
      </c>
      <c r="O38" s="1159" t="s">
        <v>280</v>
      </c>
    </row>
    <row r="39" spans="1:30" ht="13.8" thickTop="1">
      <c r="A39" s="953" t="s">
        <v>201</v>
      </c>
      <c r="B39" s="954">
        <f>B15+B20+B23+B26+B29+B38</f>
        <v>363224142</v>
      </c>
      <c r="C39" s="955"/>
      <c r="D39" s="954">
        <f>D15+D20+D23+D26+D29+D38</f>
        <v>136714</v>
      </c>
      <c r="E39" s="954">
        <f>E15+E20+E23+E26+E29+E38</f>
        <v>173802746</v>
      </c>
      <c r="F39" s="956">
        <f>F38+F23+F20+F15</f>
        <v>189284682</v>
      </c>
      <c r="G39" s="1156" t="s">
        <v>271</v>
      </c>
      <c r="H39" s="1156"/>
      <c r="I39" s="1012" t="s">
        <v>283</v>
      </c>
      <c r="J39" s="958" t="s">
        <v>283</v>
      </c>
      <c r="K39" s="1159"/>
      <c r="L39" s="1159"/>
      <c r="M39" s="1159"/>
      <c r="N39" s="1159"/>
      <c r="O39" s="1159"/>
    </row>
    <row r="40" spans="1:30" ht="13.8" thickBot="1">
      <c r="C40" s="277"/>
      <c r="F40" s="320" t="s">
        <v>544</v>
      </c>
      <c r="G40" s="959">
        <f>G14*-1</f>
        <v>0</v>
      </c>
      <c r="I40" s="951" t="s">
        <v>545</v>
      </c>
      <c r="J40" s="960"/>
      <c r="K40" s="1160"/>
      <c r="L40" s="1160"/>
      <c r="M40" s="1160"/>
      <c r="N40" s="1160"/>
      <c r="O40" s="1160"/>
    </row>
    <row r="41" spans="1:30" ht="14.4" thickTop="1" thickBot="1">
      <c r="A41" s="912" t="s">
        <v>178</v>
      </c>
      <c r="B41" s="912"/>
      <c r="C41" s="912"/>
      <c r="D41" s="344"/>
      <c r="E41" s="344"/>
      <c r="F41" s="961" t="s">
        <v>546</v>
      </c>
      <c r="G41" s="962">
        <f>F39+G40</f>
        <v>189284682</v>
      </c>
      <c r="I41" s="1012" t="s">
        <v>283</v>
      </c>
      <c r="K41" s="964"/>
      <c r="L41" s="964"/>
      <c r="M41" s="964"/>
      <c r="N41" s="964"/>
      <c r="O41" s="964"/>
    </row>
    <row r="42" spans="1:30" ht="13.8" thickTop="1">
      <c r="A42" s="490" t="s">
        <v>92</v>
      </c>
      <c r="B42" s="501">
        <f>'THC FGD'!M65</f>
        <v>80102466</v>
      </c>
      <c r="C42" s="501"/>
      <c r="D42" s="492">
        <f>'THC FGD'!F65</f>
        <v>0</v>
      </c>
      <c r="E42" s="492"/>
      <c r="F42" s="492">
        <f t="shared" ref="F42" si="5">B42-(SUM(D42:E42))</f>
        <v>80102466</v>
      </c>
      <c r="H42" s="965" t="s">
        <v>547</v>
      </c>
      <c r="I42" s="966">
        <f>ROUND(F42/$C$6,0)</f>
        <v>995062</v>
      </c>
      <c r="J42" s="320" t="s">
        <v>548</v>
      </c>
      <c r="K42" s="492">
        <f>F42</f>
        <v>80102466</v>
      </c>
      <c r="L42" s="492">
        <f>K42</f>
        <v>80102466</v>
      </c>
      <c r="M42" s="492"/>
      <c r="N42" s="492"/>
      <c r="O42" s="492"/>
    </row>
    <row r="43" spans="1:30">
      <c r="A43" s="490" t="s">
        <v>179</v>
      </c>
      <c r="B43" s="669">
        <f>'THC FGD'!M66</f>
        <v>24276371</v>
      </c>
      <c r="C43" s="501"/>
      <c r="D43" s="723">
        <f>'THC FGD'!F66</f>
        <v>0</v>
      </c>
      <c r="E43" s="754"/>
      <c r="F43" s="754">
        <f t="shared" ref="F43:F44" si="6">B43-(SUM(D43:E43))</f>
        <v>24276371</v>
      </c>
      <c r="J43" s="320" t="s">
        <v>549</v>
      </c>
      <c r="K43" s="723">
        <f>F43</f>
        <v>24276371</v>
      </c>
      <c r="L43" s="723">
        <f>K43</f>
        <v>24276371</v>
      </c>
      <c r="M43" s="723"/>
      <c r="N43" s="723"/>
      <c r="O43" s="723"/>
    </row>
    <row r="44" spans="1:30">
      <c r="A44" s="490" t="s">
        <v>180</v>
      </c>
      <c r="B44" s="669">
        <f>'THC FGD'!M67</f>
        <v>152558</v>
      </c>
      <c r="C44" s="501"/>
      <c r="D44" s="723">
        <f>'THC FGD'!F67</f>
        <v>0</v>
      </c>
      <c r="E44" s="921">
        <f>B44-D44</f>
        <v>152558</v>
      </c>
      <c r="F44" s="754">
        <f t="shared" si="6"/>
        <v>0</v>
      </c>
      <c r="J44" s="320" t="s">
        <v>550</v>
      </c>
      <c r="K44" s="967"/>
      <c r="L44" s="769"/>
      <c r="M44" s="769" t="s">
        <v>551</v>
      </c>
      <c r="N44" s="769"/>
      <c r="O44" s="968"/>
    </row>
    <row r="45" spans="1:30">
      <c r="A45" s="300" t="s">
        <v>164</v>
      </c>
      <c r="B45" s="669">
        <f>'THC FGD'!M68</f>
        <v>211748148</v>
      </c>
      <c r="C45" s="501"/>
      <c r="D45" s="723">
        <f>'THC FGD'!F68</f>
        <v>0</v>
      </c>
      <c r="E45" s="921">
        <f>B45-D45</f>
        <v>211748148</v>
      </c>
      <c r="F45" s="754">
        <f t="shared" ref="F45" si="7">B45-(SUM(D45:E45))</f>
        <v>0</v>
      </c>
      <c r="G45" s="492"/>
      <c r="J45" s="320" t="s">
        <v>552</v>
      </c>
      <c r="K45" s="1161" t="s">
        <v>551</v>
      </c>
      <c r="L45" s="1162"/>
      <c r="M45" s="1162"/>
      <c r="N45" s="1162"/>
      <c r="O45" s="1163"/>
    </row>
    <row r="46" spans="1:30">
      <c r="A46" s="490" t="s">
        <v>181</v>
      </c>
      <c r="B46" s="669">
        <f>'THC FGD'!M69</f>
        <v>2491046</v>
      </c>
      <c r="C46" s="501"/>
      <c r="D46" s="723">
        <f>'THC FGD'!F69</f>
        <v>0</v>
      </c>
      <c r="E46" s="754"/>
      <c r="F46" s="754">
        <f t="shared" ref="F46:F53" si="8">B46-(SUM(D46:E46))</f>
        <v>2491046</v>
      </c>
      <c r="H46" s="965" t="s">
        <v>553</v>
      </c>
      <c r="I46" s="966">
        <f>ROUND(F46/$C$6,0)</f>
        <v>30945</v>
      </c>
      <c r="J46" s="320" t="s">
        <v>554</v>
      </c>
      <c r="K46" s="723">
        <f t="shared" ref="K46:K50" si="9">F46</f>
        <v>2491046</v>
      </c>
      <c r="L46" s="723">
        <f>K46</f>
        <v>2491046</v>
      </c>
      <c r="M46" s="723"/>
      <c r="N46" s="723"/>
      <c r="O46" s="723"/>
    </row>
    <row r="47" spans="1:30">
      <c r="A47" s="490" t="s">
        <v>182</v>
      </c>
      <c r="B47" s="669">
        <f>'THC FGD'!M70</f>
        <v>460027</v>
      </c>
      <c r="C47" s="501"/>
      <c r="D47" s="723">
        <f>'THC FGD'!F70</f>
        <v>0</v>
      </c>
      <c r="E47" s="754"/>
      <c r="F47" s="754">
        <f t="shared" si="8"/>
        <v>460027</v>
      </c>
      <c r="J47" s="320" t="s">
        <v>555</v>
      </c>
      <c r="K47" s="723">
        <f t="shared" si="9"/>
        <v>460027</v>
      </c>
      <c r="L47" s="723"/>
      <c r="M47" s="723">
        <f>K47</f>
        <v>460027</v>
      </c>
      <c r="N47" s="723"/>
      <c r="O47" s="723"/>
    </row>
    <row r="48" spans="1:30">
      <c r="A48" s="490" t="s">
        <v>183</v>
      </c>
      <c r="B48" s="669">
        <f>'THC FGD'!M71</f>
        <v>15143920</v>
      </c>
      <c r="C48" s="501"/>
      <c r="D48" s="723">
        <f>'THC FGD'!F71</f>
        <v>0</v>
      </c>
      <c r="E48" s="754"/>
      <c r="F48" s="754">
        <f t="shared" si="8"/>
        <v>15143920</v>
      </c>
      <c r="H48" s="965" t="s">
        <v>556</v>
      </c>
      <c r="I48" s="966">
        <f>ROUND(F48/$C$6,0)</f>
        <v>188123</v>
      </c>
      <c r="J48" s="320" t="s">
        <v>557</v>
      </c>
      <c r="K48" s="723">
        <f t="shared" si="9"/>
        <v>15143920</v>
      </c>
      <c r="L48" s="723"/>
      <c r="M48" s="723"/>
      <c r="N48" s="723">
        <f>K48</f>
        <v>15143920</v>
      </c>
      <c r="O48" s="723"/>
    </row>
    <row r="49" spans="1:30">
      <c r="A49" s="490" t="s">
        <v>184</v>
      </c>
      <c r="B49" s="669">
        <f>'THC FGD'!M72</f>
        <v>10479079</v>
      </c>
      <c r="C49" s="501"/>
      <c r="D49" s="723">
        <f>'THC FGD'!F72</f>
        <v>0</v>
      </c>
      <c r="E49" s="754"/>
      <c r="F49" s="754">
        <f t="shared" si="8"/>
        <v>10479079</v>
      </c>
      <c r="J49" s="320" t="s">
        <v>558</v>
      </c>
      <c r="K49" s="723">
        <f t="shared" si="9"/>
        <v>10479079</v>
      </c>
      <c r="L49" s="723"/>
      <c r="M49" s="723"/>
      <c r="N49" s="723">
        <f>K49</f>
        <v>10479079</v>
      </c>
      <c r="O49" s="723"/>
    </row>
    <row r="50" spans="1:30">
      <c r="A50" s="490" t="s">
        <v>185</v>
      </c>
      <c r="B50" s="669">
        <f>'THC FGD'!M73</f>
        <v>59947</v>
      </c>
      <c r="C50" s="501"/>
      <c r="D50" s="723">
        <f>'THC FGD'!F73</f>
        <v>0</v>
      </c>
      <c r="E50" s="754"/>
      <c r="F50" s="754">
        <f t="shared" si="8"/>
        <v>59947</v>
      </c>
      <c r="J50" s="320" t="s">
        <v>559</v>
      </c>
      <c r="K50" s="723">
        <f t="shared" si="9"/>
        <v>59947</v>
      </c>
      <c r="L50" s="723"/>
      <c r="M50" s="723">
        <f>K50</f>
        <v>59947</v>
      </c>
      <c r="N50" s="723"/>
      <c r="O50" s="723"/>
    </row>
    <row r="51" spans="1:30">
      <c r="A51" s="490" t="s">
        <v>472</v>
      </c>
      <c r="B51" s="669">
        <f>'THC FGD'!M74</f>
        <v>168402</v>
      </c>
      <c r="C51" s="501"/>
      <c r="D51" s="969">
        <f>B51</f>
        <v>168402</v>
      </c>
      <c r="E51" s="754"/>
      <c r="F51" s="754">
        <f t="shared" si="8"/>
        <v>0</v>
      </c>
      <c r="J51" s="320" t="s">
        <v>560</v>
      </c>
      <c r="K51" s="967"/>
      <c r="L51" s="769"/>
      <c r="M51" s="769" t="s">
        <v>551</v>
      </c>
      <c r="N51" s="769"/>
      <c r="O51" s="968"/>
    </row>
    <row r="52" spans="1:30">
      <c r="A52" s="490" t="s">
        <v>187</v>
      </c>
      <c r="B52" s="669">
        <f>'THC FGD'!M75</f>
        <v>1733562</v>
      </c>
      <c r="C52" s="501"/>
      <c r="D52" s="723">
        <f>'THC FGD'!F75</f>
        <v>0</v>
      </c>
      <c r="E52" s="754"/>
      <c r="F52" s="754">
        <f t="shared" si="8"/>
        <v>1733562</v>
      </c>
      <c r="J52" s="320" t="s">
        <v>561</v>
      </c>
      <c r="K52" s="723">
        <f t="shared" ref="K52:K53" si="10">F52</f>
        <v>1733562</v>
      </c>
      <c r="L52" s="723"/>
      <c r="M52" s="723"/>
      <c r="N52" s="723"/>
      <c r="O52" s="723">
        <f>K52</f>
        <v>1733562</v>
      </c>
    </row>
    <row r="53" spans="1:30" ht="13.8" thickBot="1">
      <c r="A53" s="277" t="s">
        <v>1713</v>
      </c>
      <c r="B53" s="669">
        <f>'THC FGD'!M76</f>
        <v>57002</v>
      </c>
      <c r="C53" s="501"/>
      <c r="D53" s="723">
        <f>'THC FGD'!F76</f>
        <v>0</v>
      </c>
      <c r="E53" s="754"/>
      <c r="F53" s="754">
        <f t="shared" si="8"/>
        <v>57002</v>
      </c>
      <c r="G53" s="400"/>
      <c r="H53" s="965" t="s">
        <v>562</v>
      </c>
      <c r="I53" s="966">
        <f>ROUND(SUM(F43+F47+F49+F50+F52+F53)/$C$6,0)</f>
        <v>460447</v>
      </c>
      <c r="J53" s="400" t="s">
        <v>280</v>
      </c>
      <c r="K53" s="723">
        <f t="shared" si="10"/>
        <v>57002</v>
      </c>
      <c r="L53" s="970"/>
      <c r="M53" s="970"/>
      <c r="N53" s="970"/>
      <c r="O53" s="723">
        <f>K53</f>
        <v>57002</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346872528</v>
      </c>
      <c r="C54" s="972"/>
      <c r="D54" s="972">
        <f>SUM(D42:D53)</f>
        <v>168402</v>
      </c>
      <c r="E54" s="973">
        <f>SUM(E43:E53)</f>
        <v>211900706</v>
      </c>
      <c r="F54" s="974">
        <f>SUM(F42:F53)</f>
        <v>134803420</v>
      </c>
      <c r="G54" s="1174" t="s">
        <v>563</v>
      </c>
      <c r="H54" s="1175"/>
      <c r="I54" s="975" t="s">
        <v>623</v>
      </c>
      <c r="J54" s="400" t="s">
        <v>564</v>
      </c>
      <c r="K54" s="976">
        <f>SUM(K42:K53)</f>
        <v>134803420</v>
      </c>
      <c r="L54" s="976">
        <f t="shared" ref="L54:O54" si="11">SUM(L42:L53)</f>
        <v>106869883</v>
      </c>
      <c r="M54" s="976">
        <f t="shared" si="11"/>
        <v>519974</v>
      </c>
      <c r="N54" s="976">
        <f t="shared" si="11"/>
        <v>25622999</v>
      </c>
      <c r="O54" s="976">
        <f t="shared" si="11"/>
        <v>1790564</v>
      </c>
    </row>
    <row r="55" spans="1:30" ht="14.25" customHeight="1" thickTop="1" thickBot="1">
      <c r="C55" s="277"/>
      <c r="F55" s="931"/>
      <c r="G55" s="1176"/>
      <c r="H55" s="1177"/>
      <c r="I55" s="977">
        <f>ROUND(F54/C6,0)</f>
        <v>1674577</v>
      </c>
      <c r="J55" s="1153" t="s">
        <v>565</v>
      </c>
      <c r="K55" s="970"/>
      <c r="L55" s="970"/>
      <c r="M55" s="970"/>
      <c r="N55" s="970"/>
      <c r="O55" s="970"/>
    </row>
    <row r="56" spans="1:30" ht="16.5" customHeight="1" thickBot="1">
      <c r="A56" s="279" t="s">
        <v>473</v>
      </c>
      <c r="C56" s="277"/>
      <c r="F56" s="978"/>
      <c r="G56" s="1178"/>
      <c r="H56" s="1179"/>
      <c r="I56" s="951" t="s">
        <v>624</v>
      </c>
      <c r="J56" s="1153"/>
      <c r="K56" s="979" t="s">
        <v>283</v>
      </c>
      <c r="L56" s="979" t="s">
        <v>283</v>
      </c>
      <c r="M56" s="979" t="s">
        <v>283</v>
      </c>
      <c r="N56" s="979" t="s">
        <v>283</v>
      </c>
      <c r="O56" s="979" t="s">
        <v>283</v>
      </c>
      <c r="P56" s="333"/>
      <c r="Q56" s="333"/>
      <c r="R56" s="333"/>
      <c r="S56" s="333"/>
      <c r="T56" s="333"/>
      <c r="U56" s="333"/>
      <c r="V56" s="333"/>
      <c r="W56" s="333"/>
      <c r="X56" s="333"/>
      <c r="Y56" s="333"/>
      <c r="Z56" s="333"/>
      <c r="AA56" s="333"/>
      <c r="AB56" s="333"/>
      <c r="AC56" s="333"/>
      <c r="AD56" s="333"/>
    </row>
    <row r="57" spans="1:30" ht="13.8" thickTop="1">
      <c r="A57" s="277" t="s">
        <v>474</v>
      </c>
      <c r="B57" s="669">
        <f>'THC FGD'!M80</f>
        <v>-15885149</v>
      </c>
      <c r="C57" s="501"/>
      <c r="D57" s="492">
        <f>'THC FGD'!F80</f>
        <v>0</v>
      </c>
      <c r="E57" s="492"/>
      <c r="F57" s="980">
        <f t="shared" ref="F57:F60" si="12">B57-(SUM(D57:E57))</f>
        <v>-15885149</v>
      </c>
      <c r="G57" s="930"/>
      <c r="I57" s="981">
        <f>ROUND($F$54/$I$8,0)</f>
        <v>573388</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'THC FGD'!M81</f>
        <v>2095655</v>
      </c>
      <c r="C58" s="501"/>
      <c r="D58" s="982">
        <f>'THC FGD'!F81</f>
        <v>565</v>
      </c>
      <c r="E58" s="915"/>
      <c r="F58" s="754">
        <f t="shared" si="12"/>
        <v>2095090</v>
      </c>
      <c r="K58" s="980"/>
      <c r="L58" s="980"/>
      <c r="M58" s="980"/>
      <c r="N58" s="980"/>
      <c r="O58" s="980"/>
    </row>
    <row r="59" spans="1:30">
      <c r="A59" s="983" t="s">
        <v>567</v>
      </c>
      <c r="B59" s="669">
        <f>'THC FGD'!M82</f>
        <v>11232533</v>
      </c>
      <c r="C59" s="501"/>
      <c r="D59" s="982">
        <f>'THC FGD'!F82</f>
        <v>0</v>
      </c>
      <c r="E59" s="915"/>
      <c r="F59" s="754">
        <f t="shared" si="12"/>
        <v>11232533</v>
      </c>
      <c r="G59" s="400"/>
      <c r="J59" s="400"/>
      <c r="K59" s="400"/>
      <c r="L59" s="400"/>
      <c r="M59" s="400"/>
      <c r="N59" s="400"/>
      <c r="O59" s="400"/>
    </row>
    <row r="60" spans="1:30" ht="12" customHeight="1">
      <c r="A60" s="277" t="s">
        <v>477</v>
      </c>
      <c r="B60" s="669">
        <f>'THC FGD'!M83</f>
        <v>-4381166</v>
      </c>
      <c r="C60" s="501"/>
      <c r="D60" s="982">
        <f>'THC FGD'!F83</f>
        <v>0</v>
      </c>
      <c r="E60" s="915"/>
      <c r="F60" s="754">
        <f t="shared" si="12"/>
        <v>-4381166</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-6938127</v>
      </c>
      <c r="C61" s="937"/>
      <c r="D61" s="937">
        <f>SUM(D57:D60)</f>
        <v>565</v>
      </c>
      <c r="E61" s="937">
        <f>SUM(E57:E60)</f>
        <v>0</v>
      </c>
      <c r="F61" s="984">
        <f>SUM(F57:F60)</f>
        <v>-6938692</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'THC FGD'!M87</f>
        <v>-7654106</v>
      </c>
      <c r="C64" s="501"/>
      <c r="D64" s="492">
        <f>'THC FGD'!F87</f>
        <v>0</v>
      </c>
      <c r="E64" s="492"/>
      <c r="F64" s="492">
        <f t="shared" ref="F64:F65" si="13">B64-(SUM(D64:E64))</f>
        <v>-7654106</v>
      </c>
      <c r="O64" s="320"/>
    </row>
    <row r="65" spans="1:30">
      <c r="A65" s="277" t="s">
        <v>480</v>
      </c>
      <c r="B65" s="669">
        <f>'THC FGD'!M88</f>
        <v>1097241</v>
      </c>
      <c r="C65" s="501"/>
      <c r="D65" s="982">
        <f>'THC FGD'!F88</f>
        <v>0</v>
      </c>
      <c r="E65" s="915"/>
      <c r="F65" s="754">
        <f t="shared" si="13"/>
        <v>1097241</v>
      </c>
      <c r="O65" s="320"/>
      <c r="P65" s="333"/>
      <c r="Q65" s="333"/>
      <c r="R65" s="333"/>
      <c r="S65" s="333"/>
      <c r="T65" s="333"/>
      <c r="U65" s="333"/>
      <c r="V65" s="333"/>
      <c r="W65" s="333"/>
      <c r="X65" s="333"/>
      <c r="Y65" s="333"/>
      <c r="Z65" s="333"/>
      <c r="AA65" s="333"/>
      <c r="AB65" s="333"/>
      <c r="AC65" s="333"/>
      <c r="AD65" s="333"/>
    </row>
    <row r="66" spans="1:30">
      <c r="A66" s="936" t="s">
        <v>155</v>
      </c>
      <c r="B66" s="937">
        <f>SUM(B64:B65)</f>
        <v>-6556865</v>
      </c>
      <c r="C66" s="937"/>
      <c r="D66" s="937">
        <f>SUM(D64:D65)</f>
        <v>0</v>
      </c>
      <c r="E66" s="937">
        <f>SUM(E64:E65)</f>
        <v>0</v>
      </c>
      <c r="F66" s="937">
        <f>SUM(F64:F65)</f>
        <v>-6556865</v>
      </c>
      <c r="O66" s="320"/>
    </row>
    <row r="67" spans="1:30">
      <c r="C67" s="277"/>
      <c r="O67" s="320"/>
    </row>
    <row r="68" spans="1:30" ht="13.8" thickBot="1">
      <c r="A68" s="985" t="s">
        <v>572</v>
      </c>
      <c r="B68" s="590">
        <f>B39-B54+B61+B66</f>
        <v>2856622</v>
      </c>
      <c r="C68" s="590"/>
      <c r="D68" s="590">
        <f>D39-D54+D61+D66</f>
        <v>-31123</v>
      </c>
      <c r="E68" s="590">
        <f>E39-E54+E61+E66</f>
        <v>-38097960</v>
      </c>
      <c r="F68" s="590">
        <f>F39-F54+F61+F66</f>
        <v>40985705</v>
      </c>
      <c r="O68" s="320"/>
    </row>
    <row r="69" spans="1:30" ht="13.8" thickTop="1"/>
    <row r="70" spans="1:30">
      <c r="A70" s="320" t="s">
        <v>707</v>
      </c>
      <c r="D70" s="492"/>
    </row>
    <row r="71" spans="1:30">
      <c r="A71" s="277" t="s">
        <v>7</v>
      </c>
    </row>
    <row r="72" spans="1:30">
      <c r="B72" s="986">
        <f>'THC FGD'!$M$91</f>
        <v>2856622</v>
      </c>
      <c r="C72" s="277"/>
      <c r="D72" s="986">
        <f>'THC FGD'!F91</f>
        <v>-31123</v>
      </c>
      <c r="E72" s="986">
        <f>'THC FGD'!M50</f>
        <v>19660488</v>
      </c>
      <c r="F72" s="277"/>
    </row>
    <row r="73" spans="1:30">
      <c r="B73" s="986"/>
      <c r="C73" s="277"/>
      <c r="D73" s="986">
        <f>'THC FGD'!F74</f>
        <v>168402</v>
      </c>
      <c r="E73" s="986">
        <f>'THC FGD'!M53</f>
        <v>154142258</v>
      </c>
      <c r="F73" s="986"/>
    </row>
    <row r="74" spans="1:30">
      <c r="B74" s="986"/>
      <c r="C74" s="277"/>
      <c r="D74" s="986">
        <f>-'THC FGD'!M74</f>
        <v>-168402</v>
      </c>
      <c r="E74" s="986">
        <f>-'THC FGD'!M68</f>
        <v>-211748148</v>
      </c>
      <c r="F74" s="986"/>
    </row>
    <row r="75" spans="1:30">
      <c r="B75" s="986"/>
      <c r="C75" s="277"/>
      <c r="D75" s="986"/>
      <c r="E75" s="986">
        <f>-'THC FGD'!M67</f>
        <v>-152558</v>
      </c>
      <c r="F75" s="986"/>
    </row>
    <row r="76" spans="1:30" ht="12.75" customHeight="1">
      <c r="B76" s="987"/>
      <c r="C76" s="277"/>
      <c r="D76" s="987"/>
      <c r="E76" s="987">
        <f>-D26</f>
        <v>0</v>
      </c>
      <c r="F76" s="986"/>
    </row>
    <row r="77" spans="1:30" ht="12.75" customHeight="1">
      <c r="B77" s="986">
        <f>SUM(B72:B76)</f>
        <v>2856622</v>
      </c>
      <c r="C77" s="277"/>
      <c r="D77" s="986">
        <f>SUM(D72:D76)</f>
        <v>-31123</v>
      </c>
      <c r="E77" s="986">
        <f>SUM(E72:E76)</f>
        <v>-38097960</v>
      </c>
      <c r="F77" s="986">
        <f>B77-D77-E77</f>
        <v>40985705</v>
      </c>
    </row>
    <row r="78" spans="1:30" ht="12.75" customHeight="1">
      <c r="B78" s="986"/>
      <c r="C78" s="277"/>
      <c r="D78" s="986"/>
      <c r="E78" s="986"/>
      <c r="F78" s="986"/>
    </row>
    <row r="79" spans="1:30" ht="12.75" customHeight="1">
      <c r="B79" s="987"/>
      <c r="C79" s="538"/>
      <c r="D79" s="987"/>
      <c r="E79" s="987"/>
      <c r="F79" s="987"/>
    </row>
    <row r="80" spans="1:30" ht="12.75" customHeight="1">
      <c r="B80" s="986">
        <f>SUM(B77:B79)</f>
        <v>2856622</v>
      </c>
      <c r="C80" s="277"/>
      <c r="D80" s="986">
        <f>SUM(D77:D79)</f>
        <v>-31123</v>
      </c>
      <c r="E80" s="986">
        <f>SUM(E77:E79)</f>
        <v>-38097960</v>
      </c>
      <c r="F80" s="986">
        <f>SUM(F77:F79)</f>
        <v>40985705</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2B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indexed="11"/>
    <pageSetUpPr fitToPage="1"/>
  </sheetPr>
  <dimension ref="A1:AB123"/>
  <sheetViews>
    <sheetView showGridLines="0" zoomScale="75" zoomScaleNormal="75" workbookViewId="0">
      <pane xSplit="2" ySplit="8" topLeftCell="D9"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13.8867187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5.5546875" style="751" customWidth="1"/>
    <col min="13" max="13" width="18.33203125" style="751" customWidth="1"/>
    <col min="14" max="14" width="5.5546875" style="751" customWidth="1"/>
    <col min="15" max="15" width="14.4414062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N1" s="656">
        <v>12</v>
      </c>
      <c r="O1" s="322"/>
      <c r="P1" s="322"/>
      <c r="Q1" s="322"/>
      <c r="R1" s="322"/>
      <c r="S1" s="322"/>
      <c r="T1" s="322"/>
      <c r="U1" s="322"/>
      <c r="V1" s="322"/>
      <c r="W1" s="322"/>
      <c r="X1" s="322"/>
      <c r="Y1" s="322"/>
      <c r="Z1" s="322"/>
      <c r="AA1" s="322"/>
      <c r="AB1" s="322"/>
    </row>
    <row r="2" spans="1:28" ht="21">
      <c r="A2" s="656">
        <v>1</v>
      </c>
      <c r="B2" s="1168" t="str">
        <f>'THC Chts'!$A$1</f>
        <v>The University of Texas Health Science Center at Tyler</v>
      </c>
      <c r="C2" s="1168"/>
      <c r="D2" s="1168"/>
      <c r="E2" s="1168"/>
      <c r="F2" s="1168"/>
      <c r="H2" s="750"/>
      <c r="I2" s="752" t="str">
        <f>IF($B$2&lt;&gt;Input!$H$11,"Name Mismatch","")</f>
        <v/>
      </c>
      <c r="K2" s="750"/>
      <c r="L2" s="750"/>
      <c r="M2" s="672"/>
      <c r="O2" s="321" t="s">
        <v>51</v>
      </c>
      <c r="P2" s="334"/>
    </row>
    <row r="3" spans="1:28" ht="21">
      <c r="A3" s="656">
        <v>2</v>
      </c>
      <c r="B3" s="1168" t="str">
        <f>'Smmy Chts'!$A$2</f>
        <v>For the Year Ended August 31, 2022</v>
      </c>
      <c r="C3" s="1168"/>
      <c r="D3" s="1168"/>
      <c r="E3" s="1168"/>
      <c r="F3" s="1168"/>
      <c r="G3" s="750"/>
      <c r="H3" s="750"/>
      <c r="K3" s="750"/>
      <c r="L3" s="750"/>
      <c r="M3" s="672"/>
      <c r="O3" s="754"/>
    </row>
    <row r="4" spans="1:28" ht="21">
      <c r="A4" s="656">
        <v>3</v>
      </c>
      <c r="B4" s="1168" t="str">
        <f>'Smmy Chts'!$A$3</f>
        <v>Source: FY 2022 Annual Financial Report</v>
      </c>
      <c r="C4" s="1168"/>
      <c r="D4" s="1168"/>
      <c r="E4" s="1168"/>
      <c r="F4" s="1168"/>
      <c r="G4" s="750"/>
      <c r="H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Input!$M$11</f>
        <v>55239453</v>
      </c>
      <c r="E10" s="762">
        <f>Input!$N$11</f>
        <v>0</v>
      </c>
      <c r="F10" s="762">
        <f>Input!$O$11</f>
        <v>0</v>
      </c>
      <c r="G10" s="762">
        <f>Input!$P$11</f>
        <v>0</v>
      </c>
      <c r="H10" s="762">
        <f>Input!$Q$11</f>
        <v>0</v>
      </c>
      <c r="I10" s="762">
        <f>Input!$R$11</f>
        <v>0</v>
      </c>
      <c r="J10" s="762">
        <f>Input!$S$11</f>
        <v>0</v>
      </c>
      <c r="K10" s="762">
        <f>Input!$T$11</f>
        <v>0</v>
      </c>
      <c r="L10" s="762">
        <f>Input!$U$11</f>
        <v>0</v>
      </c>
      <c r="M10" s="723">
        <f t="shared" ref="M10:M15" si="0">D10+E10+F10+G10+H10+I10+J10+K10+L10</f>
        <v>55239453</v>
      </c>
      <c r="O10" s="763"/>
      <c r="P10" s="1200" t="s">
        <v>627</v>
      </c>
      <c r="Q10" s="320"/>
      <c r="R10" s="320"/>
      <c r="S10" s="320"/>
      <c r="V10" s="320"/>
      <c r="W10" s="320"/>
      <c r="X10" s="320"/>
      <c r="Y10" s="320"/>
      <c r="Z10" s="320"/>
      <c r="AA10" s="320"/>
      <c r="AB10" s="320"/>
    </row>
    <row r="11" spans="1:28" s="752" customFormat="1">
      <c r="A11" s="460">
        <v>10</v>
      </c>
      <c r="B11" s="752" t="s">
        <v>134</v>
      </c>
      <c r="D11" s="762">
        <f>Input!$V$11</f>
        <v>0</v>
      </c>
      <c r="E11" s="762">
        <f>Input!$W$11</f>
        <v>80176</v>
      </c>
      <c r="F11" s="762">
        <f>Input!$X$11</f>
        <v>0</v>
      </c>
      <c r="G11" s="762">
        <f>Input!$Y$11</f>
        <v>6465306</v>
      </c>
      <c r="H11" s="762">
        <f>Input!$Z$11</f>
        <v>0</v>
      </c>
      <c r="I11" s="762">
        <f>Input!$AA$11</f>
        <v>0</v>
      </c>
      <c r="J11" s="762">
        <f>Input!$AB$11</f>
        <v>0</v>
      </c>
      <c r="K11" s="762">
        <f>Input!$AC$11</f>
        <v>0</v>
      </c>
      <c r="L11" s="762">
        <f>Input!$AD$11</f>
        <v>0</v>
      </c>
      <c r="M11" s="723">
        <f t="shared" si="0"/>
        <v>6545482</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Input!$AN$11</f>
        <v>0</v>
      </c>
      <c r="E13" s="762">
        <f>Input!$AO$11</f>
        <v>0</v>
      </c>
      <c r="F13" s="762">
        <f>Input!$AP$11</f>
        <v>0</v>
      </c>
      <c r="G13" s="762">
        <f>Input!$AQ$11</f>
        <v>0</v>
      </c>
      <c r="H13" s="762">
        <f>Input!$AR$11</f>
        <v>0</v>
      </c>
      <c r="I13" s="762">
        <f>Input!$AS$11</f>
        <v>0</v>
      </c>
      <c r="J13" s="762">
        <f>Input!$AT$11</f>
        <v>0</v>
      </c>
      <c r="K13" s="762">
        <f>Input!$AU$11</f>
        <v>0</v>
      </c>
      <c r="L13" s="762">
        <f>Input!$AV$11</f>
        <v>0</v>
      </c>
      <c r="M13" s="723">
        <f t="shared" si="0"/>
        <v>0</v>
      </c>
      <c r="O13" s="764" t="str">
        <f>IF(P13&lt;&gt;M13,"Out of Balance","Balanced")</f>
        <v>Balanced</v>
      </c>
      <c r="P13" s="767">
        <f>IFERROR(VLOOKUP($B$2,AMTLU,6,FALSE),0)</f>
        <v>0</v>
      </c>
      <c r="Q13" s="320"/>
      <c r="R13" s="320"/>
      <c r="S13" s="320"/>
      <c r="V13" s="320"/>
      <c r="W13" s="320"/>
      <c r="X13" s="320"/>
      <c r="Y13" s="320"/>
      <c r="Z13" s="320"/>
      <c r="AA13" s="320"/>
      <c r="AB13" s="320"/>
    </row>
    <row r="14" spans="1:28" s="752" customFormat="1" ht="15">
      <c r="A14" s="460">
        <v>13</v>
      </c>
      <c r="B14" s="752" t="s">
        <v>135</v>
      </c>
      <c r="D14" s="762">
        <f>Input!$AW$11</f>
        <v>0</v>
      </c>
      <c r="E14" s="762">
        <f>Input!$AX$11</f>
        <v>0</v>
      </c>
      <c r="F14" s="762">
        <f>Input!$AY$11</f>
        <v>0</v>
      </c>
      <c r="G14" s="762">
        <f>Input!$AZ$11</f>
        <v>0</v>
      </c>
      <c r="H14" s="762">
        <f>Input!$BA$11</f>
        <v>0</v>
      </c>
      <c r="I14" s="762">
        <f>Input!$BB$11</f>
        <v>0</v>
      </c>
      <c r="J14" s="762">
        <f>Input!$BC$11</f>
        <v>0</v>
      </c>
      <c r="K14" s="762">
        <f>Input!$BD$11</f>
        <v>0</v>
      </c>
      <c r="L14" s="762">
        <f>Input!$BE$11</f>
        <v>0</v>
      </c>
      <c r="M14" s="723">
        <f t="shared" si="0"/>
        <v>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55239453</v>
      </c>
      <c r="E15" s="769">
        <f t="shared" ref="E15:L15" si="1">SUM(E10:E14)</f>
        <v>80176</v>
      </c>
      <c r="F15" s="769">
        <f t="shared" si="1"/>
        <v>0</v>
      </c>
      <c r="G15" s="769">
        <f t="shared" si="1"/>
        <v>6465306</v>
      </c>
      <c r="H15" s="769">
        <f t="shared" si="1"/>
        <v>0</v>
      </c>
      <c r="I15" s="769">
        <f t="shared" si="1"/>
        <v>0</v>
      </c>
      <c r="J15" s="769">
        <f t="shared" si="1"/>
        <v>0</v>
      </c>
      <c r="K15" s="769">
        <f t="shared" si="1"/>
        <v>0</v>
      </c>
      <c r="L15" s="769">
        <f t="shared" si="1"/>
        <v>0</v>
      </c>
      <c r="M15" s="769">
        <f t="shared" si="0"/>
        <v>61784935</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236720</v>
      </c>
      <c r="E18" s="769">
        <f t="shared" si="2"/>
        <v>311490</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548210</v>
      </c>
      <c r="V18" s="723"/>
      <c r="X18" s="492"/>
    </row>
    <row r="19" spans="1:26" s="320" customFormat="1" ht="12.75" customHeight="1" thickTop="1" thickBot="1">
      <c r="A19" s="322"/>
      <c r="B19" s="320" t="s">
        <v>592</v>
      </c>
      <c r="D19" s="762">
        <f>Input!$BF$11</f>
        <v>0</v>
      </c>
      <c r="E19" s="762">
        <f>Input!$BG$11</f>
        <v>0</v>
      </c>
      <c r="F19" s="762">
        <f>Input!$BH$11</f>
        <v>0</v>
      </c>
      <c r="G19" s="762">
        <f>Input!$BI$11</f>
        <v>0</v>
      </c>
      <c r="H19" s="762">
        <f>Input!$BJ$11</f>
        <v>0</v>
      </c>
      <c r="I19" s="762">
        <f>Input!BK6</f>
        <v>0</v>
      </c>
      <c r="J19" s="762">
        <f>Input!$BL$11</f>
        <v>0</v>
      </c>
      <c r="K19" s="762">
        <f>Input!BM6</f>
        <v>0</v>
      </c>
      <c r="L19" s="762">
        <f>Input!BN6</f>
        <v>0</v>
      </c>
      <c r="M19" s="723">
        <f t="shared" si="3"/>
        <v>0</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Input!$BO$11</f>
        <v>0</v>
      </c>
      <c r="E20" s="762">
        <f>Input!$BP$11</f>
        <v>0</v>
      </c>
      <c r="F20" s="762">
        <f>Input!$BQ$11</f>
        <v>0</v>
      </c>
      <c r="G20" s="762">
        <f>Input!$BR$11</f>
        <v>0</v>
      </c>
      <c r="H20" s="762">
        <f>Input!$BS$11</f>
        <v>0</v>
      </c>
      <c r="I20" s="762">
        <f>Input!$BT$11</f>
        <v>0</v>
      </c>
      <c r="J20" s="762">
        <f>Input!BU6</f>
        <v>0</v>
      </c>
      <c r="K20" s="762">
        <f>Input!BV6</f>
        <v>0</v>
      </c>
      <c r="L20" s="762">
        <f>Input!$BW$11</f>
        <v>0</v>
      </c>
      <c r="M20" s="723">
        <f t="shared" si="3"/>
        <v>0</v>
      </c>
      <c r="O20" s="773" t="s">
        <v>631</v>
      </c>
      <c r="P20" s="774"/>
      <c r="Q20" s="774"/>
      <c r="R20" s="774"/>
      <c r="S20" s="775"/>
      <c r="U20" s="776" t="s">
        <v>252</v>
      </c>
      <c r="Y20" s="777"/>
    </row>
    <row r="21" spans="1:26" s="320" customFormat="1">
      <c r="A21" s="322"/>
      <c r="B21" s="320" t="s">
        <v>594</v>
      </c>
      <c r="D21" s="762">
        <f>Input!$BX$11</f>
        <v>0</v>
      </c>
      <c r="E21" s="762">
        <f>Input!$BY$11</f>
        <v>0</v>
      </c>
      <c r="F21" s="762">
        <f>Input!$BZ$11</f>
        <v>0</v>
      </c>
      <c r="G21" s="762">
        <f>Input!$CA$11</f>
        <v>0</v>
      </c>
      <c r="H21" s="762">
        <f>Input!$CB$11</f>
        <v>0</v>
      </c>
      <c r="I21" s="762">
        <f>Input!$CC$11</f>
        <v>0</v>
      </c>
      <c r="J21" s="762">
        <f>Input!$CD$11</f>
        <v>0</v>
      </c>
      <c r="K21" s="762">
        <f>Input!$CE$11</f>
        <v>0</v>
      </c>
      <c r="L21" s="762">
        <f>Input!$CF$11</f>
        <v>0</v>
      </c>
      <c r="M21" s="723">
        <f t="shared" si="3"/>
        <v>0</v>
      </c>
      <c r="O21" s="778"/>
      <c r="R21" s="492"/>
      <c r="S21" s="779"/>
      <c r="U21" s="780" t="s">
        <v>632</v>
      </c>
      <c r="X21" s="781">
        <f>M44</f>
        <v>645312</v>
      </c>
      <c r="Y21" s="777"/>
      <c r="Z21" s="492"/>
    </row>
    <row r="22" spans="1:26" s="320" customFormat="1">
      <c r="A22" s="322"/>
      <c r="B22" s="320" t="s">
        <v>595</v>
      </c>
      <c r="D22" s="762">
        <f>Input!$CG$11</f>
        <v>0</v>
      </c>
      <c r="E22" s="762">
        <f>Input!$CH$11</f>
        <v>0</v>
      </c>
      <c r="F22" s="762">
        <f>Input!$CI$11</f>
        <v>0</v>
      </c>
      <c r="G22" s="762">
        <f>Input!$CJ$11</f>
        <v>0</v>
      </c>
      <c r="H22" s="762">
        <f>Input!$CK$11</f>
        <v>0</v>
      </c>
      <c r="I22" s="762">
        <f>Input!$CL$11</f>
        <v>0</v>
      </c>
      <c r="J22" s="762">
        <f>Input!$CM$11</f>
        <v>0</v>
      </c>
      <c r="K22" s="762">
        <f>Input!$CN$11</f>
        <v>0</v>
      </c>
      <c r="L22" s="762">
        <f>Input!$CO$11</f>
        <v>0</v>
      </c>
      <c r="M22" s="723">
        <f t="shared" si="3"/>
        <v>0</v>
      </c>
      <c r="N22" s="406"/>
      <c r="O22" s="778" t="s">
        <v>633</v>
      </c>
      <c r="Q22" s="492">
        <f>M23</f>
        <v>548210</v>
      </c>
      <c r="S22" s="782"/>
      <c r="U22" s="780" t="s">
        <v>634</v>
      </c>
      <c r="X22" s="783">
        <f>R30*-1</f>
        <v>0</v>
      </c>
      <c r="Y22" s="777"/>
    </row>
    <row r="23" spans="1:26" s="320" customFormat="1" ht="12.75" customHeight="1">
      <c r="A23" s="322"/>
      <c r="B23" s="772" t="s">
        <v>233</v>
      </c>
      <c r="C23" s="784"/>
      <c r="D23" s="785">
        <f>Input!$CP$11</f>
        <v>236720</v>
      </c>
      <c r="E23" s="785">
        <f>Input!$CQ$11</f>
        <v>311490</v>
      </c>
      <c r="F23" s="785">
        <f>Input!$CR$11</f>
        <v>0</v>
      </c>
      <c r="G23" s="785">
        <f>Input!$CS$11</f>
        <v>0</v>
      </c>
      <c r="H23" s="785">
        <f>Input!$CT$11</f>
        <v>0</v>
      </c>
      <c r="I23" s="785">
        <f>Input!$CU$11</f>
        <v>0</v>
      </c>
      <c r="J23" s="785">
        <f>Input!$CV$11</f>
        <v>0</v>
      </c>
      <c r="K23" s="785">
        <f>Input!$CW$11</f>
        <v>0</v>
      </c>
      <c r="L23" s="785">
        <f>Input!$CX$11</f>
        <v>0</v>
      </c>
      <c r="M23" s="786">
        <f t="shared" si="3"/>
        <v>548210</v>
      </c>
      <c r="O23" s="778"/>
      <c r="Q23" s="492"/>
      <c r="S23" s="782"/>
      <c r="U23" s="776" t="s">
        <v>635</v>
      </c>
      <c r="Y23" s="777">
        <f>SUM(X21:X22)</f>
        <v>645312</v>
      </c>
      <c r="Z23" s="492"/>
    </row>
    <row r="24" spans="1:26" s="320" customFormat="1" ht="12.75" customHeight="1">
      <c r="A24" s="322"/>
      <c r="B24" s="320" t="s">
        <v>596</v>
      </c>
      <c r="C24" s="751"/>
      <c r="D24" s="762">
        <f>Input!$CY$11</f>
        <v>0</v>
      </c>
      <c r="E24" s="762">
        <f>Input!$CZ$11</f>
        <v>0</v>
      </c>
      <c r="F24" s="762">
        <f>Input!$DA$11</f>
        <v>0</v>
      </c>
      <c r="G24" s="762">
        <f>Input!$DB$11</f>
        <v>0</v>
      </c>
      <c r="H24" s="762">
        <f>Input!$DC$11</f>
        <v>0</v>
      </c>
      <c r="I24" s="762">
        <f>Input!$DD$11</f>
        <v>0</v>
      </c>
      <c r="J24" s="762">
        <f>Input!$DE$11</f>
        <v>0</v>
      </c>
      <c r="K24" s="762">
        <f>Input!$DF$11</f>
        <v>0</v>
      </c>
      <c r="L24" s="762">
        <f>Input!$DG$11</f>
        <v>0</v>
      </c>
      <c r="M24" s="650">
        <f t="shared" si="3"/>
        <v>0</v>
      </c>
      <c r="O24" s="787" t="s">
        <v>636</v>
      </c>
      <c r="Q24" s="723"/>
      <c r="R24" s="723">
        <f>SUM(M24:M28)</f>
        <v>0</v>
      </c>
      <c r="S24" s="782"/>
      <c r="U24" s="776"/>
      <c r="Y24" s="777"/>
      <c r="Z24" s="492"/>
    </row>
    <row r="25" spans="1:26" s="320" customFormat="1" ht="12.75" customHeight="1">
      <c r="A25" s="322"/>
      <c r="B25" s="320" t="s">
        <v>597</v>
      </c>
      <c r="C25" s="751"/>
      <c r="D25" s="762">
        <f>Input!$DH$11</f>
        <v>0</v>
      </c>
      <c r="E25" s="762">
        <f>Input!$DI$11</f>
        <v>0</v>
      </c>
      <c r="F25" s="762">
        <f>Input!$DJ$11</f>
        <v>0</v>
      </c>
      <c r="G25" s="762">
        <f>Input!$DK$11</f>
        <v>0</v>
      </c>
      <c r="H25" s="762">
        <f>Input!$DL$11</f>
        <v>0</v>
      </c>
      <c r="I25" s="762">
        <f>Input!$DM$11</f>
        <v>0</v>
      </c>
      <c r="J25" s="762">
        <f>Input!$DN$11</f>
        <v>0</v>
      </c>
      <c r="K25" s="762">
        <f>Input!$DO$11</f>
        <v>0</v>
      </c>
      <c r="L25" s="762">
        <f>Input!$DP$11</f>
        <v>0</v>
      </c>
      <c r="M25" s="650">
        <f t="shared" si="3"/>
        <v>0</v>
      </c>
      <c r="O25" s="778"/>
      <c r="Q25" s="723"/>
      <c r="R25" s="723"/>
      <c r="S25" s="782"/>
      <c r="U25" s="788" t="s">
        <v>637</v>
      </c>
      <c r="V25" s="789"/>
      <c r="W25" s="789"/>
      <c r="X25" s="790">
        <f>(M26+M39)*-1</f>
        <v>0</v>
      </c>
      <c r="Y25" s="777"/>
      <c r="Z25" s="492"/>
    </row>
    <row r="26" spans="1:26" s="320" customFormat="1" ht="12.75" customHeight="1">
      <c r="A26" s="322"/>
      <c r="B26" s="320" t="s">
        <v>598</v>
      </c>
      <c r="C26" s="751"/>
      <c r="D26" s="762">
        <f>Input!$DQ$11</f>
        <v>0</v>
      </c>
      <c r="E26" s="762">
        <f>Input!$DR$11</f>
        <v>0</v>
      </c>
      <c r="F26" s="762">
        <f>Input!$DS$11</f>
        <v>0</v>
      </c>
      <c r="G26" s="762">
        <f>Input!$DT$11</f>
        <v>0</v>
      </c>
      <c r="H26" s="762">
        <f>Input!$DU$11</f>
        <v>0</v>
      </c>
      <c r="I26" s="762">
        <f>Input!$DV$11</f>
        <v>0</v>
      </c>
      <c r="J26" s="762">
        <f>Input!$DW$11</f>
        <v>0</v>
      </c>
      <c r="K26" s="762">
        <f>Input!$DX$11</f>
        <v>0</v>
      </c>
      <c r="L26" s="762">
        <f>Input!$DY$11</f>
        <v>0</v>
      </c>
      <c r="M26" s="650">
        <f t="shared" si="3"/>
        <v>0</v>
      </c>
      <c r="O26" s="778" t="s">
        <v>638</v>
      </c>
      <c r="Q26" s="723">
        <f>M36</f>
        <v>97102</v>
      </c>
      <c r="R26" s="791"/>
      <c r="S26" s="792"/>
      <c r="U26" s="776" t="s">
        <v>639</v>
      </c>
      <c r="X26" s="793">
        <f>(M21+M34)*-1</f>
        <v>0</v>
      </c>
      <c r="Y26" s="777"/>
      <c r="Z26" s="492"/>
    </row>
    <row r="27" spans="1:26" s="320" customFormat="1">
      <c r="A27" s="322"/>
      <c r="B27" s="320" t="s">
        <v>599</v>
      </c>
      <c r="C27" s="751"/>
      <c r="D27" s="762">
        <f>Input!$DZ$11</f>
        <v>0</v>
      </c>
      <c r="E27" s="762">
        <f>Input!$EA$11</f>
        <v>0</v>
      </c>
      <c r="F27" s="762">
        <f>Input!$EB$11</f>
        <v>0</v>
      </c>
      <c r="G27" s="762">
        <f>Input!$EC$11</f>
        <v>0</v>
      </c>
      <c r="H27" s="762">
        <f>Input!$ED$11</f>
        <v>0</v>
      </c>
      <c r="I27" s="762">
        <f>Input!$EE$11</f>
        <v>0</v>
      </c>
      <c r="J27" s="762">
        <f>Input!$EF$11</f>
        <v>0</v>
      </c>
      <c r="K27" s="762">
        <f>Input!$EG$11</f>
        <v>0</v>
      </c>
      <c r="L27" s="762">
        <f>Input!$EH$11</f>
        <v>0</v>
      </c>
      <c r="M27" s="650">
        <f t="shared" si="3"/>
        <v>0</v>
      </c>
      <c r="O27" s="778"/>
      <c r="Q27" s="723"/>
      <c r="R27" s="791"/>
      <c r="S27" s="792"/>
      <c r="U27" s="780" t="s">
        <v>640</v>
      </c>
      <c r="V27" s="314"/>
      <c r="W27" s="314"/>
      <c r="X27" s="794">
        <f>SUM(X25:X26)</f>
        <v>0</v>
      </c>
      <c r="Y27" s="721"/>
    </row>
    <row r="28" spans="1:26" s="320" customFormat="1">
      <c r="A28" s="322"/>
      <c r="B28" s="320" t="s">
        <v>600</v>
      </c>
      <c r="C28" s="751"/>
      <c r="D28" s="762">
        <f>Input!$EI$11</f>
        <v>0</v>
      </c>
      <c r="E28" s="762">
        <f>Input!$EJ$11</f>
        <v>0</v>
      </c>
      <c r="F28" s="762">
        <f>Input!$EK$11</f>
        <v>0</v>
      </c>
      <c r="G28" s="762">
        <f>Input!$EL$11</f>
        <v>0</v>
      </c>
      <c r="H28" s="762">
        <f>Input!$EM$11</f>
        <v>0</v>
      </c>
      <c r="I28" s="762">
        <f>Input!$EN$11</f>
        <v>0</v>
      </c>
      <c r="J28" s="762">
        <f>Input!$EO$11</f>
        <v>0</v>
      </c>
      <c r="K28" s="762">
        <f>Input!$EP$11</f>
        <v>0</v>
      </c>
      <c r="L28" s="762">
        <f>Input!$EQ$11</f>
        <v>0</v>
      </c>
      <c r="M28" s="650">
        <f t="shared" si="3"/>
        <v>0</v>
      </c>
      <c r="O28" s="787" t="s">
        <v>641</v>
      </c>
      <c r="Q28" s="723"/>
      <c r="R28" s="723">
        <f>SUM(M37:M41)</f>
        <v>0</v>
      </c>
      <c r="S28" s="782"/>
      <c r="U28" s="776" t="s">
        <v>642</v>
      </c>
      <c r="X28" s="777">
        <f>(M27+M40)*-1</f>
        <v>0</v>
      </c>
      <c r="Y28" s="721"/>
      <c r="Z28" s="492"/>
    </row>
    <row r="29" spans="1:26" s="320" customFormat="1" ht="12" customHeight="1">
      <c r="A29" s="322"/>
      <c r="B29" s="795" t="s">
        <v>165</v>
      </c>
      <c r="C29" s="784"/>
      <c r="D29" s="769">
        <f t="shared" ref="D29:L29" si="4">SUM(D23:D28)</f>
        <v>236720</v>
      </c>
      <c r="E29" s="769">
        <f t="shared" si="4"/>
        <v>311490</v>
      </c>
      <c r="F29" s="769">
        <f t="shared" si="4"/>
        <v>0</v>
      </c>
      <c r="G29" s="769">
        <f t="shared" si="4"/>
        <v>0</v>
      </c>
      <c r="H29" s="769">
        <f t="shared" si="4"/>
        <v>0</v>
      </c>
      <c r="I29" s="769">
        <f t="shared" si="4"/>
        <v>0</v>
      </c>
      <c r="J29" s="769">
        <f t="shared" si="4"/>
        <v>0</v>
      </c>
      <c r="K29" s="769">
        <f t="shared" si="4"/>
        <v>0</v>
      </c>
      <c r="L29" s="769">
        <f t="shared" si="4"/>
        <v>0</v>
      </c>
      <c r="M29" s="769">
        <f t="shared" si="3"/>
        <v>548210</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645312</v>
      </c>
      <c r="R30" s="798">
        <f>R28+R24</f>
        <v>0</v>
      </c>
      <c r="S30" s="799"/>
      <c r="U30" s="780" t="s">
        <v>645</v>
      </c>
      <c r="V30" s="314"/>
      <c r="W30" s="314"/>
      <c r="X30" s="794">
        <f>SUM(X28:X29)</f>
        <v>0</v>
      </c>
      <c r="Y30" s="721"/>
    </row>
    <row r="31" spans="1:26" s="320" customFormat="1" ht="12.75" customHeight="1">
      <c r="A31" s="322"/>
      <c r="B31" s="772" t="s">
        <v>238</v>
      </c>
      <c r="C31" s="772"/>
      <c r="D31" s="769">
        <f t="shared" ref="D31:L31" si="5">D36-SUM(D32:D35)</f>
        <v>1350</v>
      </c>
      <c r="E31" s="769">
        <f t="shared" si="5"/>
        <v>95752</v>
      </c>
      <c r="F31" s="769">
        <f t="shared" si="5"/>
        <v>0</v>
      </c>
      <c r="G31" s="769">
        <f t="shared" si="5"/>
        <v>0</v>
      </c>
      <c r="H31" s="769">
        <f t="shared" si="5"/>
        <v>0</v>
      </c>
      <c r="I31" s="769">
        <f t="shared" si="5"/>
        <v>0</v>
      </c>
      <c r="J31" s="769">
        <f t="shared" si="5"/>
        <v>0</v>
      </c>
      <c r="K31" s="769">
        <f t="shared" si="5"/>
        <v>0</v>
      </c>
      <c r="L31" s="769">
        <f t="shared" si="5"/>
        <v>0</v>
      </c>
      <c r="M31" s="769">
        <f t="shared" ref="M31:M42" si="6">D31+E31+F31+G31+H31+I31+J31+K31+L31</f>
        <v>97102</v>
      </c>
      <c r="O31" s="778" t="s">
        <v>646</v>
      </c>
      <c r="Q31" s="406"/>
      <c r="S31" s="782"/>
      <c r="U31" s="800" t="s">
        <v>647</v>
      </c>
      <c r="V31" s="801"/>
      <c r="W31" s="801"/>
      <c r="X31" s="802">
        <f>X27+X30</f>
        <v>0</v>
      </c>
      <c r="Y31" s="777"/>
      <c r="Z31" s="492"/>
    </row>
    <row r="32" spans="1:26" s="320" customFormat="1" ht="12.75" customHeight="1">
      <c r="A32" s="322"/>
      <c r="B32" s="320" t="s">
        <v>592</v>
      </c>
      <c r="D32" s="762">
        <f>Input!$ER$11</f>
        <v>0</v>
      </c>
      <c r="E32" s="762">
        <f>Input!$ES$11</f>
        <v>0</v>
      </c>
      <c r="F32" s="762">
        <f>Input!$ET$11</f>
        <v>0</v>
      </c>
      <c r="G32" s="762">
        <f>Input!$EU$11</f>
        <v>0</v>
      </c>
      <c r="H32" s="762">
        <f>Input!$EV$11</f>
        <v>0</v>
      </c>
      <c r="I32" s="762">
        <f>Input!$EW$11</f>
        <v>0</v>
      </c>
      <c r="J32" s="762">
        <f>Input!$EX$11</f>
        <v>0</v>
      </c>
      <c r="K32" s="762">
        <f>Input!$EY$11</f>
        <v>0</v>
      </c>
      <c r="L32" s="762">
        <f>Input!$EZ$11</f>
        <v>0</v>
      </c>
      <c r="M32" s="650">
        <f t="shared" si="6"/>
        <v>0</v>
      </c>
      <c r="O32" s="803" t="s">
        <v>648</v>
      </c>
      <c r="P32" s="804"/>
      <c r="Q32" s="805">
        <f>Input!$TI$11</f>
        <v>645312</v>
      </c>
      <c r="R32" s="804"/>
      <c r="S32" s="806"/>
      <c r="U32" s="776"/>
      <c r="Y32" s="777"/>
      <c r="Z32" s="492"/>
    </row>
    <row r="33" spans="1:28" s="320" customFormat="1">
      <c r="A33" s="322"/>
      <c r="B33" s="320" t="s">
        <v>593</v>
      </c>
      <c r="D33" s="762">
        <f>Input!$FA$11</f>
        <v>0</v>
      </c>
      <c r="E33" s="762">
        <f>Input!$FB$11</f>
        <v>0</v>
      </c>
      <c r="F33" s="762">
        <f>Input!$FC$11</f>
        <v>0</v>
      </c>
      <c r="G33" s="762">
        <f>Input!$FD$11</f>
        <v>0</v>
      </c>
      <c r="H33" s="762">
        <f>Input!$FE$11</f>
        <v>0</v>
      </c>
      <c r="I33" s="762">
        <f>Input!$FF$11</f>
        <v>0</v>
      </c>
      <c r="J33" s="762">
        <f>Input!$FG$11</f>
        <v>0</v>
      </c>
      <c r="K33" s="762">
        <f>Input!$FH$11</f>
        <v>0</v>
      </c>
      <c r="L33" s="762">
        <f>Input!$FI$11</f>
        <v>0</v>
      </c>
      <c r="M33" s="650">
        <f t="shared" si="6"/>
        <v>0</v>
      </c>
      <c r="O33" s="803"/>
      <c r="P33" s="804"/>
      <c r="Q33" s="723"/>
      <c r="R33" s="804"/>
      <c r="S33" s="806"/>
      <c r="U33" s="776" t="s">
        <v>649</v>
      </c>
      <c r="X33" s="492">
        <f>(M19+M32)*-1</f>
        <v>0</v>
      </c>
      <c r="Y33" s="777"/>
    </row>
    <row r="34" spans="1:28" s="320" customFormat="1">
      <c r="A34" s="322"/>
      <c r="B34" s="320" t="s">
        <v>594</v>
      </c>
      <c r="D34" s="762">
        <f>Input!$FJ$11</f>
        <v>0</v>
      </c>
      <c r="E34" s="762">
        <f>Input!$FK$11</f>
        <v>0</v>
      </c>
      <c r="F34" s="762">
        <f>Input!$FL$11</f>
        <v>0</v>
      </c>
      <c r="G34" s="762">
        <f>Input!$FM$11</f>
        <v>0</v>
      </c>
      <c r="H34" s="762">
        <f>Input!$FN$11</f>
        <v>0</v>
      </c>
      <c r="I34" s="762">
        <f>Input!$FO$11</f>
        <v>0</v>
      </c>
      <c r="J34" s="762">
        <f>Input!$FP$11</f>
        <v>0</v>
      </c>
      <c r="K34" s="762">
        <f>Input!$FQ$11</f>
        <v>0</v>
      </c>
      <c r="L34" s="762">
        <f>Input!$FR$11</f>
        <v>0</v>
      </c>
      <c r="M34" s="650">
        <f t="shared" si="6"/>
        <v>0</v>
      </c>
      <c r="O34" s="807" t="s">
        <v>650</v>
      </c>
      <c r="P34" s="808"/>
      <c r="Q34" s="320" t="s">
        <v>651</v>
      </c>
      <c r="R34" s="805">
        <f>Input!$TJ$11</f>
        <v>0</v>
      </c>
      <c r="S34" s="809"/>
      <c r="U34" s="776" t="s">
        <v>652</v>
      </c>
      <c r="X34" s="739">
        <f>(M24+M37)*-1</f>
        <v>0</v>
      </c>
      <c r="Y34" s="777"/>
    </row>
    <row r="35" spans="1:28" s="320" customFormat="1" ht="13.8" thickBot="1">
      <c r="A35" s="322"/>
      <c r="B35" s="320" t="s">
        <v>595</v>
      </c>
      <c r="D35" s="762">
        <f>Input!$FS$11</f>
        <v>0</v>
      </c>
      <c r="E35" s="762">
        <f>Input!$FT$11</f>
        <v>0</v>
      </c>
      <c r="F35" s="762">
        <f>Input!$FU$11</f>
        <v>0</v>
      </c>
      <c r="G35" s="762">
        <f>Input!$FV$11</f>
        <v>0</v>
      </c>
      <c r="H35" s="762">
        <f>Input!$FW$11</f>
        <v>0</v>
      </c>
      <c r="I35" s="762">
        <f>Input!$FX$11</f>
        <v>0</v>
      </c>
      <c r="J35" s="762">
        <f>Input!$FY$11</f>
        <v>0</v>
      </c>
      <c r="K35" s="762">
        <f>Input!$FZ$11</f>
        <v>0</v>
      </c>
      <c r="L35" s="762">
        <f>Input!$GA$11</f>
        <v>0</v>
      </c>
      <c r="M35" s="650">
        <f t="shared" si="6"/>
        <v>0</v>
      </c>
      <c r="O35" s="810" t="s">
        <v>653</v>
      </c>
      <c r="P35" s="811"/>
      <c r="Q35" s="812">
        <f>Q30-Q32</f>
        <v>0</v>
      </c>
      <c r="R35" s="813">
        <f>R30-R34</f>
        <v>0</v>
      </c>
      <c r="S35" s="814"/>
      <c r="U35" s="780" t="s">
        <v>654</v>
      </c>
      <c r="V35" s="314"/>
      <c r="W35" s="314"/>
      <c r="X35" s="781">
        <f>SUM(X33:X34)</f>
        <v>0</v>
      </c>
      <c r="Y35" s="721"/>
    </row>
    <row r="36" spans="1:28" s="320" customFormat="1" ht="13.8" thickTop="1">
      <c r="A36" s="322"/>
      <c r="B36" s="772" t="s">
        <v>239</v>
      </c>
      <c r="C36" s="784"/>
      <c r="D36" s="785">
        <f>Input!$GB$11</f>
        <v>1350</v>
      </c>
      <c r="E36" s="785">
        <f>Input!$GC$11</f>
        <v>95752</v>
      </c>
      <c r="F36" s="785">
        <f>Input!$GD$11</f>
        <v>0</v>
      </c>
      <c r="G36" s="785">
        <f>Input!$GE$11</f>
        <v>0</v>
      </c>
      <c r="H36" s="785">
        <f>Input!$GF$11</f>
        <v>0</v>
      </c>
      <c r="I36" s="785">
        <f>Input!$GG$11</f>
        <v>0</v>
      </c>
      <c r="J36" s="785">
        <f>Input!$GH$11</f>
        <v>0</v>
      </c>
      <c r="K36" s="785">
        <f>Input!$GI$11</f>
        <v>0</v>
      </c>
      <c r="L36" s="785">
        <f>Input!$GJ$11</f>
        <v>0</v>
      </c>
      <c r="M36" s="786">
        <f t="shared" si="6"/>
        <v>97102</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Input!$GK$11</f>
        <v>0</v>
      </c>
      <c r="E37" s="762">
        <f>Input!$GL$11</f>
        <v>0</v>
      </c>
      <c r="F37" s="762">
        <f>Input!$GM$11</f>
        <v>0</v>
      </c>
      <c r="G37" s="762">
        <f>Input!$GN$11</f>
        <v>0</v>
      </c>
      <c r="H37" s="762">
        <f>Input!$GO$11</f>
        <v>0</v>
      </c>
      <c r="I37" s="762">
        <f>Input!$GP$11</f>
        <v>0</v>
      </c>
      <c r="J37" s="762">
        <f>Input!$GQ$11</f>
        <v>0</v>
      </c>
      <c r="K37" s="762">
        <f>Input!$GR$11</f>
        <v>0</v>
      </c>
      <c r="L37" s="762">
        <f>Input!$GS$11</f>
        <v>0</v>
      </c>
      <c r="M37" s="650">
        <f t="shared" si="6"/>
        <v>0</v>
      </c>
      <c r="U37" s="776" t="s">
        <v>656</v>
      </c>
      <c r="X37" s="739">
        <f>(M25+M38)*-1</f>
        <v>0</v>
      </c>
      <c r="Y37" s="721"/>
    </row>
    <row r="38" spans="1:28" s="320" customFormat="1">
      <c r="A38" s="322"/>
      <c r="B38" s="320" t="s">
        <v>597</v>
      </c>
      <c r="C38" s="751"/>
      <c r="D38" s="762">
        <f>Input!$GT$11</f>
        <v>0</v>
      </c>
      <c r="E38" s="762">
        <f>Input!$GU$11</f>
        <v>0</v>
      </c>
      <c r="F38" s="762">
        <f>Input!$GV$11</f>
        <v>0</v>
      </c>
      <c r="G38" s="762">
        <f>Input!$GW$11</f>
        <v>0</v>
      </c>
      <c r="H38" s="762">
        <f>Input!$GX$11</f>
        <v>0</v>
      </c>
      <c r="I38" s="762">
        <f>Input!$GY$11</f>
        <v>0</v>
      </c>
      <c r="J38" s="762">
        <f>Input!$GZ$11</f>
        <v>0</v>
      </c>
      <c r="K38" s="762">
        <f>Input!$HA$11</f>
        <v>0</v>
      </c>
      <c r="L38" s="762">
        <f>Input!$HB$11</f>
        <v>0</v>
      </c>
      <c r="M38" s="650">
        <f t="shared" si="6"/>
        <v>0</v>
      </c>
      <c r="U38" s="780" t="s">
        <v>657</v>
      </c>
      <c r="V38" s="314"/>
      <c r="W38" s="314"/>
      <c r="X38" s="781">
        <f>SUM(X36:X37)</f>
        <v>0</v>
      </c>
      <c r="Y38" s="777"/>
    </row>
    <row r="39" spans="1:28" s="320" customFormat="1">
      <c r="A39" s="322"/>
      <c r="B39" s="320" t="s">
        <v>598</v>
      </c>
      <c r="C39" s="751"/>
      <c r="D39" s="762">
        <f>Input!$HC$11</f>
        <v>0</v>
      </c>
      <c r="E39" s="762">
        <f>Input!$HD$11</f>
        <v>0</v>
      </c>
      <c r="F39" s="762">
        <f>Input!$HE$11</f>
        <v>0</v>
      </c>
      <c r="G39" s="762">
        <f>Input!$HF$11</f>
        <v>0</v>
      </c>
      <c r="H39" s="762">
        <f>Input!$HG$11</f>
        <v>0</v>
      </c>
      <c r="I39" s="762">
        <f>Input!$HH$11</f>
        <v>0</v>
      </c>
      <c r="J39" s="762">
        <f>Input!$HI$11</f>
        <v>0</v>
      </c>
      <c r="K39" s="762">
        <f>Input!$HJ$11</f>
        <v>0</v>
      </c>
      <c r="L39" s="762">
        <f>Input!$HK$11</f>
        <v>0</v>
      </c>
      <c r="M39" s="650">
        <f t="shared" si="6"/>
        <v>0</v>
      </c>
      <c r="U39" s="776" t="s">
        <v>658</v>
      </c>
      <c r="X39" s="492"/>
      <c r="Y39" s="777">
        <f>X38+X35</f>
        <v>0</v>
      </c>
    </row>
    <row r="40" spans="1:28" s="320" customFormat="1">
      <c r="A40" s="322"/>
      <c r="B40" s="320" t="s">
        <v>599</v>
      </c>
      <c r="C40" s="751"/>
      <c r="D40" s="762">
        <f>Input!$HL$11</f>
        <v>0</v>
      </c>
      <c r="E40" s="762">
        <f>Input!$HM$11</f>
        <v>0</v>
      </c>
      <c r="F40" s="762">
        <f>Input!$HN$11</f>
        <v>0</v>
      </c>
      <c r="G40" s="762">
        <f>Input!$HO$11</f>
        <v>0</v>
      </c>
      <c r="H40" s="762">
        <f>Input!$HP$11</f>
        <v>0</v>
      </c>
      <c r="I40" s="762">
        <f>Input!$HQ$11</f>
        <v>0</v>
      </c>
      <c r="J40" s="762">
        <f>Input!$HR$11</f>
        <v>0</v>
      </c>
      <c r="K40" s="762">
        <f>Input!$HS$11</f>
        <v>0</v>
      </c>
      <c r="L40" s="762">
        <f>Input!$HT$11</f>
        <v>0</v>
      </c>
      <c r="M40" s="650">
        <f t="shared" si="6"/>
        <v>0</v>
      </c>
      <c r="U40" s="776"/>
      <c r="Y40" s="721"/>
    </row>
    <row r="41" spans="1:28" s="320" customFormat="1">
      <c r="A41" s="322"/>
      <c r="B41" s="320" t="s">
        <v>600</v>
      </c>
      <c r="C41" s="751"/>
      <c r="D41" s="762">
        <f>Input!$HU$11</f>
        <v>0</v>
      </c>
      <c r="E41" s="762">
        <f>Input!$HV$11</f>
        <v>0</v>
      </c>
      <c r="F41" s="762">
        <f>Input!$HW$11</f>
        <v>0</v>
      </c>
      <c r="G41" s="762">
        <f>Input!$HX$11</f>
        <v>0</v>
      </c>
      <c r="H41" s="762">
        <f>Input!$HY$11</f>
        <v>0</v>
      </c>
      <c r="I41" s="762">
        <f>Input!$HZ$11</f>
        <v>0</v>
      </c>
      <c r="J41" s="762">
        <f>Input!$IA$11</f>
        <v>0</v>
      </c>
      <c r="K41" s="762">
        <f>Input!$IB$11</f>
        <v>0</v>
      </c>
      <c r="L41" s="762">
        <f>Input!$IC$11</f>
        <v>0</v>
      </c>
      <c r="M41" s="650">
        <f t="shared" si="6"/>
        <v>0</v>
      </c>
      <c r="U41" s="776" t="s">
        <v>639</v>
      </c>
      <c r="X41" s="492">
        <f>(M21+M34)*-1</f>
        <v>0</v>
      </c>
      <c r="Y41" s="777"/>
    </row>
    <row r="42" spans="1:28" s="320" customFormat="1">
      <c r="A42" s="322"/>
      <c r="B42" s="795" t="s">
        <v>166</v>
      </c>
      <c r="C42" s="784"/>
      <c r="D42" s="769">
        <f t="shared" ref="D42:L42" si="7">SUM(D36:D41)</f>
        <v>1350</v>
      </c>
      <c r="E42" s="769">
        <f t="shared" si="7"/>
        <v>95752</v>
      </c>
      <c r="F42" s="769">
        <f t="shared" si="7"/>
        <v>0</v>
      </c>
      <c r="G42" s="769">
        <f t="shared" si="7"/>
        <v>0</v>
      </c>
      <c r="H42" s="769">
        <f t="shared" si="7"/>
        <v>0</v>
      </c>
      <c r="I42" s="769">
        <f t="shared" si="7"/>
        <v>0</v>
      </c>
      <c r="J42" s="769">
        <f t="shared" si="7"/>
        <v>0</v>
      </c>
      <c r="K42" s="769">
        <f t="shared" si="7"/>
        <v>0</v>
      </c>
      <c r="L42" s="769">
        <f t="shared" si="7"/>
        <v>0</v>
      </c>
      <c r="M42" s="769">
        <f t="shared" si="6"/>
        <v>97102</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238070</v>
      </c>
      <c r="E44" s="769">
        <f t="shared" si="8"/>
        <v>407242</v>
      </c>
      <c r="F44" s="769">
        <f t="shared" si="8"/>
        <v>0</v>
      </c>
      <c r="G44" s="769">
        <f t="shared" si="8"/>
        <v>0</v>
      </c>
      <c r="H44" s="769">
        <f t="shared" si="8"/>
        <v>0</v>
      </c>
      <c r="I44" s="769">
        <f t="shared" si="8"/>
        <v>0</v>
      </c>
      <c r="J44" s="769">
        <f t="shared" si="8"/>
        <v>0</v>
      </c>
      <c r="K44" s="769">
        <f t="shared" si="8"/>
        <v>0</v>
      </c>
      <c r="L44" s="769">
        <f t="shared" si="8"/>
        <v>0</v>
      </c>
      <c r="M44" s="769">
        <f>D44+E44+F44+G44+H44+I44+J44+K44+L44</f>
        <v>645312</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Input!$ID$11</f>
        <v>0</v>
      </c>
      <c r="E47" s="815">
        <f>Input!$IE$11</f>
        <v>3005076</v>
      </c>
      <c r="F47" s="815">
        <f>Input!$IF$11</f>
        <v>0</v>
      </c>
      <c r="G47" s="815">
        <f>Input!$IG$11</f>
        <v>18485420</v>
      </c>
      <c r="H47" s="815">
        <f>Input!$IH$11</f>
        <v>0</v>
      </c>
      <c r="I47" s="815">
        <f>Input!$II$11</f>
        <v>0</v>
      </c>
      <c r="J47" s="815">
        <f>Input!$IJ$11</f>
        <v>0</v>
      </c>
      <c r="K47" s="815">
        <f>Input!$IK$11</f>
        <v>0</v>
      </c>
      <c r="L47" s="815">
        <f>Input!$IL$11</f>
        <v>0</v>
      </c>
      <c r="M47" s="769">
        <f>D47+E47+F47+G47+H47+I47+J47+K47+L47</f>
        <v>21490496</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645312</v>
      </c>
      <c r="Z49" s="320"/>
      <c r="AA49" s="320"/>
      <c r="AB49" s="320"/>
    </row>
    <row r="50" spans="1:28" s="752" customFormat="1">
      <c r="A50" s="460">
        <v>33</v>
      </c>
      <c r="B50" s="768" t="s">
        <v>200</v>
      </c>
      <c r="C50" s="768"/>
      <c r="D50" s="815">
        <f>Input!$IM$11</f>
        <v>0</v>
      </c>
      <c r="E50" s="815">
        <f>Input!$IN$11</f>
        <v>19660488</v>
      </c>
      <c r="F50" s="815">
        <f>Input!$IO$11</f>
        <v>0</v>
      </c>
      <c r="G50" s="815">
        <f>Input!$IP$11</f>
        <v>0</v>
      </c>
      <c r="H50" s="815">
        <f>Input!$IQ$11</f>
        <v>0</v>
      </c>
      <c r="I50" s="815">
        <f>Input!$IR$11</f>
        <v>0</v>
      </c>
      <c r="J50" s="815">
        <f>Input!$IS$11</f>
        <v>0</v>
      </c>
      <c r="K50" s="815">
        <f>Input!$IT$11</f>
        <v>0</v>
      </c>
      <c r="L50" s="815">
        <f>Input!$IU$11</f>
        <v>0</v>
      </c>
      <c r="M50" s="769">
        <f>D50+E50+F50+G50+H50+I50+J50+K50+L50</f>
        <v>19660488</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Input!$IV$11</f>
        <v>154142258</v>
      </c>
      <c r="E53" s="815">
        <f>Input!$IW$11</f>
        <v>0</v>
      </c>
      <c r="F53" s="815">
        <f>Input!$IX$11</f>
        <v>0</v>
      </c>
      <c r="G53" s="815">
        <f>Input!$IY$11</f>
        <v>0</v>
      </c>
      <c r="H53" s="815">
        <f>Input!$IZ$11</f>
        <v>0</v>
      </c>
      <c r="I53" s="815">
        <f>Input!$JA$11</f>
        <v>0</v>
      </c>
      <c r="J53" s="815">
        <f>Input!$JB$11</f>
        <v>0</v>
      </c>
      <c r="K53" s="815">
        <f>Input!$JC$11</f>
        <v>0</v>
      </c>
      <c r="L53" s="815">
        <f>Input!$JD$11</f>
        <v>0</v>
      </c>
      <c r="M53" s="769">
        <f>D53+E53+F53+G53+H53+I53+J53+K53+L53</f>
        <v>154142258</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Input!$JE$11</f>
        <v>58673</v>
      </c>
      <c r="E56" s="762">
        <f>Input!$JF$11</f>
        <v>3160485</v>
      </c>
      <c r="F56" s="762">
        <f>Input!$JG$11</f>
        <v>0</v>
      </c>
      <c r="G56" s="762">
        <f>Input!$JH$11</f>
        <v>1111130</v>
      </c>
      <c r="H56" s="762">
        <f>Input!$JI$11</f>
        <v>0</v>
      </c>
      <c r="I56" s="762">
        <f>Input!$JJ$11</f>
        <v>2079</v>
      </c>
      <c r="J56" s="762">
        <f>Input!$JK$11</f>
        <v>0</v>
      </c>
      <c r="K56" s="762">
        <f>Input!$JL$11</f>
        <v>0</v>
      </c>
      <c r="L56" s="762">
        <f>Input!$JM$11</f>
        <v>0</v>
      </c>
      <c r="M56" s="723">
        <f t="shared" ref="M56:M62" si="9">D56+E56+F56+G56+H56+I56+J56+K56+L56</f>
        <v>4332367</v>
      </c>
      <c r="O56" s="320"/>
      <c r="P56" s="320"/>
      <c r="Q56" s="320"/>
      <c r="R56" s="320"/>
      <c r="S56" s="320"/>
      <c r="T56" s="320"/>
      <c r="U56" s="320"/>
      <c r="V56" s="320"/>
      <c r="W56" s="320"/>
      <c r="X56" s="322"/>
      <c r="Y56" s="320"/>
      <c r="Z56" s="320"/>
      <c r="AA56" s="320"/>
      <c r="AB56" s="320"/>
    </row>
    <row r="57" spans="1:28" s="752" customFormat="1">
      <c r="A57" s="460">
        <v>40</v>
      </c>
      <c r="B57" s="752" t="s">
        <v>173</v>
      </c>
      <c r="D57" s="762">
        <f>Input!$JN$11</f>
        <v>0</v>
      </c>
      <c r="E57" s="762">
        <f>Input!$JO$11</f>
        <v>0</v>
      </c>
      <c r="F57" s="762">
        <f>Input!$JP$11</f>
        <v>0</v>
      </c>
      <c r="G57" s="762">
        <f>Input!$JQ$11</f>
        <v>0</v>
      </c>
      <c r="H57" s="762">
        <f>Input!$JR$11</f>
        <v>0</v>
      </c>
      <c r="I57" s="762">
        <f>Input!$JS$11</f>
        <v>0</v>
      </c>
      <c r="J57" s="762">
        <f>Input!$JT$11</f>
        <v>0</v>
      </c>
      <c r="K57" s="762">
        <f>Input!$JU$11</f>
        <v>0</v>
      </c>
      <c r="L57" s="762">
        <f>Input!$JV$11</f>
        <v>0</v>
      </c>
      <c r="M57" s="723">
        <f t="shared" si="9"/>
        <v>0</v>
      </c>
      <c r="O57" s="320"/>
      <c r="P57" s="819"/>
      <c r="Q57" s="320"/>
      <c r="R57" s="320"/>
      <c r="S57" s="320"/>
      <c r="T57" s="320"/>
      <c r="U57" s="320"/>
      <c r="V57" s="320"/>
      <c r="W57" s="320"/>
      <c r="X57" s="320"/>
      <c r="Y57" s="320"/>
      <c r="Z57" s="320"/>
      <c r="AA57" s="320"/>
      <c r="AB57" s="320"/>
    </row>
    <row r="58" spans="1:28" s="752" customFormat="1">
      <c r="A58" s="460">
        <v>41</v>
      </c>
      <c r="B58" s="752" t="s">
        <v>174</v>
      </c>
      <c r="D58" s="762">
        <f>Input!$JW$11</f>
        <v>478065</v>
      </c>
      <c r="E58" s="762">
        <f>Input!$JX$11</f>
        <v>62487499</v>
      </c>
      <c r="F58" s="762">
        <f>Input!$JY$11</f>
        <v>0</v>
      </c>
      <c r="G58" s="762">
        <f>Input!$JZ$11</f>
        <v>13246550</v>
      </c>
      <c r="H58" s="762">
        <f>Input!$KA$11</f>
        <v>0</v>
      </c>
      <c r="I58" s="762">
        <f>Input!$KB$11</f>
        <v>0</v>
      </c>
      <c r="J58" s="762">
        <f>Input!$KC$11</f>
        <v>-9856</v>
      </c>
      <c r="K58" s="762">
        <f>Input!$KD$11</f>
        <v>0</v>
      </c>
      <c r="L58" s="762">
        <f>Input!$KE$11</f>
        <v>0</v>
      </c>
      <c r="M58" s="723">
        <f t="shared" si="9"/>
        <v>76202258</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Input!$KF$11</f>
        <v>3505273</v>
      </c>
      <c r="E59" s="762">
        <f>Input!$KG$11</f>
        <v>3802618</v>
      </c>
      <c r="F59" s="762">
        <f>Input!$KH$11</f>
        <v>0</v>
      </c>
      <c r="G59" s="762">
        <f>Input!$KI$11</f>
        <v>2500</v>
      </c>
      <c r="H59" s="762">
        <f>Input!$KJ$11</f>
        <v>0</v>
      </c>
      <c r="I59" s="762">
        <f>Input!$KK$11</f>
        <v>0</v>
      </c>
      <c r="J59" s="762">
        <f>Input!$KL$11</f>
        <v>0</v>
      </c>
      <c r="K59" s="762">
        <f>Input!$KM$11</f>
        <v>0</v>
      </c>
      <c r="L59" s="762">
        <f>Input!$KN$11</f>
        <v>0</v>
      </c>
      <c r="M59" s="723">
        <f t="shared" si="9"/>
        <v>7310391</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Input!$KO$11</f>
        <v>0</v>
      </c>
      <c r="E60" s="762">
        <f>Input!$KP$11</f>
        <v>0</v>
      </c>
      <c r="F60" s="762">
        <f>Input!$KQ$11</f>
        <v>136714</v>
      </c>
      <c r="G60" s="762">
        <f>Input!$KR$11</f>
        <v>0</v>
      </c>
      <c r="H60" s="762">
        <f>Input!$KS$11</f>
        <v>0</v>
      </c>
      <c r="I60" s="762">
        <f>Input!$KT$11</f>
        <v>0</v>
      </c>
      <c r="J60" s="762">
        <f>Input!$KU$11</f>
        <v>0</v>
      </c>
      <c r="K60" s="762">
        <f>Input!$KV$11</f>
        <v>0</v>
      </c>
      <c r="L60" s="762">
        <f>Input!$KW$11</f>
        <v>0</v>
      </c>
      <c r="M60" s="723">
        <f t="shared" si="9"/>
        <v>136714</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Input!$KX$11</f>
        <v>1575382</v>
      </c>
      <c r="E61" s="762">
        <f>Input!$KY$11</f>
        <v>15955704</v>
      </c>
      <c r="F61" s="762">
        <f>Input!$KZ$11</f>
        <v>0</v>
      </c>
      <c r="G61" s="762">
        <f>Input!$LA$11</f>
        <v>27120</v>
      </c>
      <c r="H61" s="762">
        <f>Input!$LB$11</f>
        <v>0</v>
      </c>
      <c r="I61" s="762">
        <f>Input!$LC$11</f>
        <v>0</v>
      </c>
      <c r="J61" s="762">
        <f>Input!$LD$11</f>
        <v>0</v>
      </c>
      <c r="K61" s="762">
        <f>Input!$LE$11</f>
        <v>0</v>
      </c>
      <c r="L61" s="762">
        <f>Input!$LF$11</f>
        <v>-39283</v>
      </c>
      <c r="M61" s="723">
        <f t="shared" si="9"/>
        <v>17518923</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5617393</v>
      </c>
      <c r="E62" s="769">
        <f t="shared" si="10"/>
        <v>85406306</v>
      </c>
      <c r="F62" s="769">
        <f t="shared" si="10"/>
        <v>136714</v>
      </c>
      <c r="G62" s="769">
        <f t="shared" si="10"/>
        <v>14387300</v>
      </c>
      <c r="H62" s="769">
        <f t="shared" si="10"/>
        <v>0</v>
      </c>
      <c r="I62" s="769">
        <f t="shared" si="10"/>
        <v>2079</v>
      </c>
      <c r="J62" s="769">
        <f t="shared" si="10"/>
        <v>-9856</v>
      </c>
      <c r="K62" s="769">
        <f t="shared" si="10"/>
        <v>0</v>
      </c>
      <c r="L62" s="769">
        <f t="shared" si="10"/>
        <v>-39283</v>
      </c>
      <c r="M62" s="769">
        <f t="shared" si="9"/>
        <v>105500653</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215237174</v>
      </c>
      <c r="E63" s="769">
        <f t="shared" ref="E63:M63" si="11">E15+E44+E47+E50+E53+E62</f>
        <v>108559288</v>
      </c>
      <c r="F63" s="769">
        <f t="shared" si="11"/>
        <v>136714</v>
      </c>
      <c r="G63" s="769">
        <f t="shared" si="11"/>
        <v>39338026</v>
      </c>
      <c r="H63" s="769">
        <f t="shared" si="11"/>
        <v>0</v>
      </c>
      <c r="I63" s="769">
        <f t="shared" si="11"/>
        <v>2079</v>
      </c>
      <c r="J63" s="769">
        <f t="shared" si="11"/>
        <v>-9856</v>
      </c>
      <c r="K63" s="769">
        <f t="shared" si="11"/>
        <v>0</v>
      </c>
      <c r="L63" s="769">
        <f t="shared" si="11"/>
        <v>-39283</v>
      </c>
      <c r="M63" s="769">
        <f t="shared" si="11"/>
        <v>363224142</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Input!$LG$11</f>
        <v>13035152</v>
      </c>
      <c r="E65" s="762">
        <f>Input!$LH$11</f>
        <v>57546142</v>
      </c>
      <c r="F65" s="762">
        <f>Input!$LI$11</f>
        <v>0</v>
      </c>
      <c r="G65" s="762">
        <f>Input!$LJ$11</f>
        <v>9521172</v>
      </c>
      <c r="H65" s="762">
        <f>Input!$LK$11</f>
        <v>0</v>
      </c>
      <c r="I65" s="762">
        <f>Input!$LL$11</f>
        <v>0</v>
      </c>
      <c r="J65" s="762">
        <f>Input!$LM$11</f>
        <v>0</v>
      </c>
      <c r="K65" s="762">
        <f>Input!$LN$11</f>
        <v>0</v>
      </c>
      <c r="L65" s="762">
        <f>Input!$LO$11</f>
        <v>0</v>
      </c>
      <c r="M65" s="723">
        <f t="shared" ref="M65:M77" si="12">D65+E65+F65+G65+H65+I65+J65+K65+L65</f>
        <v>80102466</v>
      </c>
      <c r="O65" s="824">
        <f>D65+E65+G65</f>
        <v>80102466</v>
      </c>
      <c r="P65" s="825">
        <f>Input!$TK$11</f>
        <v>1140872</v>
      </c>
      <c r="Q65" s="825">
        <f>Input!$TU$11</f>
        <v>0</v>
      </c>
      <c r="R65" s="825">
        <f>Input!$UD$11</f>
        <v>0</v>
      </c>
      <c r="S65" s="826">
        <f>O65+P65-Q65-R65</f>
        <v>81243338</v>
      </c>
      <c r="T65" s="492"/>
      <c r="U65" s="827">
        <f>D65+E65+F65+G65+J65</f>
        <v>80102466</v>
      </c>
      <c r="V65" s="492"/>
      <c r="W65" s="828" t="s">
        <v>92</v>
      </c>
      <c r="X65" s="829">
        <f>Input!$UO$11</f>
        <v>80102466</v>
      </c>
      <c r="Y65" s="830">
        <f t="shared" ref="Y65:Y74" si="13">X65-M65</f>
        <v>0</v>
      </c>
      <c r="Z65" s="492"/>
      <c r="AA65" s="492"/>
      <c r="AB65" s="492"/>
    </row>
    <row r="66" spans="1:28" s="752" customFormat="1" ht="14.4" thickTop="1" thickBot="1">
      <c r="A66" s="460">
        <v>49</v>
      </c>
      <c r="B66" s="823" t="s">
        <v>179</v>
      </c>
      <c r="C66" s="823"/>
      <c r="D66" s="762">
        <f>Input!$LP$11</f>
        <v>8530132</v>
      </c>
      <c r="E66" s="762">
        <f>Input!$LQ$11</f>
        <v>2177832</v>
      </c>
      <c r="F66" s="762">
        <f>Input!$LR$11</f>
        <v>0</v>
      </c>
      <c r="G66" s="762">
        <f>Input!$LS$11</f>
        <v>13568407</v>
      </c>
      <c r="H66" s="762">
        <f>Input!$LT$11</f>
        <v>0</v>
      </c>
      <c r="I66" s="762">
        <f>Input!$LU$11</f>
        <v>0</v>
      </c>
      <c r="J66" s="762">
        <f>Input!$LV$11</f>
        <v>0</v>
      </c>
      <c r="K66" s="762">
        <f>Input!$LW$11</f>
        <v>0</v>
      </c>
      <c r="L66" s="762">
        <f>Input!$LX$11</f>
        <v>0</v>
      </c>
      <c r="M66" s="723">
        <f t="shared" si="12"/>
        <v>24276371</v>
      </c>
      <c r="O66" s="831">
        <f t="shared" ref="O66:O72" si="14">D66+E66+G66</f>
        <v>24276371</v>
      </c>
      <c r="P66" s="832">
        <f>Input!$TL$11</f>
        <v>332595</v>
      </c>
      <c r="Q66" s="832">
        <f>Input!$TV$11</f>
        <v>759340</v>
      </c>
      <c r="R66" s="832">
        <f>Input!$UE$11</f>
        <v>267</v>
      </c>
      <c r="S66" s="833">
        <f>O66+P66-Q66-R66</f>
        <v>23849359</v>
      </c>
      <c r="T66" s="492"/>
      <c r="U66" s="834">
        <f t="shared" ref="U66:U76" si="15">D66+E66+F66+G66+J66</f>
        <v>24276371</v>
      </c>
      <c r="V66" s="492"/>
      <c r="W66" s="828" t="s">
        <v>179</v>
      </c>
      <c r="X66" s="835">
        <f>Input!$UP$11</f>
        <v>24276371</v>
      </c>
      <c r="Y66" s="836">
        <f t="shared" si="13"/>
        <v>0</v>
      </c>
      <c r="Z66" s="723"/>
      <c r="AA66" s="723"/>
      <c r="AB66" s="723"/>
    </row>
    <row r="67" spans="1:28" s="752" customFormat="1" ht="13.8" thickTop="1">
      <c r="A67" s="460">
        <v>50</v>
      </c>
      <c r="B67" s="823" t="s">
        <v>180</v>
      </c>
      <c r="C67" s="823"/>
      <c r="D67" s="762">
        <f>Input!$LY$11</f>
        <v>0</v>
      </c>
      <c r="E67" s="762">
        <f>Input!$LZ$11</f>
        <v>0</v>
      </c>
      <c r="F67" s="762">
        <f>Input!$MA$11</f>
        <v>0</v>
      </c>
      <c r="G67" s="762">
        <f>Input!$MB$11</f>
        <v>152558</v>
      </c>
      <c r="H67" s="762">
        <f>Input!$MC$11</f>
        <v>0</v>
      </c>
      <c r="I67" s="762">
        <f>Input!$MD$11</f>
        <v>0</v>
      </c>
      <c r="J67" s="762">
        <f>Input!$ME$11</f>
        <v>0</v>
      </c>
      <c r="K67" s="762">
        <f>Input!$MF$11</f>
        <v>0</v>
      </c>
      <c r="L67" s="762">
        <f>Input!$MG$11</f>
        <v>0</v>
      </c>
      <c r="M67" s="723">
        <f t="shared" si="12"/>
        <v>152558</v>
      </c>
      <c r="O67" s="831">
        <f t="shared" si="14"/>
        <v>152558</v>
      </c>
      <c r="P67" s="832">
        <f>Input!$TM$11</f>
        <v>0</v>
      </c>
      <c r="Q67" s="832">
        <f>Input!$TW$11</f>
        <v>0</v>
      </c>
      <c r="R67" s="832">
        <f>Input!$UF$11</f>
        <v>0</v>
      </c>
      <c r="S67" s="837">
        <f t="shared" ref="S67:S72" si="16">O67+P67-Q67-R67</f>
        <v>152558</v>
      </c>
      <c r="T67" s="723"/>
      <c r="U67" s="834">
        <f t="shared" si="15"/>
        <v>152558</v>
      </c>
      <c r="V67" s="723"/>
      <c r="W67" s="828" t="s">
        <v>180</v>
      </c>
      <c r="X67" s="835">
        <f>Input!$UQ$11</f>
        <v>152558</v>
      </c>
      <c r="Y67" s="836">
        <f t="shared" si="13"/>
        <v>0</v>
      </c>
      <c r="Z67" s="723"/>
      <c r="AA67" s="723"/>
      <c r="AB67" s="723"/>
    </row>
    <row r="68" spans="1:28" s="752" customFormat="1">
      <c r="A68" s="460">
        <v>51</v>
      </c>
      <c r="B68" s="823" t="s">
        <v>164</v>
      </c>
      <c r="C68" s="823"/>
      <c r="D68" s="762">
        <f>Input!$MH$11</f>
        <v>174731355</v>
      </c>
      <c r="E68" s="762">
        <f>Input!$MI$11</f>
        <v>30558988</v>
      </c>
      <c r="F68" s="762">
        <f>Input!$MJ$11</f>
        <v>0</v>
      </c>
      <c r="G68" s="762">
        <f>Input!$MK$11</f>
        <v>6457805</v>
      </c>
      <c r="H68" s="762">
        <f>Input!$ML$11</f>
        <v>0</v>
      </c>
      <c r="I68" s="762">
        <f>Input!$MM$11</f>
        <v>0</v>
      </c>
      <c r="J68" s="762">
        <f>Input!$MN$11</f>
        <v>0</v>
      </c>
      <c r="K68" s="762">
        <f>Input!$MO$11</f>
        <v>0</v>
      </c>
      <c r="L68" s="762">
        <f>Input!$MP$11</f>
        <v>0</v>
      </c>
      <c r="M68" s="723">
        <f t="shared" si="12"/>
        <v>211748148</v>
      </c>
      <c r="O68" s="831">
        <f t="shared" si="14"/>
        <v>211748148</v>
      </c>
      <c r="P68" s="832">
        <f>Input!$TN$11</f>
        <v>216746</v>
      </c>
      <c r="Q68" s="832">
        <f>Input!$TX$11</f>
        <v>0</v>
      </c>
      <c r="R68" s="832">
        <f>Input!$UG$11</f>
        <v>0</v>
      </c>
      <c r="S68" s="837">
        <f t="shared" si="16"/>
        <v>211964894</v>
      </c>
      <c r="T68" s="723"/>
      <c r="U68" s="834">
        <f t="shared" si="15"/>
        <v>211748148</v>
      </c>
      <c r="V68" s="723"/>
      <c r="W68" s="828" t="s">
        <v>164</v>
      </c>
      <c r="X68" s="835">
        <f>Input!$UR$11</f>
        <v>211748148</v>
      </c>
      <c r="Y68" s="836">
        <f t="shared" si="13"/>
        <v>0</v>
      </c>
      <c r="Z68" s="723"/>
      <c r="AA68" s="723"/>
      <c r="AB68" s="723"/>
    </row>
    <row r="69" spans="1:28" s="752" customFormat="1">
      <c r="A69" s="460">
        <v>52</v>
      </c>
      <c r="B69" s="823" t="s">
        <v>181</v>
      </c>
      <c r="C69" s="823"/>
      <c r="D69" s="762">
        <f>Input!$MQ$11</f>
        <v>2203707</v>
      </c>
      <c r="E69" s="762">
        <f>Input!$MR$11</f>
        <v>126418</v>
      </c>
      <c r="F69" s="762">
        <f>Input!$MS$11</f>
        <v>0</v>
      </c>
      <c r="G69" s="762">
        <f>Input!$MT$11</f>
        <v>160921</v>
      </c>
      <c r="H69" s="762">
        <f>Input!$MU$11</f>
        <v>0</v>
      </c>
      <c r="I69" s="762">
        <f>Input!$MV$11</f>
        <v>0</v>
      </c>
      <c r="J69" s="762">
        <f>Input!$MW$11</f>
        <v>0</v>
      </c>
      <c r="K69" s="762">
        <f>Input!$MX$11</f>
        <v>0</v>
      </c>
      <c r="L69" s="762">
        <f>Input!$MY$11</f>
        <v>0</v>
      </c>
      <c r="M69" s="723">
        <f t="shared" si="12"/>
        <v>2491046</v>
      </c>
      <c r="O69" s="831">
        <f t="shared" si="14"/>
        <v>2491046</v>
      </c>
      <c r="P69" s="832">
        <f>Input!$TO$11</f>
        <v>764</v>
      </c>
      <c r="Q69" s="832">
        <f>Input!$TY$11</f>
        <v>0</v>
      </c>
      <c r="R69" s="832">
        <f>Input!$UH$11</f>
        <v>0</v>
      </c>
      <c r="S69" s="837">
        <f t="shared" si="16"/>
        <v>2491810</v>
      </c>
      <c r="T69" s="723"/>
      <c r="U69" s="834">
        <f t="shared" si="15"/>
        <v>2491046</v>
      </c>
      <c r="V69" s="723"/>
      <c r="W69" s="828" t="s">
        <v>181</v>
      </c>
      <c r="X69" s="835">
        <f>Input!$US$11</f>
        <v>2491046</v>
      </c>
      <c r="Y69" s="836">
        <f t="shared" si="13"/>
        <v>0</v>
      </c>
      <c r="Z69" s="723"/>
      <c r="AA69" s="723"/>
      <c r="AB69" s="723"/>
    </row>
    <row r="70" spans="1:28" s="752" customFormat="1">
      <c r="A70" s="460">
        <v>53</v>
      </c>
      <c r="B70" s="823" t="s">
        <v>182</v>
      </c>
      <c r="C70" s="823"/>
      <c r="D70" s="762">
        <f>Input!$MZ$11</f>
        <v>189250</v>
      </c>
      <c r="E70" s="762">
        <f>Input!$NA$11</f>
        <v>270777</v>
      </c>
      <c r="F70" s="762">
        <f>Input!$NB$11</f>
        <v>0</v>
      </c>
      <c r="G70" s="762">
        <f>Input!$NC$11</f>
        <v>0</v>
      </c>
      <c r="H70" s="762">
        <f>Input!$ND$11</f>
        <v>0</v>
      </c>
      <c r="I70" s="762">
        <f>Input!$NE$11</f>
        <v>0</v>
      </c>
      <c r="J70" s="762">
        <f>Input!$NF$11</f>
        <v>0</v>
      </c>
      <c r="K70" s="762">
        <f>Input!$NG$11</f>
        <v>0</v>
      </c>
      <c r="L70" s="762">
        <f>Input!$NH$11</f>
        <v>0</v>
      </c>
      <c r="M70" s="723">
        <f t="shared" si="12"/>
        <v>460027</v>
      </c>
      <c r="O70" s="831">
        <f t="shared" si="14"/>
        <v>460027</v>
      </c>
      <c r="P70" s="832">
        <f>Input!$TP$11</f>
        <v>0</v>
      </c>
      <c r="Q70" s="832">
        <f>Input!$TZ$11</f>
        <v>0</v>
      </c>
      <c r="R70" s="832">
        <f>Input!$UI$11</f>
        <v>0</v>
      </c>
      <c r="S70" s="837">
        <f t="shared" si="16"/>
        <v>460027</v>
      </c>
      <c r="T70" s="723"/>
      <c r="U70" s="834">
        <f t="shared" si="15"/>
        <v>460027</v>
      </c>
      <c r="V70" s="723"/>
      <c r="W70" s="828" t="s">
        <v>182</v>
      </c>
      <c r="X70" s="835">
        <f>Input!$UT$11</f>
        <v>460027</v>
      </c>
      <c r="Y70" s="836">
        <f t="shared" si="13"/>
        <v>0</v>
      </c>
      <c r="Z70" s="723"/>
      <c r="AA70" s="723"/>
      <c r="AB70" s="723"/>
    </row>
    <row r="71" spans="1:28" s="752" customFormat="1">
      <c r="A71" s="460">
        <v>54</v>
      </c>
      <c r="B71" s="823" t="s">
        <v>183</v>
      </c>
      <c r="C71" s="823"/>
      <c r="D71" s="762">
        <f>Input!$NI$11</f>
        <v>10971174</v>
      </c>
      <c r="E71" s="762">
        <f>Input!$NJ$11</f>
        <v>3973732</v>
      </c>
      <c r="F71" s="762">
        <f>Input!$NK$11</f>
        <v>0</v>
      </c>
      <c r="G71" s="762">
        <f>Input!$NL$11</f>
        <v>199014</v>
      </c>
      <c r="H71" s="762">
        <f>Input!$NM$11</f>
        <v>0</v>
      </c>
      <c r="I71" s="762">
        <f>Input!$NN$11</f>
        <v>0</v>
      </c>
      <c r="J71" s="762">
        <f>Input!$NO$11</f>
        <v>0</v>
      </c>
      <c r="K71" s="762">
        <f>Input!$NP$11</f>
        <v>0</v>
      </c>
      <c r="L71" s="762">
        <f>Input!$NQ$11</f>
        <v>0</v>
      </c>
      <c r="M71" s="723">
        <f t="shared" si="12"/>
        <v>15143920</v>
      </c>
      <c r="O71" s="831">
        <f t="shared" si="14"/>
        <v>15143920</v>
      </c>
      <c r="P71" s="832">
        <f>Input!$TQ$11</f>
        <v>42585</v>
      </c>
      <c r="Q71" s="832">
        <f>Input!$UA$11</f>
        <v>0</v>
      </c>
      <c r="R71" s="832">
        <f>Input!$UJ$11</f>
        <v>0</v>
      </c>
      <c r="S71" s="837">
        <f t="shared" si="16"/>
        <v>15186505</v>
      </c>
      <c r="T71" s="723"/>
      <c r="U71" s="834">
        <f t="shared" si="15"/>
        <v>15143920</v>
      </c>
      <c r="V71" s="723"/>
      <c r="W71" s="828" t="s">
        <v>183</v>
      </c>
      <c r="X71" s="835">
        <f>Input!$UU$11</f>
        <v>15143920</v>
      </c>
      <c r="Y71" s="836">
        <f t="shared" si="13"/>
        <v>0</v>
      </c>
      <c r="Z71" s="723"/>
      <c r="AA71" s="723"/>
      <c r="AB71" s="723"/>
    </row>
    <row r="72" spans="1:28" s="752" customFormat="1">
      <c r="A72" s="460">
        <v>55</v>
      </c>
      <c r="B72" s="823" t="s">
        <v>184</v>
      </c>
      <c r="C72" s="823"/>
      <c r="D72" s="762">
        <f>Input!$NR$11</f>
        <v>10186672</v>
      </c>
      <c r="E72" s="762">
        <f>Input!$NS$11</f>
        <v>0</v>
      </c>
      <c r="F72" s="762">
        <f>Input!$NT$11</f>
        <v>0</v>
      </c>
      <c r="G72" s="762">
        <f>Input!$NU$11</f>
        <v>0</v>
      </c>
      <c r="H72" s="762">
        <f>Input!$NV$11</f>
        <v>0</v>
      </c>
      <c r="I72" s="762">
        <f>Input!$NW$11</f>
        <v>0</v>
      </c>
      <c r="J72" s="762">
        <f>Input!$NX$11</f>
        <v>292407</v>
      </c>
      <c r="K72" s="762">
        <f>Input!$NY$11</f>
        <v>0</v>
      </c>
      <c r="L72" s="762">
        <f>Input!$NZ$11</f>
        <v>0</v>
      </c>
      <c r="M72" s="723">
        <f t="shared" si="12"/>
        <v>10479079</v>
      </c>
      <c r="O72" s="831">
        <f t="shared" si="14"/>
        <v>10186672</v>
      </c>
      <c r="P72" s="832">
        <f>Input!$TR$11</f>
        <v>0</v>
      </c>
      <c r="Q72" s="832">
        <f>Input!$UB$11</f>
        <v>0</v>
      </c>
      <c r="R72" s="832">
        <f>Input!$UK$11</f>
        <v>0</v>
      </c>
      <c r="S72" s="837">
        <f t="shared" si="16"/>
        <v>10186672</v>
      </c>
      <c r="T72" s="723"/>
      <c r="U72" s="834">
        <f t="shared" si="15"/>
        <v>10479079</v>
      </c>
      <c r="V72" s="723"/>
      <c r="W72" s="828" t="s">
        <v>671</v>
      </c>
      <c r="X72" s="835">
        <f>Input!$UV$11</f>
        <v>10479079</v>
      </c>
      <c r="Y72" s="836">
        <f t="shared" si="13"/>
        <v>0</v>
      </c>
      <c r="Z72" s="723"/>
      <c r="AA72" s="723"/>
      <c r="AB72" s="723"/>
    </row>
    <row r="73" spans="1:28" s="752" customFormat="1" ht="13.8" thickBot="1">
      <c r="A73" s="460">
        <v>56</v>
      </c>
      <c r="B73" s="823" t="s">
        <v>185</v>
      </c>
      <c r="C73" s="823"/>
      <c r="D73" s="762">
        <f>Input!$OA$11</f>
        <v>0</v>
      </c>
      <c r="E73" s="762">
        <f>Input!$OB$11</f>
        <v>0</v>
      </c>
      <c r="F73" s="762">
        <f>Input!$OC$11</f>
        <v>0</v>
      </c>
      <c r="G73" s="762">
        <f>Input!$OD$11</f>
        <v>59947</v>
      </c>
      <c r="H73" s="762">
        <f>Input!$OE$11</f>
        <v>0</v>
      </c>
      <c r="I73" s="762">
        <f>Input!$OF$11</f>
        <v>0</v>
      </c>
      <c r="J73" s="762">
        <f>Input!$OG$11</f>
        <v>0</v>
      </c>
      <c r="K73" s="762">
        <f>Input!$OH$11</f>
        <v>0</v>
      </c>
      <c r="L73" s="762">
        <f>Input!$OI$11</f>
        <v>0</v>
      </c>
      <c r="M73" s="723">
        <f t="shared" si="12"/>
        <v>59947</v>
      </c>
      <c r="O73" s="838">
        <f>D73+E73+G73</f>
        <v>59947</v>
      </c>
      <c r="P73" s="832">
        <f>Input!$TS$11</f>
        <v>0</v>
      </c>
      <c r="Q73" s="839">
        <f>Input!$UC$11</f>
        <v>0</v>
      </c>
      <c r="R73" s="839">
        <f>Input!$UL$11</f>
        <v>0</v>
      </c>
      <c r="S73" s="840">
        <f>O73+P73-Q73-R73</f>
        <v>59947</v>
      </c>
      <c r="T73" s="841"/>
      <c r="U73" s="834">
        <f t="shared" si="15"/>
        <v>59947</v>
      </c>
      <c r="V73" s="841"/>
      <c r="W73" s="828" t="s">
        <v>185</v>
      </c>
      <c r="X73" s="835">
        <f>Input!$UW$11</f>
        <v>59947</v>
      </c>
      <c r="Y73" s="836">
        <f t="shared" si="13"/>
        <v>0</v>
      </c>
      <c r="Z73" s="723"/>
      <c r="AA73" s="723"/>
      <c r="AB73" s="723"/>
    </row>
    <row r="74" spans="1:28" s="752" customFormat="1" ht="13.8" thickTop="1">
      <c r="A74" s="460">
        <v>57</v>
      </c>
      <c r="B74" s="823" t="s">
        <v>472</v>
      </c>
      <c r="C74" s="823"/>
      <c r="D74" s="762">
        <f>Input!$OJ$11</f>
        <v>0</v>
      </c>
      <c r="E74" s="762">
        <f>Input!$OK$11</f>
        <v>0</v>
      </c>
      <c r="F74" s="762">
        <f>Input!$OL$11</f>
        <v>168402</v>
      </c>
      <c r="G74" s="762">
        <f>Input!$OM$11</f>
        <v>0</v>
      </c>
      <c r="H74" s="762">
        <f>Input!$ON$11</f>
        <v>0</v>
      </c>
      <c r="I74" s="762">
        <f>Input!$OO$11</f>
        <v>0</v>
      </c>
      <c r="J74" s="762">
        <f>Input!$OP$11</f>
        <v>0</v>
      </c>
      <c r="K74" s="762">
        <f>Input!$OQ$11</f>
        <v>0</v>
      </c>
      <c r="L74" s="762">
        <f>Input!$OR$11</f>
        <v>0</v>
      </c>
      <c r="M74" s="723">
        <f t="shared" si="12"/>
        <v>168402</v>
      </c>
      <c r="O74" s="492"/>
      <c r="P74" s="842">
        <f>Input!$TT$11</f>
        <v>0</v>
      </c>
      <c r="Q74" s="843"/>
      <c r="R74" s="844"/>
      <c r="S74" s="845">
        <f>SUM(S65:S73)</f>
        <v>345595110</v>
      </c>
      <c r="T74" s="844"/>
      <c r="U74" s="834">
        <f t="shared" si="15"/>
        <v>168402</v>
      </c>
      <c r="V74" s="844"/>
      <c r="W74" s="828" t="s">
        <v>186</v>
      </c>
      <c r="X74" s="835">
        <f>Input!$UX$11</f>
        <v>168402</v>
      </c>
      <c r="Y74" s="836">
        <f t="shared" si="13"/>
        <v>0</v>
      </c>
      <c r="Z74" s="723"/>
      <c r="AA74" s="723"/>
      <c r="AB74" s="723"/>
    </row>
    <row r="75" spans="1:28" s="752" customFormat="1">
      <c r="A75" s="460">
        <v>58</v>
      </c>
      <c r="B75" s="846" t="s">
        <v>602</v>
      </c>
      <c r="C75" s="846"/>
      <c r="D75" s="762">
        <f>Input!$OS$11</f>
        <v>1602982</v>
      </c>
      <c r="E75" s="762">
        <f>Input!$OT$11</f>
        <v>7029</v>
      </c>
      <c r="F75" s="762">
        <f>Input!$OU$11</f>
        <v>0</v>
      </c>
      <c r="G75" s="762">
        <f>Input!$OV$11</f>
        <v>123551</v>
      </c>
      <c r="H75" s="762">
        <f>Input!$OW$11</f>
        <v>0</v>
      </c>
      <c r="I75" s="762">
        <f>Input!$OX$11</f>
        <v>0</v>
      </c>
      <c r="J75" s="762">
        <f>Input!$OY$11</f>
        <v>0</v>
      </c>
      <c r="K75" s="762">
        <f>Input!$OZ$11</f>
        <v>0</v>
      </c>
      <c r="L75" s="762">
        <f>Input!$PA$11</f>
        <v>0</v>
      </c>
      <c r="M75" s="723">
        <f t="shared" si="12"/>
        <v>1733562</v>
      </c>
      <c r="O75" s="492"/>
      <c r="P75" s="492">
        <f>SUM(P65:P74)</f>
        <v>1733562</v>
      </c>
      <c r="Q75" s="843" t="s">
        <v>672</v>
      </c>
      <c r="R75" s="844"/>
      <c r="S75" s="847"/>
      <c r="T75" s="844"/>
      <c r="U75" s="834">
        <f t="shared" si="15"/>
        <v>1733562</v>
      </c>
      <c r="V75" s="844"/>
      <c r="W75" s="828" t="s">
        <v>673</v>
      </c>
      <c r="X75" s="848">
        <f>M93*-1</f>
        <v>18918417</v>
      </c>
      <c r="Y75" s="836">
        <f>X75+M93</f>
        <v>0</v>
      </c>
      <c r="Z75" s="849"/>
      <c r="AA75" s="849"/>
      <c r="AB75" s="849"/>
    </row>
    <row r="76" spans="1:28" s="752" customFormat="1" ht="13.8" thickBot="1">
      <c r="A76" s="460">
        <v>59</v>
      </c>
      <c r="B76" s="850" t="s">
        <v>603</v>
      </c>
      <c r="C76" s="850"/>
      <c r="D76" s="851">
        <f>Input!$PB$11</f>
        <v>57002</v>
      </c>
      <c r="E76" s="851">
        <f>Input!$PC$11</f>
        <v>0</v>
      </c>
      <c r="F76" s="851">
        <f>Input!$PD$11</f>
        <v>0</v>
      </c>
      <c r="G76" s="851">
        <f>Input!$PE$11</f>
        <v>0</v>
      </c>
      <c r="H76" s="851">
        <f>Input!$PF$11</f>
        <v>0</v>
      </c>
      <c r="I76" s="851">
        <f>Input!$PG$11</f>
        <v>0</v>
      </c>
      <c r="J76" s="851">
        <f>Input!$PH$11</f>
        <v>0</v>
      </c>
      <c r="K76" s="851">
        <f>Input!$PI$11</f>
        <v>0</v>
      </c>
      <c r="L76" s="851">
        <f>Input!$PJ$11</f>
        <v>0</v>
      </c>
      <c r="M76" s="723">
        <f t="shared" si="12"/>
        <v>57002</v>
      </c>
      <c r="O76" s="492"/>
      <c r="P76" s="852" t="str">
        <f>IF(P75&lt;&gt;M75,"Out of Balance","Balanced")</f>
        <v>Balanced</v>
      </c>
      <c r="Q76" s="1213" t="s">
        <v>674</v>
      </c>
      <c r="R76" s="1214"/>
      <c r="S76" s="853">
        <f>Input!$UM$11</f>
        <v>535246548</v>
      </c>
      <c r="T76" s="492"/>
      <c r="U76" s="854">
        <f t="shared" si="15"/>
        <v>57002</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221507426</v>
      </c>
      <c r="E77" s="769">
        <f t="shared" si="17"/>
        <v>94660918</v>
      </c>
      <c r="F77" s="769">
        <f t="shared" si="17"/>
        <v>168402</v>
      </c>
      <c r="G77" s="769">
        <f t="shared" si="17"/>
        <v>30243375</v>
      </c>
      <c r="H77" s="769">
        <f t="shared" si="17"/>
        <v>0</v>
      </c>
      <c r="I77" s="769">
        <f t="shared" si="17"/>
        <v>0</v>
      </c>
      <c r="J77" s="769">
        <f t="shared" si="17"/>
        <v>292407</v>
      </c>
      <c r="K77" s="769">
        <f t="shared" si="17"/>
        <v>0</v>
      </c>
      <c r="L77" s="769">
        <f t="shared" si="17"/>
        <v>0</v>
      </c>
      <c r="M77" s="769">
        <f t="shared" si="12"/>
        <v>346872528</v>
      </c>
      <c r="O77" s="320"/>
      <c r="P77" s="492"/>
      <c r="Q77" s="859" t="s">
        <v>676</v>
      </c>
      <c r="R77" s="860"/>
      <c r="S77" s="861">
        <f>Input!$UN$11</f>
        <v>381104290</v>
      </c>
      <c r="T77" s="320"/>
      <c r="U77" s="862">
        <f>SUM(U65:U76)</f>
        <v>346872528</v>
      </c>
      <c r="V77" s="320"/>
      <c r="W77" s="320"/>
      <c r="X77" s="863">
        <f>SUM(X65:X76)</f>
        <v>364000381</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191452852</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Input!$PK$11</f>
        <v>0</v>
      </c>
      <c r="E80" s="762">
        <f>Input!$PL$11</f>
        <v>0</v>
      </c>
      <c r="F80" s="762">
        <f>Input!$PM$11</f>
        <v>0</v>
      </c>
      <c r="G80" s="762">
        <f>Input!$PN$11</f>
        <v>0</v>
      </c>
      <c r="H80" s="762">
        <f>Input!$PO$11</f>
        <v>0</v>
      </c>
      <c r="I80" s="762">
        <f>Input!$PP$11</f>
        <v>0</v>
      </c>
      <c r="J80" s="762">
        <f>Input!$PQ$11</f>
        <v>-15885149</v>
      </c>
      <c r="K80" s="762">
        <f>Input!$PR$11</f>
        <v>0</v>
      </c>
      <c r="L80" s="762">
        <f>Input!$PS$11</f>
        <v>0</v>
      </c>
      <c r="M80" s="723">
        <f>D80+E80+F80+G80+H80+I80+J80+K80+L80</f>
        <v>-15885149</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Input!$PT$11</f>
        <v>15499730</v>
      </c>
      <c r="E81" s="762">
        <f>Input!$PU$11</f>
        <v>-18090295</v>
      </c>
      <c r="F81" s="762">
        <f>Input!$PV$11</f>
        <v>565</v>
      </c>
      <c r="G81" s="762">
        <f>Input!$PW$11</f>
        <v>-1485318</v>
      </c>
      <c r="H81" s="762">
        <f>Input!$PX$11</f>
        <v>0</v>
      </c>
      <c r="I81" s="762">
        <f>Input!$PY$11</f>
        <v>235628</v>
      </c>
      <c r="J81" s="762">
        <f>Input!$PZ$11</f>
        <v>4686305</v>
      </c>
      <c r="K81" s="762">
        <f>Input!$QA$11</f>
        <v>0</v>
      </c>
      <c r="L81" s="762">
        <f>Input!$QB$11</f>
        <v>1249040</v>
      </c>
      <c r="M81" s="723">
        <f>D81+E81+F81+G81+H81+I81+J81+K81+L81</f>
        <v>2095655</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Input!$QC$11</f>
        <v>0</v>
      </c>
      <c r="E82" s="762">
        <f>Input!$QD$11</f>
        <v>0</v>
      </c>
      <c r="F82" s="762">
        <f>Input!$QE$11</f>
        <v>0</v>
      </c>
      <c r="G82" s="762">
        <f>Input!$QF$11</f>
        <v>0</v>
      </c>
      <c r="H82" s="762">
        <f>Input!$QG$11</f>
        <v>0</v>
      </c>
      <c r="I82" s="762">
        <f>Input!$QH$11</f>
        <v>0</v>
      </c>
      <c r="J82" s="762">
        <f>Input!$QI$11</f>
        <v>11232533</v>
      </c>
      <c r="K82" s="762">
        <f>Input!$QJ$11</f>
        <v>0</v>
      </c>
      <c r="L82" s="762">
        <f>Input!$QK$11</f>
        <v>0</v>
      </c>
      <c r="M82" s="723">
        <f>D82+E82+F82+G82+H82+I82+J82+K82+L82</f>
        <v>11232533</v>
      </c>
      <c r="O82" s="492"/>
      <c r="P82" s="1218" t="str">
        <f>IF(M91&lt;0,"Footnote 11 is N/A - No Data Entry Required","Footnote 11")</f>
        <v>Footnote 11</v>
      </c>
      <c r="Q82" s="1219"/>
      <c r="R82" s="1219"/>
      <c r="S82" s="1220"/>
      <c r="T82" s="443"/>
      <c r="U82" s="443"/>
      <c r="V82" s="320"/>
      <c r="W82" s="320"/>
      <c r="X82" s="320"/>
      <c r="Y82" s="320"/>
      <c r="Z82" s="320"/>
      <c r="AA82" s="320"/>
      <c r="AB82" s="320"/>
    </row>
    <row r="83" spans="1:28" s="752" customFormat="1" ht="13.8" thickTop="1">
      <c r="A83" s="460">
        <v>66</v>
      </c>
      <c r="B83" s="752" t="s">
        <v>477</v>
      </c>
      <c r="D83" s="762">
        <f>Input!$QL$11</f>
        <v>-3910191</v>
      </c>
      <c r="E83" s="762">
        <f>Input!$QM$11</f>
        <v>0</v>
      </c>
      <c r="F83" s="762">
        <f>Input!$QN$11</f>
        <v>0</v>
      </c>
      <c r="G83" s="762">
        <f>Input!$QO$11</f>
        <v>0</v>
      </c>
      <c r="H83" s="762">
        <f>Input!$QP$11</f>
        <v>0</v>
      </c>
      <c r="I83" s="762">
        <f>Input!$QQ$11</f>
        <v>0</v>
      </c>
      <c r="J83" s="762">
        <f>Input!$QR$11</f>
        <v>-470975</v>
      </c>
      <c r="K83" s="762">
        <f>Input!$QS$11</f>
        <v>0</v>
      </c>
      <c r="L83" s="762">
        <f>Input!$QT$11</f>
        <v>0</v>
      </c>
      <c r="M83" s="723">
        <f>D83+E83+F83+G83+H83+I83+J83+K83+L83</f>
        <v>-4381166</v>
      </c>
      <c r="O83" s="723"/>
      <c r="P83" s="869" t="s">
        <v>678</v>
      </c>
      <c r="Q83" s="870"/>
      <c r="R83" s="871"/>
      <c r="S83" s="872">
        <f>IF(M91&lt;0,"N/A",M91)</f>
        <v>2856622</v>
      </c>
      <c r="T83" s="492"/>
      <c r="U83" s="443"/>
      <c r="V83" s="320"/>
      <c r="W83" s="320"/>
      <c r="X83" s="443"/>
      <c r="Y83" s="443"/>
      <c r="Z83" s="320"/>
      <c r="AA83" s="320"/>
      <c r="AB83" s="320"/>
    </row>
    <row r="84" spans="1:28" s="752" customFormat="1">
      <c r="A84" s="460">
        <v>67</v>
      </c>
      <c r="B84" s="858" t="s">
        <v>155</v>
      </c>
      <c r="C84" s="858"/>
      <c r="D84" s="769">
        <f t="shared" ref="D84:L84" si="18">SUM(D80:D83)</f>
        <v>11589539</v>
      </c>
      <c r="E84" s="769">
        <f t="shared" si="18"/>
        <v>-18090295</v>
      </c>
      <c r="F84" s="769">
        <f t="shared" si="18"/>
        <v>565</v>
      </c>
      <c r="G84" s="769">
        <f t="shared" si="18"/>
        <v>-1485318</v>
      </c>
      <c r="H84" s="769">
        <f t="shared" si="18"/>
        <v>0</v>
      </c>
      <c r="I84" s="769">
        <f t="shared" si="18"/>
        <v>235628</v>
      </c>
      <c r="J84" s="769">
        <f t="shared" si="18"/>
        <v>-437286</v>
      </c>
      <c r="K84" s="769">
        <f t="shared" si="18"/>
        <v>0</v>
      </c>
      <c r="L84" s="769">
        <f t="shared" si="18"/>
        <v>1249040</v>
      </c>
      <c r="M84" s="769">
        <f>D84+E84+F84+G84+H84+I84+J84+K84+L84</f>
        <v>-6938127</v>
      </c>
      <c r="O84" s="723"/>
      <c r="P84" s="873" t="s">
        <v>679</v>
      </c>
      <c r="Q84" s="492"/>
      <c r="R84" s="492"/>
      <c r="S84" s="874">
        <f>Input!$UY$11</f>
        <v>9413487</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f>IF(M91&lt;0,"",S83-S84)</f>
        <v>-6556865</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Input!$QU$11</f>
        <v>5751</v>
      </c>
      <c r="E87" s="762">
        <f>Input!$QV$11</f>
        <v>-663604</v>
      </c>
      <c r="F87" s="762">
        <f>Input!$QW$11</f>
        <v>0</v>
      </c>
      <c r="G87" s="762">
        <f>Input!$QX$11</f>
        <v>-54039</v>
      </c>
      <c r="H87" s="762">
        <f>Input!$QY$11</f>
        <v>0</v>
      </c>
      <c r="I87" s="762">
        <f>Input!$QZ$11</f>
        <v>-6942214</v>
      </c>
      <c r="J87" s="762">
        <f>Input!$RA$11</f>
        <v>0</v>
      </c>
      <c r="K87" s="762">
        <f>Input!$RB$11</f>
        <v>0</v>
      </c>
      <c r="L87" s="762">
        <f>Input!$RC$11</f>
        <v>0</v>
      </c>
      <c r="M87" s="723">
        <f>D87+E87+F87+G87+H87+I87+J87+K87+L87</f>
        <v>-7654106</v>
      </c>
      <c r="O87" s="320"/>
      <c r="P87" s="873" t="s">
        <v>681</v>
      </c>
      <c r="Q87" s="320"/>
      <c r="R87" s="492"/>
      <c r="S87" s="878">
        <f>Input!$UZ$11</f>
        <v>-7654106</v>
      </c>
      <c r="T87" s="320"/>
      <c r="U87" s="320"/>
      <c r="V87" s="320"/>
      <c r="W87" s="320"/>
      <c r="X87" s="443"/>
      <c r="Y87" s="443"/>
      <c r="Z87" s="320"/>
      <c r="AA87" s="320"/>
      <c r="AB87" s="320"/>
    </row>
    <row r="88" spans="1:28" s="752" customFormat="1">
      <c r="A88" s="460">
        <v>71</v>
      </c>
      <c r="B88" s="752" t="s">
        <v>480</v>
      </c>
      <c r="D88" s="762">
        <f>Input!$RD$11</f>
        <v>0</v>
      </c>
      <c r="E88" s="762">
        <f>Input!$RE$11</f>
        <v>0</v>
      </c>
      <c r="F88" s="762">
        <f>Input!$RF$11</f>
        <v>0</v>
      </c>
      <c r="G88" s="762">
        <f>Input!$RG$11</f>
        <v>0</v>
      </c>
      <c r="H88" s="762">
        <f>Input!$RH$11</f>
        <v>0</v>
      </c>
      <c r="I88" s="762">
        <f>Input!$RI$11</f>
        <v>1097241</v>
      </c>
      <c r="J88" s="762">
        <f>Input!$RJ$11</f>
        <v>0</v>
      </c>
      <c r="K88" s="762">
        <f>Input!$RK$11</f>
        <v>0</v>
      </c>
      <c r="L88" s="762">
        <f>Input!$RL$11</f>
        <v>0</v>
      </c>
      <c r="M88" s="723">
        <f>D88+E88+F88+G88+H88+I88+J88+K88+L88</f>
        <v>1097241</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5751</v>
      </c>
      <c r="E89" s="769">
        <f t="shared" si="19"/>
        <v>-663604</v>
      </c>
      <c r="F89" s="769">
        <f t="shared" si="19"/>
        <v>0</v>
      </c>
      <c r="G89" s="769">
        <f t="shared" si="19"/>
        <v>-54039</v>
      </c>
      <c r="H89" s="769">
        <f t="shared" si="19"/>
        <v>0</v>
      </c>
      <c r="I89" s="769">
        <f t="shared" si="19"/>
        <v>-5844973</v>
      </c>
      <c r="J89" s="769">
        <f t="shared" si="19"/>
        <v>0</v>
      </c>
      <c r="K89" s="769">
        <f t="shared" si="19"/>
        <v>0</v>
      </c>
      <c r="L89" s="769">
        <f t="shared" si="19"/>
        <v>0</v>
      </c>
      <c r="M89" s="769">
        <f>D89+E89+F89+G89+H89+I89+J89+K89+L89</f>
        <v>-6556865</v>
      </c>
      <c r="O89" s="320"/>
      <c r="P89" s="873" t="s">
        <v>683</v>
      </c>
      <c r="Q89" s="320"/>
      <c r="R89" s="320"/>
      <c r="S89" s="875">
        <f>IFERROR(S85-S87,"")</f>
        <v>1097241</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5325038</v>
      </c>
      <c r="E91" s="769">
        <f t="shared" si="20"/>
        <v>-4855529</v>
      </c>
      <c r="F91" s="769">
        <f t="shared" si="20"/>
        <v>-31123</v>
      </c>
      <c r="G91" s="769">
        <f t="shared" si="20"/>
        <v>7555294</v>
      </c>
      <c r="H91" s="769">
        <f t="shared" si="20"/>
        <v>0</v>
      </c>
      <c r="I91" s="769">
        <f t="shared" si="20"/>
        <v>-5607266</v>
      </c>
      <c r="J91" s="769">
        <f t="shared" si="20"/>
        <v>-739549</v>
      </c>
      <c r="K91" s="769">
        <f t="shared" si="20"/>
        <v>0</v>
      </c>
      <c r="L91" s="769">
        <f>L63-L77+L84+L89</f>
        <v>1209757</v>
      </c>
      <c r="M91" s="769">
        <f>D91+E91+F91+G91+H91+I91+J91+K91+L91</f>
        <v>2856622</v>
      </c>
      <c r="O91" s="320"/>
      <c r="P91" s="881" t="s">
        <v>684</v>
      </c>
      <c r="Q91" s="882"/>
      <c r="R91" s="882"/>
      <c r="S91" s="883">
        <f>IFERROR((S89+S87)-S85,"")</f>
        <v>0</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Input!$RM$11</f>
        <v>0</v>
      </c>
      <c r="E93" s="762">
        <f>Input!$RN$11</f>
        <v>0</v>
      </c>
      <c r="F93" s="762">
        <f>Input!$RO$11</f>
        <v>0</v>
      </c>
      <c r="G93" s="762">
        <f>Input!$RP$11</f>
        <v>0</v>
      </c>
      <c r="H93" s="762">
        <f>Input!$RQ$11</f>
        <v>0</v>
      </c>
      <c r="I93" s="762">
        <f>Input!$RR$11</f>
        <v>0</v>
      </c>
      <c r="J93" s="762">
        <f>Input!$RS$11</f>
        <v>0</v>
      </c>
      <c r="K93" s="762">
        <f>Input!$RT$11</f>
        <v>0</v>
      </c>
      <c r="L93" s="762">
        <f>Input!$RU$11</f>
        <v>-18918417</v>
      </c>
      <c r="M93" s="723">
        <f>D93+E93+F93+G93+H93+I93+J93+K93+L93</f>
        <v>-18918417</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Input!$RV$11</f>
        <v>0</v>
      </c>
      <c r="E94" s="762">
        <f>Input!$RW$11</f>
        <v>0</v>
      </c>
      <c r="F94" s="762">
        <f>Input!$RX$11</f>
        <v>0</v>
      </c>
      <c r="G94" s="762">
        <f>Input!$RY$11</f>
        <v>0</v>
      </c>
      <c r="H94" s="762">
        <f>Input!$RZ$11</f>
        <v>0</v>
      </c>
      <c r="I94" s="762">
        <f>Input!$SA$11</f>
        <v>0</v>
      </c>
      <c r="J94" s="762">
        <f>Input!$SB$11</f>
        <v>0</v>
      </c>
      <c r="K94" s="762">
        <f>Input!$SC$11</f>
        <v>0</v>
      </c>
      <c r="L94" s="762">
        <f>Input!$SD$11</f>
        <v>0</v>
      </c>
      <c r="M94" s="723">
        <f>D94+E94+F94+G94+H94+I94+J94+K94+L94</f>
        <v>0</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Input!$SE$11</f>
        <v>0</v>
      </c>
      <c r="E95" s="762">
        <f>Input!$SF$11</f>
        <v>0</v>
      </c>
      <c r="F95" s="762">
        <f>Input!$SG$11</f>
        <v>0</v>
      </c>
      <c r="G95" s="762">
        <f>Input!$SH$11</f>
        <v>0</v>
      </c>
      <c r="H95" s="762">
        <f>Input!$SI$11</f>
        <v>0</v>
      </c>
      <c r="I95" s="762">
        <f>Input!$SJ$11</f>
        <v>0</v>
      </c>
      <c r="J95" s="762">
        <f>Input!$SK$11</f>
        <v>0</v>
      </c>
      <c r="K95" s="762">
        <f>Input!$SL$11</f>
        <v>0</v>
      </c>
      <c r="L95" s="762">
        <f>Input!$SM$11</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Input!$SN$11</f>
        <v>0</v>
      </c>
      <c r="E96" s="762">
        <f>Input!$SO$11</f>
        <v>0</v>
      </c>
      <c r="F96" s="762">
        <f>Input!$SP$11</f>
        <v>0</v>
      </c>
      <c r="G96" s="762">
        <f>Input!$SQ$11</f>
        <v>0</v>
      </c>
      <c r="H96" s="762">
        <f>Input!$SR$11</f>
        <v>0</v>
      </c>
      <c r="I96" s="762">
        <f>Input!$SS$11</f>
        <v>0</v>
      </c>
      <c r="J96" s="762">
        <f>Input!$ST$11</f>
        <v>0</v>
      </c>
      <c r="K96" s="762">
        <f>Input!$SU$11</f>
        <v>0</v>
      </c>
      <c r="L96" s="762">
        <f>Input!$SV$11</f>
        <v>0</v>
      </c>
      <c r="M96" s="723">
        <f>D96+E96+F96+G96+H96+I96+J96+K96+L96</f>
        <v>0</v>
      </c>
      <c r="O96" s="884"/>
      <c r="P96" s="320"/>
      <c r="Q96" s="320"/>
      <c r="R96" s="320"/>
      <c r="S96" s="320"/>
      <c r="Y96" s="320"/>
      <c r="Z96" s="320"/>
      <c r="AA96" s="320"/>
      <c r="AB96" s="320"/>
    </row>
    <row r="97" spans="1:28" s="752" customFormat="1">
      <c r="A97" s="460">
        <v>79</v>
      </c>
      <c r="B97" s="320" t="s">
        <v>486</v>
      </c>
      <c r="C97" s="320"/>
      <c r="D97" s="762">
        <f>Input!$SW$11</f>
        <v>0</v>
      </c>
      <c r="E97" s="762">
        <f>Input!$SX$11</f>
        <v>0</v>
      </c>
      <c r="F97" s="762">
        <f>Input!$SY$11</f>
        <v>0</v>
      </c>
      <c r="G97" s="762">
        <f>Input!$SZ$11</f>
        <v>0</v>
      </c>
      <c r="H97" s="762">
        <f>Input!$TA$11</f>
        <v>0</v>
      </c>
      <c r="I97" s="762">
        <f>Input!$TB$11</f>
        <v>0</v>
      </c>
      <c r="J97" s="762">
        <f>Input!$TC$11</f>
        <v>0</v>
      </c>
      <c r="K97" s="762">
        <f>Input!$TD$11</f>
        <v>0</v>
      </c>
      <c r="L97" s="762">
        <f>Input!$TE$11</f>
        <v>17618711</v>
      </c>
      <c r="M97" s="723">
        <f>D97+E97+F97+G97+H97+I97+J97+K97+L97</f>
        <v>17618711</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5325038</v>
      </c>
      <c r="E98" s="886">
        <f t="shared" si="21"/>
        <v>-4855529</v>
      </c>
      <c r="F98" s="886">
        <f t="shared" si="21"/>
        <v>-31123</v>
      </c>
      <c r="G98" s="886">
        <f t="shared" si="21"/>
        <v>7555294</v>
      </c>
      <c r="H98" s="886">
        <f t="shared" si="21"/>
        <v>0</v>
      </c>
      <c r="I98" s="886">
        <f t="shared" si="21"/>
        <v>-5607266</v>
      </c>
      <c r="J98" s="886">
        <f t="shared" si="21"/>
        <v>-739549</v>
      </c>
      <c r="K98" s="886">
        <f t="shared" si="21"/>
        <v>0</v>
      </c>
      <c r="L98" s="886">
        <f t="shared" si="21"/>
        <v>-89949</v>
      </c>
      <c r="M98" s="886">
        <f>SUM(M91:M97)</f>
        <v>1556916</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4" t="str">
        <f>Input!$VC$11</f>
        <v>Bob Armstrong</v>
      </c>
      <c r="Q103" s="1225"/>
      <c r="R103" s="1224" t="str">
        <f>Input!$VD$11</f>
        <v>903-877-7710</v>
      </c>
      <c r="S103" s="1225"/>
      <c r="T103" s="320"/>
      <c r="U103" s="1226" t="str">
        <f>HYPERLINK("Mailto:"&amp;Input!$VE$11,Input!$VE$11)</f>
        <v>bob.armstrong@uthct.edu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Input!$TF$11</f>
        <v>1556916</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IF($L$123&lt;&gt;Input!$F$11,"Out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448339890</v>
      </c>
      <c r="E110" s="723">
        <f>SUM($E$10:$E$14)+SUM($E$19:$E$28)+SUM($E$50)+$E$53+SUM($E$56:$E$61)+SUM($E$65:$E$76)+SUM($E$80:$E$83)+SUM($E$87:$E$88)+SUM($E$93:$E$97)+SUM($E$32:$E$41)+$E$47</f>
        <v>184466307</v>
      </c>
      <c r="F110" s="723">
        <f>SUM($F$10:$F$14)+SUM($F$19:$F$28)+SUM($F$50)+$F$53+SUM($F$56:$F$61)+SUM($F$65:$F$76)+SUM($F$80:$F$83)+SUM($F$87:$F$88)+SUM($F$93:$F$97)+SUM($F$32:$F$41)+$F$47</f>
        <v>305681</v>
      </c>
      <c r="G110" s="723">
        <f>SUM($G$10:$G$14)+SUM($G$19:$G$28)+SUM($G$50)+$G$53+SUM($G$56:$G$61)+SUM($G$65:$G$76)+SUM($G$80:$G$83)+SUM($G$87:$G$88)+SUM($G$93:$G$97)+SUM($G$32:$G$41)+$G$47</f>
        <v>68042044</v>
      </c>
      <c r="H110" s="723">
        <f>SUM($H$10:$H$14)+SUM($H$19:$H$28)+SUM($H$50)+$H$53+SUM($H$56:$H$61)+SUM($H$65:$H$76)+SUM($H$80:$H$83)+SUM($H$87:$H$88)+SUM($H$93:$H$97)+SUM($H$32:$H$41)+$H$47</f>
        <v>0</v>
      </c>
      <c r="I110" s="723">
        <f>SUM($I$10:$I$14)+SUM($I$19:$I$28)+SUM($I$50)+$I$53+SUM($I$56:$I$61)+SUM($I$65:$I$76)+SUM($I$80:$I$83)+SUM($I$87:$I$88)+SUM($I$93:$I$97)+SUM($I$32:$I$41)+$I$47</f>
        <v>-5607266</v>
      </c>
      <c r="J110" s="723">
        <f>SUM($J$10:$J$14)+SUM($J$19:$J$28)+SUM($J$50)+$J$53+SUM($J$56:$J$61)+SUM($J$65:$J$76)+SUM($J$80:$J$83)+SUM($J$87:$J$88)+SUM($J$93:$J$97)+SUM($J$32:$J$41)+$J$47</f>
        <v>-154735</v>
      </c>
      <c r="K110" s="723">
        <f>SUM($K$10:$K$14)+SUM($K$19:$K$28)+SUM($K$50)+$K$53+SUM($K$56:$K$61)+SUM($K$65:$K$76)+SUM($K$80:$K$83)+SUM($K$87:$K$88)+SUM($K$93:$K$97)+SUM($K$32:$K$41)+$K$47</f>
        <v>0</v>
      </c>
      <c r="L110" s="723">
        <f>SUM($L$10:$L$14)+SUM($L$19:$L$28)+SUM($L$50)+$L$53+SUM($L$56:$L$61)+SUM($L$65:$L$76)+SUM($L$80:$L$83)+SUM($L$87:$L$88)+SUM($L$93:$L$97)+SUM($L$32:$L$41)+$L$47</f>
        <v>-89949</v>
      </c>
    </row>
    <row r="111" spans="1:28" s="320" customFormat="1">
      <c r="A111" s="322"/>
      <c r="L111" s="723">
        <f>SUM($D$110:$L$110)</f>
        <v>695301972</v>
      </c>
    </row>
    <row r="112" spans="1:28" s="320" customFormat="1">
      <c r="A112" s="322"/>
      <c r="J112" s="320" t="s">
        <v>690</v>
      </c>
      <c r="L112" s="723">
        <f>$M$105</f>
        <v>1556916</v>
      </c>
    </row>
    <row r="113" spans="1:12" s="320" customFormat="1">
      <c r="A113" s="322"/>
      <c r="J113" s="320" t="s">
        <v>691</v>
      </c>
      <c r="L113" s="492">
        <f>$Q$32</f>
        <v>645312</v>
      </c>
    </row>
    <row r="114" spans="1:12" s="320" customFormat="1">
      <c r="A114" s="322"/>
      <c r="J114" s="320" t="s">
        <v>691</v>
      </c>
      <c r="L114" s="492">
        <f>$R$34</f>
        <v>0</v>
      </c>
    </row>
    <row r="115" spans="1:12" s="320" customFormat="1">
      <c r="A115" s="322"/>
      <c r="J115" s="320" t="s">
        <v>521</v>
      </c>
      <c r="L115" s="492">
        <f>SUM($P$65:$P$74)</f>
        <v>1733562</v>
      </c>
    </row>
    <row r="116" spans="1:12" s="320" customFormat="1">
      <c r="A116" s="322"/>
      <c r="J116" s="320" t="s">
        <v>692</v>
      </c>
      <c r="L116" s="492">
        <f>$S$76+$S$77</f>
        <v>916350838</v>
      </c>
    </row>
    <row r="117" spans="1:12" s="320" customFormat="1">
      <c r="A117" s="322"/>
      <c r="J117" s="320" t="s">
        <v>693</v>
      </c>
      <c r="L117" s="492">
        <f>SUM($Q$65:$Q$73)</f>
        <v>759340</v>
      </c>
    </row>
    <row r="118" spans="1:12" s="320" customFormat="1">
      <c r="A118" s="322"/>
      <c r="J118" s="320" t="s">
        <v>694</v>
      </c>
      <c r="L118" s="492">
        <f>SUM($R$65:$R$73)</f>
        <v>267</v>
      </c>
    </row>
    <row r="119" spans="1:12" s="320" customFormat="1">
      <c r="A119" s="322"/>
      <c r="J119" s="320" t="s">
        <v>695</v>
      </c>
      <c r="L119" s="492">
        <f>SUM($X$65:$X$74)</f>
        <v>345081964</v>
      </c>
    </row>
    <row r="120" spans="1:12" s="320" customFormat="1">
      <c r="A120" s="322"/>
      <c r="J120" s="320" t="s">
        <v>696</v>
      </c>
      <c r="L120" s="492">
        <f>$S$84</f>
        <v>9413487</v>
      </c>
    </row>
    <row r="121" spans="1:12" s="320" customFormat="1">
      <c r="A121" s="322"/>
      <c r="J121" s="320" t="s">
        <v>696</v>
      </c>
      <c r="L121" s="492">
        <f>$S$87</f>
        <v>-7654106</v>
      </c>
    </row>
    <row r="122" spans="1:12" s="320" customFormat="1">
      <c r="A122" s="322"/>
      <c r="J122" s="320" t="s">
        <v>697</v>
      </c>
      <c r="L122" s="443">
        <f>VLOOKUP(B2,Names!$B$10:$C$90,2,FALSE)</f>
        <v>42439</v>
      </c>
    </row>
    <row r="123" spans="1:12">
      <c r="L123" s="898">
        <f>SUM($L$111:$L$122)</f>
        <v>1963231991</v>
      </c>
    </row>
  </sheetData>
  <mergeCells count="27">
    <mergeCell ref="Q76:R76"/>
    <mergeCell ref="O60:S60"/>
    <mergeCell ref="W61:W64"/>
    <mergeCell ref="P105:V106"/>
    <mergeCell ref="P82:S82"/>
    <mergeCell ref="P100:V100"/>
    <mergeCell ref="P103:Q103"/>
    <mergeCell ref="R103:S103"/>
    <mergeCell ref="U103:V103"/>
    <mergeCell ref="R61:R64"/>
    <mergeCell ref="S61:S64"/>
    <mergeCell ref="X61:X64"/>
    <mergeCell ref="Y61:Y64"/>
    <mergeCell ref="U61:U64"/>
    <mergeCell ref="W60:Y60"/>
    <mergeCell ref="U19:Y19"/>
    <mergeCell ref="G64:K64"/>
    <mergeCell ref="P10:P11"/>
    <mergeCell ref="O61:O64"/>
    <mergeCell ref="P61:P64"/>
    <mergeCell ref="Q61:Q64"/>
    <mergeCell ref="O19:S19"/>
    <mergeCell ref="B2:F2"/>
    <mergeCell ref="B3:F3"/>
    <mergeCell ref="B4:F4"/>
    <mergeCell ref="B6:M6"/>
    <mergeCell ref="P4:Q4"/>
  </mergeCells>
  <conditionalFormatting sqref="D98:L98">
    <cfRule type="cellIs" dxfId="281" priority="15" stopIfTrue="1" operator="notEqual">
      <formula>#REF!</formula>
    </cfRule>
  </conditionalFormatting>
  <conditionalFormatting sqref="D99:M99">
    <cfRule type="cellIs" dxfId="280" priority="21" stopIfTrue="1" operator="notEqual">
      <formula>#REF!</formula>
    </cfRule>
  </conditionalFormatting>
  <conditionalFormatting sqref="G64:K64">
    <cfRule type="expression" dxfId="279" priority="14">
      <formula>$R$98&lt;&gt;0</formula>
    </cfRule>
  </conditionalFormatting>
  <conditionalFormatting sqref="M15">
    <cfRule type="cellIs" dxfId="278" priority="16" stopIfTrue="1" operator="notEqual">
      <formula>SUM($M$10:$M$14)</formula>
    </cfRule>
  </conditionalFormatting>
  <conditionalFormatting sqref="M62">
    <cfRule type="cellIs" dxfId="277" priority="17" stopIfTrue="1" operator="notEqual">
      <formula>SUM($M$56:$M$61)</formula>
    </cfRule>
  </conditionalFormatting>
  <conditionalFormatting sqref="M77">
    <cfRule type="cellIs" dxfId="276" priority="20" stopIfTrue="1" operator="notEqual">
      <formula>SUM($M$65:$M$76)</formula>
    </cfRule>
  </conditionalFormatting>
  <conditionalFormatting sqref="M84">
    <cfRule type="cellIs" dxfId="275" priority="18" stopIfTrue="1" operator="notEqual">
      <formula>SUM($M$80:$M$83)</formula>
    </cfRule>
  </conditionalFormatting>
  <conditionalFormatting sqref="M89">
    <cfRule type="cellIs" dxfId="274" priority="19" stopIfTrue="1" operator="notEqual">
      <formula>SUM($M$87:$M$88)</formula>
    </cfRule>
  </conditionalFormatting>
  <conditionalFormatting sqref="O12">
    <cfRule type="expression" dxfId="273" priority="11">
      <formula>$Q$12&lt;&gt;$N$12</formula>
    </cfRule>
  </conditionalFormatting>
  <conditionalFormatting sqref="O13">
    <cfRule type="expression" dxfId="272" priority="12">
      <formula>$Q$13&lt;&gt;$N$13</formula>
    </cfRule>
  </conditionalFormatting>
  <conditionalFormatting sqref="O11:P11">
    <cfRule type="expression" dxfId="271" priority="13">
      <formula>#REF!&lt;&gt;$N$11</formula>
    </cfRule>
  </conditionalFormatting>
  <conditionalFormatting sqref="P76">
    <cfRule type="expression" dxfId="270" priority="5">
      <formula>$P$75&lt;&gt;$M$75</formula>
    </cfRule>
  </conditionalFormatting>
  <conditionalFormatting sqref="P94:P101 Q100:R100 U100:V100 S100:T102 U101 R102 S105:U106">
    <cfRule type="cellIs" dxfId="269" priority="6" stopIfTrue="1" operator="notEqual">
      <formula>#REF!</formula>
    </cfRule>
  </conditionalFormatting>
  <conditionalFormatting sqref="Q35">
    <cfRule type="expression" dxfId="268" priority="1">
      <formula>#REF!&lt;&gt;0</formula>
    </cfRule>
  </conditionalFormatting>
  <conditionalFormatting sqref="Q93:Q100 U93:W100 T95:T102 R99:S102 O93:O100 R95:R97 S95:S98 X95:AB102">
    <cfRule type="cellIs" dxfId="267" priority="47" stopIfTrue="1" operator="notEqual">
      <formula>#REF!</formula>
    </cfRule>
  </conditionalFormatting>
  <conditionalFormatting sqref="Q36:R36">
    <cfRule type="expression" dxfId="266" priority="3">
      <formula>#REF!&lt;&gt;#REF!</formula>
    </cfRule>
  </conditionalFormatting>
  <conditionalFormatting sqref="R35">
    <cfRule type="expression" dxfId="265" priority="2">
      <formula>#REF!&lt;&gt;0</formula>
    </cfRule>
  </conditionalFormatting>
  <conditionalFormatting sqref="S84 S87">
    <cfRule type="expression" dxfId="264" priority="7" stopIfTrue="1">
      <formula>$M$91&gt;=0</formula>
    </cfRule>
    <cfRule type="expression" priority="8">
      <formula>$M$91&lt;0</formula>
    </cfRule>
    <cfRule type="expression" dxfId="263" priority="33" stopIfTrue="1">
      <formula>$M$91&gt;=0</formula>
    </cfRule>
    <cfRule type="expression" priority="34">
      <formula>$M$91&lt;0</formula>
    </cfRule>
  </conditionalFormatting>
  <conditionalFormatting sqref="S91">
    <cfRule type="expression" priority="9" stopIfTrue="1">
      <formula>$N$91&lt;0</formula>
    </cfRule>
    <cfRule type="expression" dxfId="262" priority="10">
      <formula>$T$91&lt;&gt;0</formula>
    </cfRule>
    <cfRule type="expression" priority="35" stopIfTrue="1">
      <formula>$N$91&lt;0</formula>
    </cfRule>
    <cfRule type="expression" dxfId="261" priority="36">
      <formula>$T$91&lt;&gt;0</formula>
    </cfRule>
  </conditionalFormatting>
  <conditionalFormatting sqref="Y78">
    <cfRule type="expression" dxfId="260" priority="4">
      <formula>$Y$77&lt;&gt;0</formula>
    </cfRule>
  </conditionalFormatting>
  <hyperlinks>
    <hyperlink ref="O2" location="Index!A1" display="Return to Index" xr:uid="{00000000-0004-0000-2C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3.109375" style="277" customWidth="1"/>
    <col min="11" max="16384" width="9.109375" style="277"/>
  </cols>
  <sheetData>
    <row r="1" spans="1:6">
      <c r="B1" s="742" t="str">
        <f>'THC Chts'!$A$1</f>
        <v>The University of Texas Health Science Center at Tyler</v>
      </c>
      <c r="D1" s="321" t="s">
        <v>51</v>
      </c>
    </row>
    <row r="2" spans="1:6">
      <c r="B2" s="742" t="str">
        <f>'Smmy Chts'!$A$2</f>
        <v>For the Year Ended August 31, 2022</v>
      </c>
    </row>
    <row r="3" spans="1:6">
      <c r="B3" s="742" t="str">
        <f>'Smmy Chts'!$A$3</f>
        <v>Source: FY 2022 Annual Financial Report</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str">
        <f>IF('THC FGD'!$S$83="N/A","FN11.  N/A",$B$14&amp;$B$15&amp;$B$16&amp;$B$17&amp;$B$18&amp;$B$19&amp;$B$20&amp;$B$21&amp;$B$22&amp;$B$23&amp;$B$24)</f>
        <v>FN11: Of the net increase of $2,856,622 approximately $9.4 million represents revenues received but not year expended. This income is fully committed to program expenditures and capital disbursements. The remaining $(6.6) million represents non-expendable funds from unrealized gains and additions to permanent endowments of approximately $(7.7) million and $1.1 million respectively. Unrealized gains and additions to permanent endowments do not contribute to the availability of the institution's operating cash as discussed in FN6 and FN7.</v>
      </c>
      <c r="E9" s="669"/>
    </row>
    <row r="14" spans="1:6">
      <c r="B14" s="277" t="s">
        <v>698</v>
      </c>
    </row>
    <row r="15" spans="1:6">
      <c r="A15" s="277">
        <v>75</v>
      </c>
      <c r="B15" s="669" t="str">
        <f>TEXT(IF('THC FGD'!$M$91&lt;0,"N/A",'THC FGD'!$M$91),"$* #,##0;$* (#,##0)")</f>
        <v>$2,856,622</v>
      </c>
      <c r="C15" s="282"/>
      <c r="F15" s="282"/>
    </row>
    <row r="16" spans="1:6">
      <c r="B16" s="277" t="s">
        <v>699</v>
      </c>
    </row>
    <row r="17" spans="1:6">
      <c r="A17" s="277">
        <v>68</v>
      </c>
      <c r="B17" s="748" t="str">
        <f>IF(ABS('THC FGD'!$S$84)&gt;=1000000,TEXT('THC FGD'!$S$84/1000000,"$* #,##0.0;$* (#,##0.0)")&amp;" million",IF(ABS('THC FGD'!$S$84)&lt;1000,TEXT('THC FGD'!$S$84,"$* #,##0;$* (#,##0)"),TEXT('THC FGD'!$S$84/1000,"$* #,##0;$* (#,##0)")&amp;" thousand"))</f>
        <v>$9.4 million</v>
      </c>
      <c r="C17" s="748"/>
      <c r="F17" s="748"/>
    </row>
    <row r="18" spans="1:6">
      <c r="B18" s="277" t="s">
        <v>700</v>
      </c>
    </row>
    <row r="19" spans="1:6">
      <c r="A19" s="277">
        <v>69</v>
      </c>
      <c r="B19" s="277" t="str">
        <f>IF(ABS('THC FGD'!$S$85)&gt;=1000000,TEXT('THC FGD'!$S$85/1000000,"$* #,##0.0;$* (#,##0.0)")&amp;" million",IF(ABS('THC FGD'!$S$85)&lt;1000,TEXT('THC FGD'!$S$85,"$* #,##0;$* (#,##0)"),TEXT('THC FGD'!$S$85/1000,"$* #,##0;$* (#,##0)")&amp;" thousand"))</f>
        <v>$(6.6) million</v>
      </c>
    </row>
    <row r="20" spans="1:6">
      <c r="B20" s="277" t="s">
        <v>701</v>
      </c>
    </row>
    <row r="21" spans="1:6">
      <c r="A21" s="277">
        <v>71</v>
      </c>
      <c r="B21" s="277" t="str">
        <f>IF(ABS('THC FGD'!$S$87)&gt;=1000000,TEXT('THC FGD'!$S$87/1000000,"$* #,##0.0;$* (#,##0.0)")&amp;" million",IF(ABS('THC FGD'!$S$87)&lt;1000,TEXT('THC FGD'!$S$87,"$* #,##0;$* (#,##0)"),TEXT('THC FGD'!$S$87/1000,"$* #,##0;$* (#,##0)")&amp;" thousand"))</f>
        <v>$(7.7) million</v>
      </c>
    </row>
    <row r="22" spans="1:6">
      <c r="B22" s="277" t="s">
        <v>702</v>
      </c>
    </row>
    <row r="23" spans="1:6">
      <c r="A23" s="277">
        <v>73</v>
      </c>
      <c r="B23" s="277" t="str">
        <f>IF(ABS('THC FGD'!$S$89)&gt;=1000000,TEXT('THC FGD'!$S$89/1000000,"$* #,##0.0;$* (#,##0.0)")&amp;" million",IF(ABS('THC FGD'!$S$89)&lt;1000,TEXT('THC FGD'!$S$89,"$* #,##0;$* (#,##0)"),TEXT('THC FGD'!$S$89/1000,"$* #,##0;$* (#,##0)")&amp;" thousand"))</f>
        <v>$1.1 million</v>
      </c>
    </row>
    <row r="24" spans="1:6">
      <c r="B24" s="277" t="s">
        <v>703</v>
      </c>
    </row>
  </sheetData>
  <hyperlinks>
    <hyperlink ref="D1" location="Index!A1" display="Return to Index" xr:uid="{00000000-0004-0000-2D00-000000000000}"/>
  </hyperlinks>
  <pageMargins left="0.25" right="0.25" top="0.5" bottom="0.25" header="0.5" footer="0.5"/>
  <pageSetup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13.109375" style="277" customWidth="1"/>
    <col min="3" max="3" width="55" style="277" customWidth="1"/>
    <col min="4" max="4" width="20.109375" style="277" customWidth="1"/>
    <col min="5" max="16384" width="9.109375" style="277"/>
  </cols>
  <sheetData>
    <row r="1" spans="1:5" ht="27.75" customHeight="1">
      <c r="A1" s="989" t="s">
        <v>25</v>
      </c>
      <c r="C1" s="321" t="s">
        <v>51</v>
      </c>
    </row>
    <row r="2" spans="1:5" ht="27.75" customHeight="1">
      <c r="A2" s="990" t="str">
        <f>'Smmy Chts'!$A$2</f>
        <v>For the Year Ended August 31, 2022</v>
      </c>
    </row>
    <row r="3" spans="1:5" ht="27" customHeight="1">
      <c r="A3" s="990" t="str">
        <f>'Smmy Chts'!$A$3</f>
        <v>Source: FY 2022 Annual Financial Report</v>
      </c>
      <c r="C3" s="991" t="s">
        <v>493</v>
      </c>
    </row>
    <row r="4" spans="1:5" ht="12.9" customHeight="1">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'TAMHSC Sum'!A9</f>
        <v>State of Texas</v>
      </c>
      <c r="D11" s="994">
        <f>'TAMHSC Sum'!B15</f>
        <v>230148229</v>
      </c>
      <c r="E11" s="995">
        <f>ROUND(D11/$D$17,3)</f>
        <v>0.52500000000000002</v>
      </c>
    </row>
    <row r="12" spans="1:5" ht="12.9" customHeight="1">
      <c r="C12" s="993" t="str">
        <f>'TAMHSC Sum'!A17</f>
        <v>Student &amp; Parent</v>
      </c>
      <c r="D12" s="994">
        <f>'TAMHSC Sum'!B20</f>
        <v>54055783</v>
      </c>
      <c r="E12" s="995">
        <f t="shared" ref="E12:E15" si="0">ROUND(D12/$D$17,3)</f>
        <v>0.123</v>
      </c>
    </row>
    <row r="13" spans="1:5" ht="12.9" customHeight="1">
      <c r="C13" s="993" t="str">
        <f>'TAMHSC Sum'!A22</f>
        <v>Federal Government</v>
      </c>
      <c r="D13" s="994">
        <f>'TAMHSC Sum'!B23</f>
        <v>85141456</v>
      </c>
      <c r="E13" s="995">
        <f t="shared" si="0"/>
        <v>0.19400000000000001</v>
      </c>
    </row>
    <row r="14" spans="1:5" ht="12.9" customHeight="1">
      <c r="C14" s="993" t="str">
        <f>'TAMHSC Sum'!A31</f>
        <v>Institutional Resources</v>
      </c>
      <c r="D14" s="994">
        <f>'TAMHSC Sum'!B38</f>
        <v>68121876</v>
      </c>
      <c r="E14" s="995">
        <f t="shared" si="0"/>
        <v>0.155</v>
      </c>
    </row>
    <row r="15" spans="1:5" ht="12.9" customHeight="1">
      <c r="C15" s="1002" t="s">
        <v>497</v>
      </c>
      <c r="D15" s="994">
        <f>'TAMHSC Sum'!B29+'TAMHSC Sum'!B26</f>
        <v>1073754</v>
      </c>
      <c r="E15" s="995">
        <f t="shared" si="0"/>
        <v>2E-3</v>
      </c>
    </row>
    <row r="16" spans="1:5" ht="12.9" customHeight="1">
      <c r="C16" s="991"/>
      <c r="D16" s="992"/>
    </row>
    <row r="17" spans="3:5" ht="12.9" customHeight="1">
      <c r="C17" s="997" t="s">
        <v>201</v>
      </c>
      <c r="D17" s="998">
        <f>SUM(D11:D16)</f>
        <v>438541098</v>
      </c>
      <c r="E17" s="999">
        <f>SUM(E11:E15)</f>
        <v>0.99900000000000011</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$438,541,098</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2.9" customHeight="1">
      <c r="C53" s="993" t="s">
        <v>101</v>
      </c>
      <c r="D53" s="994">
        <f>'TAMHSC Sum'!B10</f>
        <v>176061466</v>
      </c>
      <c r="E53" s="995">
        <f>ROUND(D53/$D$68,3)</f>
        <v>0.40100000000000002</v>
      </c>
    </row>
    <row r="54" spans="3:5" ht="12.9" customHeight="1">
      <c r="C54" s="993" t="s">
        <v>510</v>
      </c>
      <c r="D54" s="994">
        <f>'TAMHSC Sum'!B11</f>
        <v>7143757</v>
      </c>
      <c r="E54" s="995">
        <f t="shared" ref="E54:E67" si="1">ROUND(D54/$D$68,3)</f>
        <v>1.6E-2</v>
      </c>
    </row>
    <row r="55" spans="3:5" ht="12.9" customHeight="1">
      <c r="C55" s="1001"/>
      <c r="D55" s="994"/>
      <c r="E55" s="995"/>
    </row>
    <row r="56" spans="3:5" ht="12.9" customHeight="1">
      <c r="C56" s="1001" t="str">
        <f>'TAMHSC Sum'!A13</f>
        <v>Higher Education Fund</v>
      </c>
      <c r="D56" s="994">
        <f>'TAMHSC Sum'!B13</f>
        <v>0</v>
      </c>
      <c r="E56" s="995">
        <f t="shared" si="1"/>
        <v>0</v>
      </c>
    </row>
    <row r="57" spans="3:5" ht="12.9" customHeight="1">
      <c r="C57" s="1001" t="s">
        <v>511</v>
      </c>
      <c r="D57" s="994">
        <f>'TAMHSC Sum'!B14</f>
        <v>46943006</v>
      </c>
      <c r="E57" s="995">
        <f t="shared" si="1"/>
        <v>0.107</v>
      </c>
    </row>
    <row r="58" spans="3:5" ht="12.9" customHeight="1">
      <c r="C58" s="993" t="s">
        <v>460</v>
      </c>
      <c r="D58" s="994">
        <f>'TAMHSC Sum'!B20</f>
        <v>54055783</v>
      </c>
      <c r="E58" s="995">
        <f t="shared" si="1"/>
        <v>0.123</v>
      </c>
    </row>
    <row r="59" spans="3:5" ht="12.9" customHeight="1">
      <c r="C59" s="993" t="s">
        <v>512</v>
      </c>
      <c r="D59" s="994">
        <f>'TAMHSC Sum'!B23</f>
        <v>85141456</v>
      </c>
      <c r="E59" s="995">
        <f t="shared" si="1"/>
        <v>0.19400000000000001</v>
      </c>
    </row>
    <row r="60" spans="3:5" ht="12.9" customHeight="1">
      <c r="C60" s="993" t="s">
        <v>513</v>
      </c>
      <c r="D60" s="994">
        <f>'TAMHSC Sum'!B32</f>
        <v>1538319</v>
      </c>
      <c r="E60" s="995">
        <f t="shared" si="1"/>
        <v>4.0000000000000001E-3</v>
      </c>
    </row>
    <row r="61" spans="3:5" ht="12.9" customHeight="1">
      <c r="C61" s="1001" t="s">
        <v>514</v>
      </c>
      <c r="D61" s="994">
        <f>'TAMHSC Sum'!B33</f>
        <v>0</v>
      </c>
      <c r="E61" s="995">
        <f t="shared" si="1"/>
        <v>0</v>
      </c>
    </row>
    <row r="62" spans="3:5" ht="12.9" customHeight="1">
      <c r="C62" s="993" t="s">
        <v>515</v>
      </c>
      <c r="D62" s="994">
        <f>'TAMHSC Sum'!B34</f>
        <v>13401216</v>
      </c>
      <c r="E62" s="995">
        <f t="shared" si="1"/>
        <v>3.1E-2</v>
      </c>
    </row>
    <row r="63" spans="3:5" ht="12.9" customHeight="1">
      <c r="C63" s="993" t="s">
        <v>516</v>
      </c>
      <c r="D63" s="994">
        <f>'TAMHSC Sum'!B35</f>
        <v>43167057</v>
      </c>
      <c r="E63" s="995">
        <f t="shared" si="1"/>
        <v>9.8000000000000004E-2</v>
      </c>
    </row>
    <row r="64" spans="3:5" ht="12.9" customHeight="1">
      <c r="C64" s="993" t="s">
        <v>176</v>
      </c>
      <c r="D64" s="994">
        <f>'TAMHSC Sum'!B36</f>
        <v>2067081</v>
      </c>
      <c r="E64" s="995">
        <f t="shared" si="1"/>
        <v>5.0000000000000001E-3</v>
      </c>
    </row>
    <row r="65" spans="3:5" ht="12.9" customHeight="1">
      <c r="C65" s="993" t="s">
        <v>517</v>
      </c>
      <c r="D65" s="994">
        <f>'TAMHSC Sum'!B37</f>
        <v>7948203</v>
      </c>
      <c r="E65" s="995">
        <f t="shared" si="1"/>
        <v>1.7999999999999999E-2</v>
      </c>
    </row>
    <row r="66" spans="3:5" ht="12.9" customHeight="1">
      <c r="C66" s="1001" t="s">
        <v>163</v>
      </c>
      <c r="D66" s="994">
        <f>'TAMHSC Sum'!B26</f>
        <v>1073754</v>
      </c>
      <c r="E66" s="995">
        <f t="shared" si="1"/>
        <v>2E-3</v>
      </c>
    </row>
    <row r="67" spans="3:5" ht="12.9" customHeight="1">
      <c r="C67" s="1002" t="s">
        <v>497</v>
      </c>
      <c r="D67" s="994">
        <f>'TAMHSC Sum'!B29</f>
        <v>0</v>
      </c>
      <c r="E67" s="995">
        <f t="shared" si="1"/>
        <v>0</v>
      </c>
    </row>
    <row r="68" spans="3:5" ht="12.9" customHeight="1">
      <c r="C68" s="997" t="s">
        <v>201</v>
      </c>
      <c r="D68" s="998">
        <f>SUM(D53:D67)</f>
        <v>438541098</v>
      </c>
      <c r="E68" s="999">
        <f>SUM(E53:E67)</f>
        <v>0.999</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$438,541,098</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'TAMHSC Sum'!B42</f>
        <v>125746504</v>
      </c>
      <c r="E102" s="995">
        <f>ROUND(D102/$D$115,3)</f>
        <v>0.36399999999999999</v>
      </c>
    </row>
    <row r="103" spans="1:5" ht="12.9" customHeight="1">
      <c r="C103" s="1004" t="s">
        <v>179</v>
      </c>
      <c r="D103" s="994">
        <f>'TAMHSC Sum'!B43</f>
        <v>101323855</v>
      </c>
      <c r="E103" s="995">
        <f t="shared" ref="E103:E113" si="2">ROUND(D103/$D$115,3)</f>
        <v>0.29299999999999998</v>
      </c>
    </row>
    <row r="104" spans="1:5" ht="12.9" customHeight="1">
      <c r="C104" s="1004" t="s">
        <v>180</v>
      </c>
      <c r="D104" s="994">
        <f>'TAMHSC Sum'!B44</f>
        <v>17406904</v>
      </c>
      <c r="E104" s="995">
        <f t="shared" si="2"/>
        <v>0.05</v>
      </c>
    </row>
    <row r="105" spans="1:5" ht="12.9" customHeight="1">
      <c r="C105" s="1004" t="s">
        <v>181</v>
      </c>
      <c r="D105" s="994">
        <f>'TAMHSC Sum'!B46</f>
        <v>38433856</v>
      </c>
      <c r="E105" s="995">
        <f t="shared" si="2"/>
        <v>0.111</v>
      </c>
    </row>
    <row r="106" spans="1:5" ht="12.9" customHeight="1">
      <c r="C106" s="1004" t="s">
        <v>182</v>
      </c>
      <c r="D106" s="994">
        <f>'TAMHSC Sum'!B47</f>
        <v>5448744</v>
      </c>
      <c r="E106" s="995">
        <f t="shared" si="2"/>
        <v>1.6E-2</v>
      </c>
    </row>
    <row r="107" spans="1:5" ht="12.9" customHeight="1">
      <c r="C107" s="1004" t="s">
        <v>183</v>
      </c>
      <c r="D107" s="994">
        <f>'TAMHSC Sum'!B48</f>
        <v>11340359</v>
      </c>
      <c r="E107" s="995">
        <f t="shared" si="2"/>
        <v>3.3000000000000002E-2</v>
      </c>
    </row>
    <row r="108" spans="1:5" ht="12.9" customHeight="1">
      <c r="C108" s="1004" t="s">
        <v>519</v>
      </c>
      <c r="D108" s="994">
        <f>'TAMHSC Sum'!B49</f>
        <v>28501380</v>
      </c>
      <c r="E108" s="995">
        <f t="shared" si="2"/>
        <v>8.2000000000000003E-2</v>
      </c>
    </row>
    <row r="109" spans="1:5" ht="12.9" customHeight="1">
      <c r="C109" s="1004" t="s">
        <v>520</v>
      </c>
      <c r="D109" s="994">
        <f>'TAMHSC Sum'!B50</f>
        <v>2935673</v>
      </c>
      <c r="E109" s="995">
        <f t="shared" si="2"/>
        <v>8.0000000000000002E-3</v>
      </c>
    </row>
    <row r="110" spans="1:5" ht="12.9" customHeight="1">
      <c r="C110" s="1004" t="s">
        <v>186</v>
      </c>
      <c r="D110" s="994">
        <f>'TAMHSC Sum'!B51</f>
        <v>3770625</v>
      </c>
      <c r="E110" s="995">
        <f t="shared" si="2"/>
        <v>1.0999999999999999E-2</v>
      </c>
    </row>
    <row r="111" spans="1:5" ht="12.9" customHeight="1">
      <c r="C111" s="1004" t="s">
        <v>521</v>
      </c>
      <c r="D111" s="994">
        <f>'TAMHSC Sum'!B52</f>
        <v>7003379</v>
      </c>
      <c r="E111" s="995">
        <f t="shared" si="2"/>
        <v>0.02</v>
      </c>
    </row>
    <row r="112" spans="1:5" ht="12.9" customHeight="1">
      <c r="C112" s="993" t="s">
        <v>522</v>
      </c>
      <c r="D112" s="994">
        <f>'TAMHSC Sum'!B53</f>
        <v>4002592</v>
      </c>
      <c r="E112" s="995">
        <f t="shared" si="2"/>
        <v>1.2E-2</v>
      </c>
    </row>
    <row r="113" spans="3:5" ht="12.9" customHeight="1">
      <c r="C113" s="1002" t="s">
        <v>523</v>
      </c>
      <c r="D113" s="994">
        <f>'TAMHSC Sum'!B45</f>
        <v>0</v>
      </c>
      <c r="E113" s="995">
        <f t="shared" si="2"/>
        <v>0</v>
      </c>
    </row>
    <row r="114" spans="3:5" ht="12.9" customHeight="1">
      <c r="C114" s="991"/>
      <c r="D114" s="991"/>
      <c r="E114" s="999"/>
    </row>
    <row r="115" spans="3:5" ht="12.9" customHeight="1">
      <c r="C115" s="1005" t="s">
        <v>189</v>
      </c>
      <c r="D115" s="998">
        <f>SUM(D102:D114)</f>
        <v>345913871</v>
      </c>
      <c r="E115" s="999">
        <f>SUM(E102:E113)</f>
        <v>1</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$345,913,871</v>
      </c>
    </row>
    <row r="137" spans="1:1" ht="12.9" customHeight="1">
      <c r="A137" s="1136"/>
    </row>
    <row r="138" spans="1:1" ht="12.9" customHeight="1"/>
    <row r="139" spans="1:1" ht="12.9" customHeight="1">
      <c r="A139" s="1006" t="s">
        <v>524</v>
      </c>
    </row>
    <row r="140" spans="1:1" ht="12.9"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C101:D101"/>
    <mergeCell ref="A136:A137"/>
    <mergeCell ref="C9:D9"/>
    <mergeCell ref="A47:A48"/>
    <mergeCell ref="A92:A93"/>
    <mergeCell ref="C100:D100"/>
  </mergeCells>
  <hyperlinks>
    <hyperlink ref="C1" location="Index!A1" display="Return to Index" xr:uid="{00000000-0004-0000-2E00-000000000000}"/>
  </hyperlinks>
  <printOptions horizontalCentered="1"/>
  <pageMargins left="0.5" right="0.5" top="0.25" bottom="0.25" header="0.25" footer="0.25"/>
  <pageSetup scale="4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Q197"/>
  <sheetViews>
    <sheetView showGridLines="0" zoomScale="90" zoomScaleNormal="90" workbookViewId="0">
      <selection activeCell="F2" sqref="F2"/>
    </sheetView>
  </sheetViews>
  <sheetFormatPr defaultColWidth="9.109375" defaultRowHeight="13.2"/>
  <cols>
    <col min="1" max="1" width="9.109375" style="15"/>
    <col min="2" max="2" width="7.33203125" style="15" customWidth="1"/>
    <col min="3" max="3" width="27" style="15" customWidth="1"/>
    <col min="4" max="4" width="16.5546875" style="15" customWidth="1"/>
    <col min="5" max="5" width="15.88671875" style="15" customWidth="1"/>
    <col min="6" max="6" width="14.5546875" style="15" customWidth="1"/>
    <col min="7" max="7" width="14.6640625" style="15" customWidth="1"/>
    <col min="8" max="8" width="15.44140625" style="15" customWidth="1"/>
    <col min="9" max="9" width="17.6640625" style="15" customWidth="1"/>
    <col min="10" max="10" width="15.109375" style="15" customWidth="1"/>
    <col min="11" max="11" width="14.88671875" style="15" customWidth="1"/>
    <col min="12" max="12" width="15.88671875" style="15" customWidth="1"/>
    <col min="13" max="13" width="18.33203125" style="15" customWidth="1"/>
    <col min="14" max="14" width="15" style="15" customWidth="1"/>
    <col min="15" max="15" width="12.33203125" style="15" customWidth="1"/>
    <col min="16" max="16" width="18.5546875" style="15" customWidth="1"/>
    <col min="17" max="17" width="20.6640625" style="18" customWidth="1"/>
    <col min="18" max="16384" width="9.109375" style="15"/>
  </cols>
  <sheetData>
    <row r="1" spans="1:17" ht="13.8" thickBot="1">
      <c r="F1" s="16" t="s">
        <v>143</v>
      </c>
      <c r="I1" s="17"/>
      <c r="J1" s="162" t="s">
        <v>51</v>
      </c>
    </row>
    <row r="2" spans="1:17">
      <c r="B2" s="15" t="s">
        <v>96</v>
      </c>
      <c r="F2" s="16" t="s">
        <v>144</v>
      </c>
    </row>
    <row r="3" spans="1:17">
      <c r="B3" s="15" t="s">
        <v>145</v>
      </c>
      <c r="F3" s="189"/>
    </row>
    <row r="4" spans="1:17">
      <c r="F4" s="16"/>
    </row>
    <row r="5" spans="1:17" s="23" customFormat="1" ht="56.25" customHeight="1">
      <c r="B5" s="19" t="s">
        <v>100</v>
      </c>
      <c r="C5" s="19"/>
      <c r="D5" s="20" t="s">
        <v>146</v>
      </c>
      <c r="E5" s="21" t="s">
        <v>147</v>
      </c>
      <c r="F5" s="20" t="s">
        <v>148</v>
      </c>
      <c r="G5" s="20"/>
      <c r="H5" s="20" t="s">
        <v>149</v>
      </c>
      <c r="I5" s="20"/>
      <c r="J5" s="20"/>
      <c r="K5" s="21"/>
      <c r="L5" s="20"/>
      <c r="M5" s="19"/>
      <c r="N5" s="19"/>
      <c r="O5" s="19"/>
      <c r="P5" s="19"/>
      <c r="Q5" s="22"/>
    </row>
    <row r="6" spans="1:17">
      <c r="A6" s="15">
        <v>1</v>
      </c>
      <c r="B6" s="24"/>
      <c r="C6" s="25" t="s">
        <v>112</v>
      </c>
      <c r="D6" s="26">
        <f>'SWM Sum'!B$15</f>
        <v>260323607</v>
      </c>
      <c r="E6" s="52">
        <f>'SWM Sum'!C6</f>
        <v>2301.35</v>
      </c>
      <c r="F6" s="26">
        <f>'SWM Sum'!C$15</f>
        <v>113118</v>
      </c>
      <c r="G6" s="26"/>
      <c r="H6" s="26">
        <f>F6</f>
        <v>113118</v>
      </c>
      <c r="I6" s="26"/>
      <c r="J6" s="26"/>
      <c r="K6" s="27"/>
      <c r="L6" s="26"/>
      <c r="M6" s="27"/>
      <c r="N6" s="28"/>
      <c r="O6" s="28"/>
      <c r="P6" s="28"/>
      <c r="Q6" s="29"/>
    </row>
    <row r="7" spans="1:17">
      <c r="A7" s="15">
        <v>2</v>
      </c>
      <c r="B7" s="24"/>
      <c r="C7" s="25" t="s">
        <v>128</v>
      </c>
      <c r="D7" s="30">
        <f>'MBG Sum'!$B$15</f>
        <v>392636564</v>
      </c>
      <c r="E7" s="52">
        <f>'MBG Sum'!$C$6</f>
        <v>3859.84</v>
      </c>
      <c r="F7" s="30">
        <f>'MBG Sum'!$C$15</f>
        <v>101724</v>
      </c>
      <c r="G7" s="30"/>
      <c r="H7" s="30"/>
      <c r="I7" s="30"/>
      <c r="J7" s="30"/>
      <c r="K7" s="31"/>
      <c r="L7" s="30"/>
      <c r="M7" s="31"/>
      <c r="N7" s="32"/>
      <c r="O7" s="32"/>
      <c r="P7" s="32"/>
      <c r="Q7" s="29"/>
    </row>
    <row r="8" spans="1:17">
      <c r="A8" s="15">
        <v>3</v>
      </c>
      <c r="B8" s="24"/>
      <c r="C8" s="25" t="s">
        <v>125</v>
      </c>
      <c r="D8" s="30">
        <f>'HSH Sum'!$B$15</f>
        <v>260301322</v>
      </c>
      <c r="E8" s="52">
        <f>'HSH Sum'!$C$6</f>
        <v>5267.72</v>
      </c>
      <c r="F8" s="30">
        <f>'HSH Sum'!$C$15</f>
        <v>49414</v>
      </c>
      <c r="G8" s="30"/>
      <c r="H8" s="30">
        <f>F8</f>
        <v>49414</v>
      </c>
      <c r="I8" s="30"/>
      <c r="J8" s="30"/>
      <c r="K8" s="31"/>
      <c r="L8" s="30"/>
      <c r="M8" s="31"/>
      <c r="N8" s="32"/>
      <c r="O8" s="32"/>
      <c r="P8" s="32"/>
      <c r="Q8" s="29"/>
    </row>
    <row r="9" spans="1:17">
      <c r="A9" s="15">
        <v>4</v>
      </c>
      <c r="B9" s="24"/>
      <c r="C9" s="25" t="s">
        <v>114</v>
      </c>
      <c r="D9" s="30">
        <f>'HSSA Sum'!$B$15</f>
        <v>202667107</v>
      </c>
      <c r="E9" s="52">
        <f>'HSSA Sum'!$C$6</f>
        <v>3971.78</v>
      </c>
      <c r="F9" s="30">
        <f>'HSSA Sum'!$C$15</f>
        <v>51027</v>
      </c>
      <c r="G9" s="30"/>
      <c r="H9" s="30">
        <f>F9</f>
        <v>51027</v>
      </c>
      <c r="I9" s="30"/>
      <c r="J9" s="30"/>
      <c r="K9" s="31"/>
      <c r="L9" s="30"/>
      <c r="M9" s="31"/>
      <c r="N9" s="32"/>
      <c r="O9" s="32"/>
      <c r="P9" s="32"/>
      <c r="Q9" s="29"/>
    </row>
    <row r="10" spans="1:17">
      <c r="A10" s="15">
        <v>5</v>
      </c>
      <c r="B10" s="24"/>
      <c r="C10" s="25" t="s">
        <v>127</v>
      </c>
      <c r="D10" s="30">
        <f>'MDA Sum'!$B$15</f>
        <v>261645065</v>
      </c>
      <c r="E10" s="52">
        <f>'MDA Sum'!$C$6</f>
        <v>382.05</v>
      </c>
      <c r="F10" s="30">
        <f>'MDA Sum'!$C$15</f>
        <v>0</v>
      </c>
      <c r="G10" s="30"/>
      <c r="H10" s="30"/>
      <c r="I10" s="30"/>
      <c r="J10" s="30"/>
      <c r="K10" s="31"/>
      <c r="L10" s="30"/>
      <c r="M10" s="31"/>
      <c r="N10" s="32"/>
      <c r="O10" s="32"/>
      <c r="P10" s="32"/>
      <c r="Q10" s="29"/>
    </row>
    <row r="11" spans="1:17">
      <c r="A11" s="15">
        <v>6</v>
      </c>
      <c r="B11" s="24"/>
      <c r="C11" s="25" t="s">
        <v>120</v>
      </c>
      <c r="D11" s="30">
        <f>'THC Sum'!$B$15</f>
        <v>61784935</v>
      </c>
      <c r="E11" s="52">
        <f>'THC Sum'!$C$6</f>
        <v>80.5</v>
      </c>
      <c r="F11" s="30">
        <f>'THC Sum'!$C$15</f>
        <v>0</v>
      </c>
      <c r="G11" s="30"/>
      <c r="H11" s="30"/>
      <c r="I11" s="30"/>
      <c r="J11" s="30"/>
      <c r="K11" s="31"/>
      <c r="L11" s="30"/>
      <c r="M11" s="31"/>
      <c r="N11" s="32"/>
      <c r="O11" s="32"/>
      <c r="P11" s="32"/>
      <c r="Q11" s="29"/>
    </row>
    <row r="12" spans="1:17">
      <c r="A12" s="15">
        <v>7</v>
      </c>
      <c r="B12" s="24"/>
      <c r="C12" s="25" t="s">
        <v>116</v>
      </c>
      <c r="D12" s="30">
        <f>'TAMHSC Sum'!$B$15</f>
        <v>230148229</v>
      </c>
      <c r="E12" s="52">
        <f>'TAMHSC Sum'!$C$6</f>
        <v>3607.6499999999996</v>
      </c>
      <c r="F12" s="30">
        <f>'TAMHSC Sum'!$C$15</f>
        <v>63794</v>
      </c>
      <c r="G12" s="30"/>
      <c r="H12" s="30">
        <f>F12</f>
        <v>63794</v>
      </c>
      <c r="I12" s="30"/>
      <c r="J12" s="30"/>
      <c r="K12" s="31"/>
      <c r="L12" s="30"/>
      <c r="M12" s="31"/>
      <c r="N12" s="32"/>
      <c r="O12" s="32"/>
      <c r="P12" s="32"/>
      <c r="Q12" s="29"/>
    </row>
    <row r="13" spans="1:17">
      <c r="A13" s="15">
        <v>8</v>
      </c>
      <c r="B13" s="24"/>
      <c r="C13" s="25" t="s">
        <v>118</v>
      </c>
      <c r="D13" s="30">
        <f>'UNTHS1 Sum'!$B$15</f>
        <v>129494349</v>
      </c>
      <c r="E13" s="52">
        <f>'UNTHS1 Sum'!$C$6</f>
        <v>2988.4</v>
      </c>
      <c r="F13" s="30">
        <f>'UNTHS1 Sum'!$C$15</f>
        <v>43332</v>
      </c>
      <c r="G13" s="30"/>
      <c r="H13" s="30">
        <f>F13</f>
        <v>43332</v>
      </c>
      <c r="I13" s="30"/>
      <c r="J13" s="30"/>
      <c r="K13" s="31"/>
      <c r="L13" s="30"/>
      <c r="M13" s="31"/>
      <c r="N13" s="32"/>
      <c r="O13" s="32"/>
      <c r="P13" s="32"/>
      <c r="Q13" s="29"/>
    </row>
    <row r="14" spans="1:17">
      <c r="A14" s="15">
        <v>9</v>
      </c>
      <c r="B14" s="24"/>
      <c r="C14" s="34" t="s">
        <v>123</v>
      </c>
      <c r="D14" s="35">
        <f>'TTUHSC Sum'!$B$15</f>
        <v>217168284</v>
      </c>
      <c r="E14" s="52">
        <f>'TTUHSC Sum'!$C$6</f>
        <v>6016.07</v>
      </c>
      <c r="F14" s="35">
        <f>'TTUHSC Sum'!$C$15</f>
        <v>36098</v>
      </c>
      <c r="G14" s="35"/>
      <c r="H14" s="35">
        <f>F14</f>
        <v>36098</v>
      </c>
      <c r="I14" s="35"/>
      <c r="J14" s="35"/>
      <c r="K14" s="36"/>
      <c r="L14" s="35"/>
      <c r="M14" s="36"/>
      <c r="N14" s="37"/>
      <c r="O14" s="37"/>
      <c r="P14" s="37"/>
      <c r="Q14" s="38"/>
    </row>
    <row r="15" spans="1:17" ht="13.8" thickBot="1">
      <c r="B15" s="39">
        <f>COUNTA(B6:B14)</f>
        <v>0</v>
      </c>
      <c r="C15" s="40" t="s">
        <v>129</v>
      </c>
      <c r="D15" s="5">
        <f t="shared" ref="D15" si="0">SUM(D6:D14)</f>
        <v>2016169462</v>
      </c>
      <c r="E15" s="41"/>
      <c r="F15" s="5">
        <f>SUM(F6:F14)</f>
        <v>458507</v>
      </c>
      <c r="G15" s="5"/>
      <c r="H15" s="5">
        <f>SUM(H6:H14)</f>
        <v>356783</v>
      </c>
      <c r="I15" s="5"/>
      <c r="J15" s="5"/>
      <c r="K15" s="41"/>
      <c r="L15" s="5"/>
      <c r="M15" s="41"/>
      <c r="N15" s="42"/>
      <c r="O15" s="42"/>
      <c r="P15" s="41"/>
      <c r="Q15" s="43"/>
    </row>
    <row r="16" spans="1:17" ht="13.8" thickTop="1"/>
    <row r="17" spans="1:16">
      <c r="G17" s="53" t="s">
        <v>150</v>
      </c>
      <c r="H17" s="54">
        <f>AVERAGE(H6:H14)</f>
        <v>59463.833333333336</v>
      </c>
    </row>
    <row r="18" spans="1:16" ht="13.8" thickBot="1"/>
    <row r="19" spans="1:16">
      <c r="A19" s="72"/>
      <c r="B19" s="73"/>
      <c r="C19" s="73"/>
      <c r="D19" s="74" t="s">
        <v>151</v>
      </c>
      <c r="E19" s="75"/>
      <c r="F19" s="73"/>
      <c r="G19" s="73"/>
      <c r="H19" s="76"/>
      <c r="I19" s="73"/>
      <c r="J19" s="77"/>
    </row>
    <row r="20" spans="1:16">
      <c r="A20" s="78"/>
      <c r="C20" s="1" t="s">
        <v>152</v>
      </c>
      <c r="H20" s="55"/>
      <c r="J20" s="79"/>
    </row>
    <row r="21" spans="1:16" s="23" customFormat="1" ht="66" customHeight="1">
      <c r="A21" s="80"/>
      <c r="B21" s="58"/>
      <c r="C21" s="58" t="s">
        <v>153</v>
      </c>
      <c r="D21" s="64" t="s">
        <v>101</v>
      </c>
      <c r="E21" s="64" t="s">
        <v>134</v>
      </c>
      <c r="F21" s="64" t="s">
        <v>154</v>
      </c>
      <c r="G21" s="64" t="s">
        <v>132</v>
      </c>
      <c r="H21" s="64" t="s">
        <v>135</v>
      </c>
      <c r="I21" s="141" t="s">
        <v>155</v>
      </c>
      <c r="J21" s="81" t="s">
        <v>156</v>
      </c>
      <c r="P21" s="62"/>
    </row>
    <row r="22" spans="1:16">
      <c r="A22" s="78">
        <v>1</v>
      </c>
      <c r="B22" s="24"/>
      <c r="C22" s="25" t="s">
        <v>112</v>
      </c>
      <c r="D22" s="28">
        <f>'SWM Sum'!$B$10</f>
        <v>214022335</v>
      </c>
      <c r="E22" s="32">
        <f>'SWM Sum'!$B$11</f>
        <v>46301272</v>
      </c>
      <c r="F22" s="32">
        <f>'SWM Sum'!$B$12</f>
        <v>0</v>
      </c>
      <c r="G22" s="32">
        <f>'SWM Sum'!$B$13</f>
        <v>0</v>
      </c>
      <c r="H22" s="55">
        <f>'SWM Sum'!$B$14</f>
        <v>0</v>
      </c>
      <c r="I22" s="28">
        <f>SUM(D22:H22)</f>
        <v>260323607</v>
      </c>
      <c r="J22" s="82" t="str">
        <f>IF(I22&lt;&gt;'SWM Sum'!$B$15,"Formula Error","")</f>
        <v/>
      </c>
    </row>
    <row r="23" spans="1:16">
      <c r="A23" s="78">
        <v>2</v>
      </c>
      <c r="B23" s="24"/>
      <c r="C23" s="25" t="s">
        <v>128</v>
      </c>
      <c r="D23" s="32">
        <f>'MBG Sum'!$B$10</f>
        <v>379544163</v>
      </c>
      <c r="E23" s="32">
        <f>'MBG Sum'!$B$11</f>
        <v>13092401</v>
      </c>
      <c r="F23" s="32">
        <f>'MBG Sum'!$B$12</f>
        <v>0</v>
      </c>
      <c r="G23" s="32">
        <f>'MBG Sum'!$B$13</f>
        <v>0</v>
      </c>
      <c r="H23" s="32">
        <f>'MBG Sum'!$B$14</f>
        <v>0</v>
      </c>
      <c r="I23" s="32">
        <f t="shared" ref="I23:I30" si="1">SUM(D23:H23)</f>
        <v>392636564</v>
      </c>
      <c r="J23" s="82" t="str">
        <f>IF(I23&lt;&gt;'MBG Sum'!$B$15,"Formula Error","")</f>
        <v/>
      </c>
    </row>
    <row r="24" spans="1:16">
      <c r="A24" s="78">
        <v>3</v>
      </c>
      <c r="B24" s="24"/>
      <c r="C24" s="25" t="s">
        <v>125</v>
      </c>
      <c r="D24" s="32">
        <f>'HSH Sum'!$B$10</f>
        <v>240771921</v>
      </c>
      <c r="E24" s="32">
        <f>'HSH Sum'!$B$11</f>
        <v>19529401</v>
      </c>
      <c r="F24" s="32">
        <f>'HSH Sum'!$B$12</f>
        <v>0</v>
      </c>
      <c r="G24" s="32">
        <f>'HSH Sum'!$B$13</f>
        <v>0</v>
      </c>
      <c r="H24" s="32">
        <f>'HSH Sum'!$B$14</f>
        <v>0</v>
      </c>
      <c r="I24" s="32">
        <f t="shared" si="1"/>
        <v>260301322</v>
      </c>
      <c r="J24" s="82" t="str">
        <f>IF(I24&lt;&gt;'HSH Sum'!$B$15,"Formula Error","")</f>
        <v/>
      </c>
    </row>
    <row r="25" spans="1:16">
      <c r="A25" s="78">
        <v>4</v>
      </c>
      <c r="B25" s="24"/>
      <c r="C25" s="25" t="s">
        <v>114</v>
      </c>
      <c r="D25" s="32">
        <f>'HSSA Sum'!$B$10</f>
        <v>183996390</v>
      </c>
      <c r="E25" s="32">
        <f>'HSSA Sum'!$B$11</f>
        <v>18670717</v>
      </c>
      <c r="F25" s="32">
        <f>'HSSA Sum'!$B$12</f>
        <v>0</v>
      </c>
      <c r="G25" s="32">
        <f>'HSSA Sum'!$B$13</f>
        <v>0</v>
      </c>
      <c r="H25" s="32">
        <f>'HSSA Sum'!$B$14</f>
        <v>0</v>
      </c>
      <c r="I25" s="32">
        <f t="shared" si="1"/>
        <v>202667107</v>
      </c>
      <c r="J25" s="82" t="str">
        <f>IF(I25&lt;&gt;'HSSA Sum'!$B$15,"Formula Error","")</f>
        <v/>
      </c>
    </row>
    <row r="26" spans="1:16">
      <c r="A26" s="78">
        <v>5</v>
      </c>
      <c r="B26" s="24"/>
      <c r="C26" s="25" t="s">
        <v>127</v>
      </c>
      <c r="D26" s="32">
        <f>'MDA Sum'!$B$10</f>
        <v>222277361</v>
      </c>
      <c r="E26" s="32">
        <f>'MDA Sum'!$B$11</f>
        <v>39367704</v>
      </c>
      <c r="F26" s="32">
        <f>'MDA Sum'!$B$12</f>
        <v>0</v>
      </c>
      <c r="G26" s="32">
        <f>'MDA Sum'!$B$13</f>
        <v>0</v>
      </c>
      <c r="H26" s="32">
        <f>'MDA Sum'!$B$14</f>
        <v>0</v>
      </c>
      <c r="I26" s="32">
        <f t="shared" si="1"/>
        <v>261645065</v>
      </c>
      <c r="J26" s="82" t="str">
        <f>IF(I26&lt;&gt;'MDA Sum'!$B$15,"Formula Error","")</f>
        <v/>
      </c>
    </row>
    <row r="27" spans="1:16">
      <c r="A27" s="78">
        <v>6</v>
      </c>
      <c r="B27" s="24"/>
      <c r="C27" s="25" t="s">
        <v>157</v>
      </c>
      <c r="D27" s="32">
        <f>'THC Sum'!$B$10</f>
        <v>55239453</v>
      </c>
      <c r="E27" s="32">
        <f>'THC Sum'!$B$11</f>
        <v>6545482</v>
      </c>
      <c r="F27" s="32">
        <f>'THC Sum'!$B$12</f>
        <v>0</v>
      </c>
      <c r="G27" s="32">
        <f>'THC Sum'!$B$13</f>
        <v>0</v>
      </c>
      <c r="H27" s="32">
        <f>'THC Sum'!$B$14</f>
        <v>0</v>
      </c>
      <c r="I27" s="32">
        <f t="shared" si="1"/>
        <v>61784935</v>
      </c>
      <c r="J27" s="82" t="str">
        <f>IF(I27&lt;&gt;'THC Sum'!$B$15,"Formula Error","")</f>
        <v/>
      </c>
    </row>
    <row r="28" spans="1:16">
      <c r="A28" s="78">
        <v>7</v>
      </c>
      <c r="B28" s="24"/>
      <c r="C28" s="25" t="s">
        <v>116</v>
      </c>
      <c r="D28" s="32">
        <f>'TAMHSC Sum'!$B$10</f>
        <v>176061466</v>
      </c>
      <c r="E28" s="32">
        <f>'TAMHSC Sum'!$B$11</f>
        <v>7143757</v>
      </c>
      <c r="F28" s="32">
        <f>'TAMHSC Sum'!$B$12</f>
        <v>0</v>
      </c>
      <c r="G28" s="32">
        <f>'TAMHSC Sum'!$B$13</f>
        <v>0</v>
      </c>
      <c r="H28" s="32">
        <f>'TAMHSC Sum'!$B$14</f>
        <v>46943006</v>
      </c>
      <c r="I28" s="32">
        <f t="shared" si="1"/>
        <v>230148229</v>
      </c>
      <c r="J28" s="82" t="str">
        <f>IF(I28&lt;&gt;'TAMHSC Sum'!$B$15,"Formula Error","")</f>
        <v/>
      </c>
    </row>
    <row r="29" spans="1:16">
      <c r="A29" s="78">
        <v>8</v>
      </c>
      <c r="B29" s="24"/>
      <c r="C29" s="25" t="s">
        <v>118</v>
      </c>
      <c r="D29" s="32">
        <f>'UNTHS1 Sum'!$B$10</f>
        <v>112276178</v>
      </c>
      <c r="E29" s="32">
        <f>'UNTHS1 Sum'!$B$11</f>
        <v>2092669</v>
      </c>
      <c r="F29" s="32">
        <f>'UNTHS1 Sum'!$B$12</f>
        <v>0</v>
      </c>
      <c r="G29" s="32">
        <f>'UNTHS1 Sum'!$B$13</f>
        <v>15125502</v>
      </c>
      <c r="H29" s="32">
        <f>'UNTHS1 Sum'!$B$14</f>
        <v>0</v>
      </c>
      <c r="I29" s="32">
        <f t="shared" si="1"/>
        <v>129494349</v>
      </c>
      <c r="J29" s="82" t="str">
        <f>IF(I29&lt;&gt;'UNTHS1 Sum'!$B$15,"Formula Error","")</f>
        <v/>
      </c>
    </row>
    <row r="30" spans="1:16">
      <c r="A30" s="78">
        <v>9</v>
      </c>
      <c r="B30" s="24"/>
      <c r="C30" s="34" t="s">
        <v>123</v>
      </c>
      <c r="D30" s="32">
        <f>'TTUHSC Sum'!$B$10</f>
        <v>179806241</v>
      </c>
      <c r="E30" s="32">
        <f>'TTUHSC Sum'!$B$11</f>
        <v>15709651</v>
      </c>
      <c r="F30" s="32">
        <f>'TTUHSC Sum'!$B$12</f>
        <v>0</v>
      </c>
      <c r="G30" s="32">
        <f>'TTUHSC Sum'!$B$13</f>
        <v>21652392</v>
      </c>
      <c r="H30" s="32">
        <f>'TTUHSC Sum'!$B$14</f>
        <v>0</v>
      </c>
      <c r="I30" s="32">
        <f t="shared" si="1"/>
        <v>217168284</v>
      </c>
      <c r="J30" s="82" t="str">
        <f>IF(I30&lt;&gt;'TTUHSC Sum'!$B$15,"Formula Error","")</f>
        <v/>
      </c>
    </row>
    <row r="31" spans="1:16" ht="13.8" thickBot="1">
      <c r="A31" s="78"/>
      <c r="B31" s="39">
        <f>COUNTA(B22:B30)</f>
        <v>0</v>
      </c>
      <c r="C31" s="40" t="s">
        <v>129</v>
      </c>
      <c r="D31" s="57">
        <f>SUM(D22:D30)</f>
        <v>1763995508</v>
      </c>
      <c r="E31" s="68">
        <f>SUM(E22:E30)</f>
        <v>168453054</v>
      </c>
      <c r="F31" s="68">
        <f>SUM(F22:F30)</f>
        <v>0</v>
      </c>
      <c r="G31" s="68">
        <f>SUM(G22:G30)</f>
        <v>36777894</v>
      </c>
      <c r="H31" s="69">
        <f>SUM(H22:H30)</f>
        <v>46943006</v>
      </c>
      <c r="I31" s="57">
        <f>SUM(D31:H31)</f>
        <v>2016169462</v>
      </c>
      <c r="J31" s="79" t="str">
        <f>IF(I31&lt;&gt;'Smmy Sum'!B28,"Formula Error","")</f>
        <v>Formula Error</v>
      </c>
    </row>
    <row r="32" spans="1:16" ht="13.8" thickTop="1">
      <c r="A32" s="78"/>
      <c r="H32" s="55"/>
      <c r="J32" s="79"/>
    </row>
    <row r="33" spans="1:10">
      <c r="A33" s="78"/>
      <c r="C33" s="83" t="s">
        <v>158</v>
      </c>
      <c r="H33" s="55"/>
      <c r="J33" s="79"/>
    </row>
    <row r="34" spans="1:10">
      <c r="A34" s="78"/>
      <c r="C34" s="14" t="s">
        <v>159</v>
      </c>
      <c r="H34" s="55"/>
      <c r="J34" s="79"/>
    </row>
    <row r="35" spans="1:10">
      <c r="A35" s="78">
        <v>1</v>
      </c>
      <c r="B35" s="24"/>
      <c r="C35" s="25" t="s">
        <v>112</v>
      </c>
      <c r="D35" s="28">
        <f>D22/$E6</f>
        <v>92998.602993894892</v>
      </c>
      <c r="E35" s="28">
        <f>E22/$E6</f>
        <v>20119.178742911768</v>
      </c>
      <c r="F35" s="28">
        <f>F22/$E6</f>
        <v>0</v>
      </c>
      <c r="G35" s="28">
        <f>G22/$E6</f>
        <v>0</v>
      </c>
      <c r="H35" s="28">
        <f>H22/$E6</f>
        <v>0</v>
      </c>
      <c r="I35" s="28">
        <f>SUM(D35:H35)</f>
        <v>113117.78173680666</v>
      </c>
      <c r="J35" s="79"/>
    </row>
    <row r="36" spans="1:10">
      <c r="A36" s="78">
        <v>2</v>
      </c>
      <c r="B36" s="24"/>
      <c r="C36" s="25" t="s">
        <v>128</v>
      </c>
      <c r="D36" s="32"/>
      <c r="E36" s="32"/>
      <c r="F36" s="32"/>
      <c r="G36" s="32"/>
      <c r="H36" s="32"/>
      <c r="I36" s="32"/>
      <c r="J36" s="79"/>
    </row>
    <row r="37" spans="1:10">
      <c r="A37" s="78">
        <v>3</v>
      </c>
      <c r="B37" s="24"/>
      <c r="C37" s="25" t="s">
        <v>125</v>
      </c>
      <c r="D37" s="32">
        <f t="shared" ref="D37:H43" si="2">D24/$E8</f>
        <v>45707.046122421081</v>
      </c>
      <c r="E37" s="32">
        <f t="shared" si="2"/>
        <v>3707.3726393961711</v>
      </c>
      <c r="F37" s="32">
        <f t="shared" si="2"/>
        <v>0</v>
      </c>
      <c r="G37" s="32">
        <f t="shared" si="2"/>
        <v>0</v>
      </c>
      <c r="H37" s="32">
        <f t="shared" si="2"/>
        <v>0</v>
      </c>
      <c r="I37" s="32">
        <f>SUM(D37:H37)</f>
        <v>49414.418761817251</v>
      </c>
      <c r="J37" s="79"/>
    </row>
    <row r="38" spans="1:10">
      <c r="A38" s="78">
        <v>4</v>
      </c>
      <c r="B38" s="24"/>
      <c r="C38" s="25" t="s">
        <v>114</v>
      </c>
      <c r="D38" s="32">
        <f t="shared" si="2"/>
        <v>46325.926914380958</v>
      </c>
      <c r="E38" s="32">
        <f t="shared" si="2"/>
        <v>4700.8437023198667</v>
      </c>
      <c r="F38" s="32">
        <f t="shared" si="2"/>
        <v>0</v>
      </c>
      <c r="G38" s="32">
        <f t="shared" si="2"/>
        <v>0</v>
      </c>
      <c r="H38" s="32">
        <f t="shared" si="2"/>
        <v>0</v>
      </c>
      <c r="I38" s="32">
        <f>SUM(D38:H38)</f>
        <v>51026.770616700822</v>
      </c>
      <c r="J38" s="79"/>
    </row>
    <row r="39" spans="1:10">
      <c r="A39" s="78">
        <v>5</v>
      </c>
      <c r="B39" s="24"/>
      <c r="C39" s="25" t="s">
        <v>127</v>
      </c>
      <c r="D39" s="32"/>
      <c r="E39" s="32"/>
      <c r="F39" s="32"/>
      <c r="G39" s="32"/>
      <c r="H39" s="32"/>
      <c r="J39" s="79"/>
    </row>
    <row r="40" spans="1:10">
      <c r="A40" s="78">
        <v>6</v>
      </c>
      <c r="B40" s="24"/>
      <c r="C40" s="25" t="s">
        <v>157</v>
      </c>
      <c r="D40" s="32"/>
      <c r="E40" s="32"/>
      <c r="F40" s="32"/>
      <c r="G40" s="32"/>
      <c r="H40" s="32"/>
      <c r="J40" s="79"/>
    </row>
    <row r="41" spans="1:10">
      <c r="A41" s="78">
        <v>7</v>
      </c>
      <c r="B41" s="24"/>
      <c r="C41" s="25" t="s">
        <v>116</v>
      </c>
      <c r="D41" s="32">
        <f t="shared" si="2"/>
        <v>48802.257979571194</v>
      </c>
      <c r="E41" s="32">
        <f t="shared" si="2"/>
        <v>1980.1690851385254</v>
      </c>
      <c r="F41" s="32">
        <f t="shared" si="2"/>
        <v>0</v>
      </c>
      <c r="G41" s="32">
        <f t="shared" si="2"/>
        <v>0</v>
      </c>
      <c r="H41" s="32">
        <f t="shared" si="2"/>
        <v>13012.073233268195</v>
      </c>
      <c r="I41" s="32">
        <f>SUM(D41:H41)</f>
        <v>63794.500297977916</v>
      </c>
      <c r="J41" s="79"/>
    </row>
    <row r="42" spans="1:10">
      <c r="A42" s="78">
        <v>8</v>
      </c>
      <c r="B42" s="24"/>
      <c r="C42" s="25" t="s">
        <v>118</v>
      </c>
      <c r="D42" s="32">
        <f t="shared" si="2"/>
        <v>37570.665908178285</v>
      </c>
      <c r="E42" s="32">
        <f t="shared" si="2"/>
        <v>700.26402088073883</v>
      </c>
      <c r="F42" s="32">
        <f t="shared" si="2"/>
        <v>0</v>
      </c>
      <c r="G42" s="32">
        <f t="shared" si="2"/>
        <v>5061.4047650916873</v>
      </c>
      <c r="H42" s="32">
        <f t="shared" si="2"/>
        <v>0</v>
      </c>
      <c r="I42" s="32">
        <f>SUM(D42:H42)</f>
        <v>43332.334694150719</v>
      </c>
      <c r="J42" s="79"/>
    </row>
    <row r="43" spans="1:10">
      <c r="A43" s="78">
        <v>9</v>
      </c>
      <c r="B43" s="24"/>
      <c r="C43" s="34" t="s">
        <v>123</v>
      </c>
      <c r="D43" s="32">
        <f t="shared" si="2"/>
        <v>29887.6577233975</v>
      </c>
      <c r="E43" s="32">
        <f t="shared" si="2"/>
        <v>2611.2812849584529</v>
      </c>
      <c r="F43" s="32">
        <f t="shared" si="2"/>
        <v>0</v>
      </c>
      <c r="G43" s="32">
        <f t="shared" si="2"/>
        <v>3599.0924307729133</v>
      </c>
      <c r="H43" s="32">
        <f t="shared" si="2"/>
        <v>0</v>
      </c>
      <c r="I43" s="32">
        <f>SUM(D43:H43)</f>
        <v>36098.031439128863</v>
      </c>
      <c r="J43" s="79"/>
    </row>
    <row r="44" spans="1:10" ht="13.8" thickBot="1">
      <c r="A44" s="78"/>
      <c r="B44" s="39">
        <f>COUNTA(B35:B43)</f>
        <v>0</v>
      </c>
      <c r="C44" s="40" t="s">
        <v>129</v>
      </c>
      <c r="D44" s="57">
        <f>SUM(D35:D43)</f>
        <v>301292.15764184389</v>
      </c>
      <c r="E44" s="57">
        <f t="shared" ref="E44:I44" si="3">SUM(E35:E43)</f>
        <v>33819.109475605524</v>
      </c>
      <c r="F44" s="57">
        <f t="shared" si="3"/>
        <v>0</v>
      </c>
      <c r="G44" s="57">
        <f t="shared" si="3"/>
        <v>8660.4971958646001</v>
      </c>
      <c r="H44" s="57">
        <f t="shared" si="3"/>
        <v>13012.073233268195</v>
      </c>
      <c r="I44" s="57">
        <f t="shared" si="3"/>
        <v>356783.83754658222</v>
      </c>
      <c r="J44" s="79"/>
    </row>
    <row r="45" spans="1:10" ht="13.8" thickTop="1">
      <c r="A45" s="78"/>
      <c r="H45" s="55"/>
      <c r="J45" s="79"/>
    </row>
    <row r="46" spans="1:10">
      <c r="A46" s="78"/>
      <c r="C46" s="17" t="s">
        <v>160</v>
      </c>
      <c r="D46" s="104">
        <f>AVERAGE(D35:D43)</f>
        <v>50215.35960697398</v>
      </c>
      <c r="E46" s="104">
        <f t="shared" ref="E46:I46" si="4">AVERAGE(E35:E43)</f>
        <v>5636.5182459342541</v>
      </c>
      <c r="F46" s="104">
        <f t="shared" si="4"/>
        <v>0</v>
      </c>
      <c r="G46" s="104">
        <f t="shared" si="4"/>
        <v>1443.4161993107666</v>
      </c>
      <c r="H46" s="104">
        <f t="shared" si="4"/>
        <v>2168.6788722113656</v>
      </c>
      <c r="I46" s="104">
        <f t="shared" si="4"/>
        <v>59463.972924430367</v>
      </c>
      <c r="J46" s="79"/>
    </row>
    <row r="47" spans="1:10" ht="13.8" thickBot="1">
      <c r="A47" s="84"/>
      <c r="B47" s="85"/>
      <c r="C47" s="85"/>
      <c r="D47" s="85"/>
      <c r="E47" s="85"/>
      <c r="F47" s="85"/>
      <c r="G47" s="85"/>
      <c r="H47" s="86"/>
      <c r="I47" s="85"/>
      <c r="J47" s="87"/>
    </row>
    <row r="48" spans="1:10" ht="13.8" thickBot="1">
      <c r="H48" s="55"/>
    </row>
    <row r="49" spans="1:16" s="66" customFormat="1" ht="28.5" customHeight="1">
      <c r="A49" s="88"/>
      <c r="B49" s="89"/>
      <c r="C49" s="89"/>
      <c r="D49" s="90" t="s">
        <v>161</v>
      </c>
      <c r="E49" s="90"/>
      <c r="F49" s="90"/>
      <c r="G49" s="91"/>
      <c r="H49" s="90" t="s">
        <v>162</v>
      </c>
      <c r="I49" s="90" t="s">
        <v>163</v>
      </c>
      <c r="J49" s="89" t="s">
        <v>164</v>
      </c>
      <c r="K49" s="92"/>
      <c r="P49" s="67"/>
    </row>
    <row r="50" spans="1:16" s="23" customFormat="1" ht="66" customHeight="1">
      <c r="A50" s="80"/>
      <c r="B50" s="58"/>
      <c r="C50" s="58" t="s">
        <v>153</v>
      </c>
      <c r="D50" s="63" t="s">
        <v>165</v>
      </c>
      <c r="E50" s="63" t="s">
        <v>166</v>
      </c>
      <c r="F50" s="64" t="s">
        <v>167</v>
      </c>
      <c r="G50" s="158"/>
      <c r="H50" s="65" t="s">
        <v>168</v>
      </c>
      <c r="I50" s="65" t="s">
        <v>169</v>
      </c>
      <c r="J50" s="71" t="s">
        <v>170</v>
      </c>
      <c r="K50" s="81" t="s">
        <v>156</v>
      </c>
      <c r="P50" s="62"/>
    </row>
    <row r="51" spans="1:16">
      <c r="A51" s="78">
        <v>1</v>
      </c>
      <c r="B51" s="24"/>
      <c r="C51" s="25" t="s">
        <v>112</v>
      </c>
      <c r="D51" s="28">
        <f>'SWM Sum'!B$18</f>
        <v>26135302</v>
      </c>
      <c r="E51" s="32">
        <f>'SWM Sum'!B$19</f>
        <v>2124561</v>
      </c>
      <c r="F51" s="28">
        <f>SUM(D51:E51)</f>
        <v>28259863</v>
      </c>
      <c r="H51" s="28">
        <f>'SWM Sum'!B$23</f>
        <v>322461621</v>
      </c>
      <c r="I51" s="28">
        <f>'SWM Sum'!B$26</f>
        <v>811029427</v>
      </c>
      <c r="J51" s="28">
        <f>'SWM Sum'!B$29</f>
        <v>2096225524</v>
      </c>
      <c r="K51" s="79" t="str">
        <f>IF(J51+I51+H51+F51&lt;&gt;'SWM Sum'!B$20+'SWM Sum'!B$23+'SWM Sum'!B$26+'SWM Sum'!B$29,"Formula Error","")</f>
        <v/>
      </c>
    </row>
    <row r="52" spans="1:16">
      <c r="A52" s="78">
        <v>2</v>
      </c>
      <c r="B52" s="24"/>
      <c r="C52" s="25" t="s">
        <v>128</v>
      </c>
      <c r="D52" s="32">
        <f>'MBG Sum'!B$18</f>
        <v>37114623</v>
      </c>
      <c r="E52" s="32">
        <f>'MBG Sum'!B$19</f>
        <v>14076804</v>
      </c>
      <c r="F52" s="32">
        <f t="shared" ref="F52:F59" si="5">SUM(D52:E52)</f>
        <v>51191427</v>
      </c>
      <c r="G52" s="32"/>
      <c r="H52" s="32">
        <f>'MBG Sum'!B$23</f>
        <v>179173759</v>
      </c>
      <c r="I52" s="32">
        <f>'MBG Sum'!B$26</f>
        <v>256863176</v>
      </c>
      <c r="J52" s="32">
        <f>'MBG Sum'!B$29</f>
        <v>1538729525</v>
      </c>
      <c r="K52" s="79" t="str">
        <f>IF(J52+I52+H52+F52&lt;&gt;'MBG Sum'!B$20+'MBG Sum'!B$23+'MBG Sum'!B$26+'MBG Sum'!B$29,"Formula Error","")</f>
        <v/>
      </c>
    </row>
    <row r="53" spans="1:16">
      <c r="A53" s="78">
        <v>3</v>
      </c>
      <c r="B53" s="24"/>
      <c r="C53" s="25" t="s">
        <v>125</v>
      </c>
      <c r="D53" s="32">
        <f>'HSH Sum'!B$18</f>
        <v>57216648</v>
      </c>
      <c r="E53" s="32">
        <f>'HSH Sum'!B$19</f>
        <v>14579724</v>
      </c>
      <c r="F53" s="32">
        <f t="shared" si="5"/>
        <v>71796372</v>
      </c>
      <c r="G53" s="32"/>
      <c r="H53" s="32">
        <f>'HSH Sum'!B$23</f>
        <v>249224368</v>
      </c>
      <c r="I53" s="32">
        <f>'HSH Sum'!B$26</f>
        <v>456328123</v>
      </c>
      <c r="J53" s="32">
        <f>'HSH Sum'!B$29</f>
        <v>96837661</v>
      </c>
      <c r="K53" s="79" t="str">
        <f>IF(J53+I53+H53+F53&lt;&gt;'HSH Sum'!B$20+'HSH Sum'!B$23+'HSH Sum'!B$26+'HSH Sum'!B$29,"Formula Error","")</f>
        <v/>
      </c>
    </row>
    <row r="54" spans="1:16">
      <c r="A54" s="78">
        <v>4</v>
      </c>
      <c r="B54" s="24"/>
      <c r="C54" s="25" t="s">
        <v>114</v>
      </c>
      <c r="D54" s="32">
        <f>'HSSA Sum'!B$18</f>
        <v>52886022</v>
      </c>
      <c r="E54" s="32">
        <f>'HSSA Sum'!B$19</f>
        <v>2753072</v>
      </c>
      <c r="F54" s="32">
        <f t="shared" si="5"/>
        <v>55639094</v>
      </c>
      <c r="G54" s="32"/>
      <c r="H54" s="32">
        <f>'HSSA Sum'!B$23</f>
        <v>207996481</v>
      </c>
      <c r="I54" s="32">
        <f>'HSSA Sum'!B$26</f>
        <v>332331158</v>
      </c>
      <c r="J54" s="32">
        <f>'HSSA Sum'!B$29</f>
        <v>0</v>
      </c>
      <c r="K54" s="79" t="str">
        <f>IF(J54+I54+H54+F54&lt;&gt;'HSSA Sum'!B$20+'HSSA Sum'!B$23+'HSSA Sum'!B$26+'HSSA Sum'!B$29,"Formula Error","")</f>
        <v/>
      </c>
    </row>
    <row r="55" spans="1:16">
      <c r="A55" s="78">
        <v>5</v>
      </c>
      <c r="B55" s="24"/>
      <c r="C55" s="25" t="s">
        <v>127</v>
      </c>
      <c r="D55" s="32">
        <f>'MDA Sum'!B$18</f>
        <v>1488239</v>
      </c>
      <c r="E55" s="32">
        <f>'MDA Sum'!B$19</f>
        <v>345621</v>
      </c>
      <c r="F55" s="32">
        <f t="shared" si="5"/>
        <v>1833860</v>
      </c>
      <c r="G55" s="32"/>
      <c r="H55" s="32">
        <f>'MDA Sum'!B$23</f>
        <v>306905101</v>
      </c>
      <c r="I55" s="32">
        <f>'MDA Sum'!B$26</f>
        <v>446606991</v>
      </c>
      <c r="J55" s="32">
        <f>'MDA Sum'!B$29</f>
        <v>4849724589</v>
      </c>
      <c r="K55" s="79" t="str">
        <f>IF(J55+I55+H55+F55&lt;&gt;'MDA Sum'!B$20+'MDA Sum'!B$23+'MDA Sum'!B$26+'MDA Sum'!B$29,"Formula Error","")</f>
        <v/>
      </c>
    </row>
    <row r="56" spans="1:16">
      <c r="A56" s="78">
        <v>6</v>
      </c>
      <c r="B56" s="24"/>
      <c r="C56" s="25" t="s">
        <v>157</v>
      </c>
      <c r="D56" s="32">
        <f>'THC Sum'!B$18</f>
        <v>548210</v>
      </c>
      <c r="E56" s="32">
        <f>'THC Sum'!B$19</f>
        <v>97102</v>
      </c>
      <c r="F56" s="32">
        <f t="shared" si="5"/>
        <v>645312</v>
      </c>
      <c r="G56" s="32"/>
      <c r="H56" s="32">
        <f>'THC Sum'!B$23</f>
        <v>21490496</v>
      </c>
      <c r="I56" s="32">
        <f>'THC Sum'!B$26</f>
        <v>19660488</v>
      </c>
      <c r="J56" s="32">
        <f>'THC Sum'!B$29</f>
        <v>154142258</v>
      </c>
      <c r="K56" s="79" t="str">
        <f>IF(J56+I56+H56+F56&lt;&gt;'THC Sum'!B$20+'THC Sum'!B$23+'THC Sum'!B$26+'THC Sum'!B$29,"Formula Error","")</f>
        <v/>
      </c>
    </row>
    <row r="57" spans="1:16">
      <c r="A57" s="78">
        <v>7</v>
      </c>
      <c r="B57" s="24"/>
      <c r="C57" s="25" t="s">
        <v>116</v>
      </c>
      <c r="D57" s="32">
        <f>'TAMHSC Sum'!B$18</f>
        <v>35772165</v>
      </c>
      <c r="E57" s="32">
        <f>'TAMHSC Sum'!B$19</f>
        <v>18283618</v>
      </c>
      <c r="F57" s="32">
        <f t="shared" si="5"/>
        <v>54055783</v>
      </c>
      <c r="G57" s="32"/>
      <c r="H57" s="32">
        <f>'TAMHSC Sum'!B$23</f>
        <v>85141456</v>
      </c>
      <c r="I57" s="32">
        <f>'TAMHSC Sum'!B$26</f>
        <v>1073754</v>
      </c>
      <c r="J57" s="32">
        <f>'TAMHSC Sum'!B$29</f>
        <v>0</v>
      </c>
      <c r="K57" s="79" t="str">
        <f>IF(J57+I57+H57+F57&lt;&gt;'TAMHSC Sum'!B$20+'TAMHSC Sum'!B$23+'TAMHSC Sum'!B$26+'TAMHSC Sum'!B$29,"Formula Error","")</f>
        <v/>
      </c>
    </row>
    <row r="58" spans="1:16">
      <c r="A58" s="78">
        <v>8</v>
      </c>
      <c r="B58" s="24"/>
      <c r="C58" s="25" t="s">
        <v>118</v>
      </c>
      <c r="D58" s="32">
        <f>'UNTHS1 Sum'!B$18</f>
        <v>23170437</v>
      </c>
      <c r="E58" s="32">
        <f>'UNTHS1 Sum'!B$19</f>
        <v>11307375</v>
      </c>
      <c r="F58" s="32">
        <f t="shared" si="5"/>
        <v>34477812</v>
      </c>
      <c r="G58" s="32"/>
      <c r="H58" s="32">
        <f>'UNTHS1 Sum'!B$23</f>
        <v>55261728</v>
      </c>
      <c r="I58" s="32">
        <f>'UNTHS1 Sum'!B$26</f>
        <v>12885666</v>
      </c>
      <c r="J58" s="32">
        <f>'UNTHS1 Sum'!B$29</f>
        <v>0</v>
      </c>
      <c r="K58" s="79" t="str">
        <f>IF(J58+I58+H58+F58&lt;&gt;'UNTHS1 Sum'!B$20+'UNTHS1 Sum'!B$23+'UNTHS1 Sum'!B$26+'UNTHS1 Sum'!B$29,"Formula Error","")</f>
        <v/>
      </c>
    </row>
    <row r="59" spans="1:16">
      <c r="A59" s="78">
        <v>9</v>
      </c>
      <c r="B59" s="24"/>
      <c r="C59" s="34" t="s">
        <v>123</v>
      </c>
      <c r="D59" s="32">
        <f>'TTUHSC Sum'!B$18</f>
        <v>44453418</v>
      </c>
      <c r="E59" s="32">
        <f>'TTUHSC Sum'!B$19</f>
        <v>27066447</v>
      </c>
      <c r="F59" s="32">
        <f t="shared" si="5"/>
        <v>71519865</v>
      </c>
      <c r="G59" s="32"/>
      <c r="H59" s="32">
        <f>'TTUHSC Sum'!B$23</f>
        <v>34704177</v>
      </c>
      <c r="I59" s="32">
        <f>'TTUHSC Sum'!B$26</f>
        <v>247811272</v>
      </c>
      <c r="J59" s="32">
        <f>'TTUHSC Sum'!B$29</f>
        <v>0</v>
      </c>
      <c r="K59" s="79" t="str">
        <f>IF(J59+I59+H59+F59&lt;&gt;'TTUHSC Sum'!B$20+'TTUHSC Sum'!B$23+'TTUHSC Sum'!B$26+'TTUHSC Sum'!B$29,"Formula Error","")</f>
        <v/>
      </c>
    </row>
    <row r="60" spans="1:16" ht="13.8" thickBot="1">
      <c r="A60" s="78"/>
      <c r="B60" s="39">
        <f>COUNTA(B51:B59)</f>
        <v>0</v>
      </c>
      <c r="C60" s="40" t="s">
        <v>129</v>
      </c>
      <c r="D60" s="57">
        <f>SUM(D51:D59)</f>
        <v>278785064</v>
      </c>
      <c r="E60" s="68">
        <f>SUM(E51:E59)</f>
        <v>90634324</v>
      </c>
      <c r="F60" s="57">
        <f>SUM(F51:F59)</f>
        <v>369419388</v>
      </c>
      <c r="G60" s="70"/>
      <c r="H60" s="57">
        <f>SUM(H51:H59)</f>
        <v>1462359187</v>
      </c>
      <c r="I60" s="57">
        <f>SUM(I51:I59)</f>
        <v>2584590055</v>
      </c>
      <c r="J60" s="57">
        <f>SUM(J51:J59)</f>
        <v>8735659557</v>
      </c>
      <c r="K60" s="79" t="str">
        <f>IF(J60+I60+H60+F60&lt;&gt;'Smmy Sum'!B33+'Smmy Sum'!B36+'Smmy Sum'!B39+'Smmy Sum'!B42,"Formula Error","")</f>
        <v>Formula Error</v>
      </c>
    </row>
    <row r="61" spans="1:16" ht="13.8" thickTop="1">
      <c r="A61" s="78"/>
      <c r="H61" s="55"/>
      <c r="K61" s="79"/>
    </row>
    <row r="62" spans="1:16">
      <c r="A62" s="78"/>
      <c r="C62" s="83" t="s">
        <v>148</v>
      </c>
      <c r="H62" s="55"/>
      <c r="K62" s="79"/>
    </row>
    <row r="63" spans="1:16">
      <c r="A63" s="78"/>
      <c r="C63" s="14" t="s">
        <v>159</v>
      </c>
      <c r="H63" s="55"/>
      <c r="K63" s="79"/>
    </row>
    <row r="64" spans="1:16">
      <c r="A64" s="78">
        <v>1</v>
      </c>
      <c r="B64" s="24"/>
      <c r="C64" s="25" t="s">
        <v>112</v>
      </c>
      <c r="D64" s="28">
        <f>D51/$E6</f>
        <v>11356.509005583679</v>
      </c>
      <c r="E64" s="28">
        <f>E51/$E6</f>
        <v>923.18030721098489</v>
      </c>
      <c r="F64" s="28">
        <f>F51/$E6</f>
        <v>12279.689312794664</v>
      </c>
      <c r="G64" s="28"/>
      <c r="H64" s="28">
        <f>H51/$E6</f>
        <v>140118.46133791035</v>
      </c>
      <c r="I64" s="28">
        <f>I51/$E6</f>
        <v>352414.63792991074</v>
      </c>
      <c r="J64" s="28">
        <f>J51/$E6</f>
        <v>910867.76196580275</v>
      </c>
      <c r="K64" s="79"/>
    </row>
    <row r="65" spans="1:16">
      <c r="A65" s="78">
        <v>2</v>
      </c>
      <c r="B65" s="24"/>
      <c r="C65" s="25" t="s">
        <v>128</v>
      </c>
      <c r="D65" s="32"/>
      <c r="E65" s="32"/>
      <c r="F65" s="32"/>
      <c r="G65" s="32"/>
      <c r="H65" s="32"/>
      <c r="I65" s="32"/>
      <c r="J65" s="32"/>
      <c r="K65" s="79"/>
    </row>
    <row r="66" spans="1:16">
      <c r="A66" s="78">
        <v>3</v>
      </c>
      <c r="B66" s="24"/>
      <c r="C66" s="25" t="s">
        <v>125</v>
      </c>
      <c r="D66" s="32">
        <f t="shared" ref="D66:J66" si="6">D53/$E8</f>
        <v>10861.748156697773</v>
      </c>
      <c r="E66" s="32">
        <f t="shared" si="6"/>
        <v>2767.7484756213312</v>
      </c>
      <c r="F66" s="32">
        <f t="shared" si="6"/>
        <v>13629.496632319106</v>
      </c>
      <c r="G66" s="32"/>
      <c r="H66" s="32">
        <f t="shared" si="6"/>
        <v>47311.62020760405</v>
      </c>
      <c r="I66" s="32">
        <f t="shared" si="6"/>
        <v>86627.254865482595</v>
      </c>
      <c r="J66" s="32">
        <f t="shared" si="6"/>
        <v>18383.221014025043</v>
      </c>
      <c r="K66" s="79"/>
    </row>
    <row r="67" spans="1:16">
      <c r="A67" s="78">
        <v>4</v>
      </c>
      <c r="B67" s="24"/>
      <c r="C67" s="25" t="s">
        <v>114</v>
      </c>
      <c r="D67" s="32">
        <f t="shared" ref="D67:J67" si="7">D54/$E9</f>
        <v>13315.445971327716</v>
      </c>
      <c r="E67" s="32">
        <f t="shared" si="7"/>
        <v>693.15823132197647</v>
      </c>
      <c r="F67" s="32">
        <f t="shared" si="7"/>
        <v>14008.604202649693</v>
      </c>
      <c r="G67" s="32"/>
      <c r="H67" s="32">
        <f t="shared" si="7"/>
        <v>52368.58058603447</v>
      </c>
      <c r="I67" s="32">
        <f t="shared" si="7"/>
        <v>83673.103243382051</v>
      </c>
      <c r="J67" s="32">
        <f t="shared" si="7"/>
        <v>0</v>
      </c>
      <c r="K67" s="79"/>
    </row>
    <row r="68" spans="1:16">
      <c r="A68" s="78">
        <v>5</v>
      </c>
      <c r="B68" s="24"/>
      <c r="C68" s="25" t="s">
        <v>127</v>
      </c>
      <c r="D68" s="32"/>
      <c r="E68" s="32"/>
      <c r="F68" s="32"/>
      <c r="G68" s="32"/>
      <c r="H68" s="32"/>
      <c r="I68" s="32"/>
      <c r="J68" s="32"/>
      <c r="K68" s="79"/>
    </row>
    <row r="69" spans="1:16">
      <c r="A69" s="78">
        <v>6</v>
      </c>
      <c r="B69" s="24"/>
      <c r="C69" s="25" t="s">
        <v>157</v>
      </c>
      <c r="D69" s="32"/>
      <c r="E69" s="32"/>
      <c r="F69" s="32"/>
      <c r="G69" s="32"/>
      <c r="H69" s="32"/>
      <c r="I69" s="32"/>
      <c r="J69" s="32"/>
      <c r="K69" s="79"/>
    </row>
    <row r="70" spans="1:16">
      <c r="A70" s="78">
        <v>7</v>
      </c>
      <c r="B70" s="24"/>
      <c r="C70" s="25" t="s">
        <v>116</v>
      </c>
      <c r="D70" s="32">
        <f t="shared" ref="D70:J70" si="8">D57/$E12</f>
        <v>9915.6417612573296</v>
      </c>
      <c r="E70" s="32">
        <f t="shared" si="8"/>
        <v>5068.0132496223305</v>
      </c>
      <c r="F70" s="32">
        <f t="shared" si="8"/>
        <v>14983.65501087966</v>
      </c>
      <c r="G70" s="32"/>
      <c r="H70" s="32">
        <f t="shared" si="8"/>
        <v>23600.253904896541</v>
      </c>
      <c r="I70" s="32">
        <f t="shared" si="8"/>
        <v>297.63253087189725</v>
      </c>
      <c r="J70" s="32">
        <f t="shared" si="8"/>
        <v>0</v>
      </c>
      <c r="K70" s="79"/>
    </row>
    <row r="71" spans="1:16">
      <c r="A71" s="78">
        <v>8</v>
      </c>
      <c r="B71" s="24"/>
      <c r="C71" s="25" t="s">
        <v>118</v>
      </c>
      <c r="D71" s="32">
        <f t="shared" ref="D71:J71" si="9">D58/$E13</f>
        <v>7753.4590416276269</v>
      </c>
      <c r="E71" s="32">
        <f t="shared" si="9"/>
        <v>3783.7555213492169</v>
      </c>
      <c r="F71" s="32">
        <f t="shared" si="9"/>
        <v>11537.214562976844</v>
      </c>
      <c r="G71" s="32"/>
      <c r="H71" s="32">
        <f t="shared" si="9"/>
        <v>18492.078704323383</v>
      </c>
      <c r="I71" s="32">
        <f t="shared" si="9"/>
        <v>4311.8946593494848</v>
      </c>
      <c r="J71" s="32">
        <f t="shared" si="9"/>
        <v>0</v>
      </c>
      <c r="K71" s="79"/>
    </row>
    <row r="72" spans="1:16">
      <c r="A72" s="78">
        <v>9</v>
      </c>
      <c r="B72" s="24"/>
      <c r="C72" s="34" t="s">
        <v>123</v>
      </c>
      <c r="D72" s="32">
        <f t="shared" ref="D72:J72" si="10">D59/$E14</f>
        <v>7389.1124937043624</v>
      </c>
      <c r="E72" s="32">
        <f t="shared" si="10"/>
        <v>4499.0246124130872</v>
      </c>
      <c r="F72" s="32">
        <f t="shared" si="10"/>
        <v>11888.137106117449</v>
      </c>
      <c r="G72" s="32"/>
      <c r="H72" s="32">
        <f t="shared" si="10"/>
        <v>5768.5793217166693</v>
      </c>
      <c r="I72" s="32">
        <f t="shared" si="10"/>
        <v>41191.553954658106</v>
      </c>
      <c r="J72" s="32">
        <f t="shared" si="10"/>
        <v>0</v>
      </c>
      <c r="K72" s="79"/>
    </row>
    <row r="73" spans="1:16" ht="13.8" thickBot="1">
      <c r="A73" s="78"/>
      <c r="B73" s="39">
        <f>COUNTA(B64:B72)</f>
        <v>0</v>
      </c>
      <c r="C73" s="40" t="s">
        <v>129</v>
      </c>
      <c r="D73" s="57">
        <f>SUM(D64:D72)</f>
        <v>60591.916430198486</v>
      </c>
      <c r="E73" s="57">
        <f t="shared" ref="E73" si="11">SUM(E64:E72)</f>
        <v>17734.880397538927</v>
      </c>
      <c r="F73" s="57">
        <f t="shared" ref="F73" si="12">SUM(F64:F72)</f>
        <v>78326.796827737417</v>
      </c>
      <c r="G73" s="57"/>
      <c r="H73" s="57">
        <f t="shared" ref="H73" si="13">SUM(H64:H72)</f>
        <v>287659.57406248548</v>
      </c>
      <c r="I73" s="57">
        <f t="shared" ref="I73:J73" si="14">SUM(I64:I72)</f>
        <v>568516.07718365488</v>
      </c>
      <c r="J73" s="57">
        <f t="shared" si="14"/>
        <v>929250.98297982779</v>
      </c>
      <c r="K73" s="79"/>
    </row>
    <row r="74" spans="1:16" ht="13.8" thickTop="1">
      <c r="A74" s="78"/>
      <c r="H74" s="55"/>
      <c r="K74" s="79"/>
    </row>
    <row r="75" spans="1:16">
      <c r="A75" s="78"/>
      <c r="C75" s="17" t="s">
        <v>160</v>
      </c>
      <c r="D75" s="104">
        <f>AVERAGE(D64:D72)</f>
        <v>10098.652738366414</v>
      </c>
      <c r="E75" s="104">
        <f t="shared" ref="E75:J75" si="15">AVERAGE(E64:E72)</f>
        <v>2955.8133995898211</v>
      </c>
      <c r="F75" s="104">
        <f t="shared" si="15"/>
        <v>13054.466137956237</v>
      </c>
      <c r="G75" s="104"/>
      <c r="H75" s="104">
        <f t="shared" si="15"/>
        <v>47943.262343747578</v>
      </c>
      <c r="I75" s="104">
        <f t="shared" si="15"/>
        <v>94752.679530609152</v>
      </c>
      <c r="J75" s="104">
        <f t="shared" si="15"/>
        <v>154875.16382997131</v>
      </c>
      <c r="K75" s="79"/>
    </row>
    <row r="76" spans="1:16" ht="13.8" thickBot="1">
      <c r="A76" s="84"/>
      <c r="B76" s="85"/>
      <c r="C76" s="85"/>
      <c r="D76" s="85"/>
      <c r="E76" s="85"/>
      <c r="F76" s="85"/>
      <c r="G76" s="85"/>
      <c r="H76" s="86"/>
      <c r="I76" s="85"/>
      <c r="J76" s="85"/>
      <c r="K76" s="87"/>
    </row>
    <row r="77" spans="1:16" ht="13.8" thickBot="1">
      <c r="H77" s="55"/>
    </row>
    <row r="78" spans="1:16">
      <c r="A78" s="72"/>
      <c r="B78" s="73"/>
      <c r="C78" s="73"/>
      <c r="D78" s="96" t="s">
        <v>171</v>
      </c>
      <c r="E78" s="73"/>
      <c r="F78" s="73"/>
      <c r="G78" s="73"/>
      <c r="H78" s="76"/>
      <c r="I78" s="73"/>
      <c r="J78" s="73"/>
      <c r="K78" s="77"/>
    </row>
    <row r="79" spans="1:16" s="23" customFormat="1" ht="42.75" customHeight="1">
      <c r="A79" s="80"/>
      <c r="B79" s="58"/>
      <c r="C79" s="58"/>
      <c r="D79" s="63" t="s">
        <v>172</v>
      </c>
      <c r="E79" s="63" t="s">
        <v>173</v>
      </c>
      <c r="F79" s="63" t="s">
        <v>174</v>
      </c>
      <c r="G79" s="63" t="s">
        <v>175</v>
      </c>
      <c r="H79" s="63" t="s">
        <v>176</v>
      </c>
      <c r="I79" s="63" t="s">
        <v>177</v>
      </c>
      <c r="J79" s="58" t="s">
        <v>155</v>
      </c>
      <c r="K79" s="81" t="s">
        <v>156</v>
      </c>
      <c r="P79" s="62"/>
    </row>
    <row r="80" spans="1:16">
      <c r="A80" s="78">
        <v>1</v>
      </c>
      <c r="B80" s="24"/>
      <c r="C80" s="25" t="s">
        <v>112</v>
      </c>
      <c r="D80" s="28">
        <f>'SWM Sum'!B$32</f>
        <v>264650983</v>
      </c>
      <c r="E80" s="28">
        <f>'SWM Sum'!B$33</f>
        <v>152576008</v>
      </c>
      <c r="F80" s="28">
        <f>'SWM Sum'!B$34</f>
        <v>482488023</v>
      </c>
      <c r="G80" s="28">
        <f>'SWM Sum'!B$35</f>
        <v>12254959</v>
      </c>
      <c r="H80" s="28">
        <f>'SWM Sum'!B$36</f>
        <v>27911529</v>
      </c>
      <c r="I80" s="28">
        <f>'SWM Sum'!B$37</f>
        <v>270782311</v>
      </c>
      <c r="J80" s="28">
        <f>SUM(D80:I80)</f>
        <v>1210663813</v>
      </c>
      <c r="K80" s="79" t="str">
        <f>IF(J80&lt;&gt;'SWM Sum'!B$38,"Formula Error","")</f>
        <v/>
      </c>
    </row>
    <row r="81" spans="1:11">
      <c r="A81" s="78">
        <v>2</v>
      </c>
      <c r="B81" s="24"/>
      <c r="C81" s="25" t="s">
        <v>128</v>
      </c>
      <c r="D81" s="32">
        <f>'MBG Sum'!B$32</f>
        <v>70672961</v>
      </c>
      <c r="E81" s="32">
        <f>'MBG Sum'!B$33</f>
        <v>740330</v>
      </c>
      <c r="F81" s="32">
        <f>'MBG Sum'!B$34</f>
        <v>128646634</v>
      </c>
      <c r="G81" s="32">
        <f>'MBG Sum'!B$35</f>
        <v>11810769</v>
      </c>
      <c r="H81" s="32">
        <f>'MBG Sum'!B$36</f>
        <v>13321025</v>
      </c>
      <c r="I81" s="32">
        <f>'MBG Sum'!B$37</f>
        <v>113668409</v>
      </c>
      <c r="J81" s="32">
        <f t="shared" ref="J81:J88" si="16">SUM(D81:I81)</f>
        <v>338860128</v>
      </c>
      <c r="K81" s="79" t="str">
        <f>IF(J81&lt;&gt;'MBG Sum'!B$38,"Formula Error","")</f>
        <v/>
      </c>
    </row>
    <row r="82" spans="1:11">
      <c r="A82" s="78">
        <v>3</v>
      </c>
      <c r="B82" s="24"/>
      <c r="C82" s="25" t="s">
        <v>125</v>
      </c>
      <c r="D82" s="32">
        <f>'HSH Sum'!B$32</f>
        <v>84160089</v>
      </c>
      <c r="E82" s="32">
        <f>'HSH Sum'!B$33</f>
        <v>633507207</v>
      </c>
      <c r="F82" s="32">
        <f>'HSH Sum'!B$34</f>
        <v>198827297</v>
      </c>
      <c r="G82" s="32">
        <f>'HSH Sum'!B$35</f>
        <v>41075039</v>
      </c>
      <c r="H82" s="32">
        <f>'HSH Sum'!B$36</f>
        <v>20906789</v>
      </c>
      <c r="I82" s="32">
        <f>'HSH Sum'!B$37</f>
        <v>109261165</v>
      </c>
      <c r="J82" s="32">
        <f t="shared" si="16"/>
        <v>1087737586</v>
      </c>
      <c r="K82" s="79" t="str">
        <f>IF(J82&lt;&gt;'HSH Sum'!B$38,"Formula Error","")</f>
        <v/>
      </c>
    </row>
    <row r="83" spans="1:11">
      <c r="A83" s="78">
        <v>4</v>
      </c>
      <c r="B83" s="24"/>
      <c r="C83" s="25" t="s">
        <v>114</v>
      </c>
      <c r="D83" s="32">
        <f>'HSSA Sum'!B$32</f>
        <v>55696429</v>
      </c>
      <c r="E83" s="32">
        <f>'HSSA Sum'!B$33</f>
        <v>216812826</v>
      </c>
      <c r="F83" s="32">
        <f>'HSSA Sum'!B$34</f>
        <v>47825441</v>
      </c>
      <c r="G83" s="32">
        <f>'HSSA Sum'!B$35</f>
        <v>53892737</v>
      </c>
      <c r="H83" s="32">
        <f>'HSSA Sum'!B$36</f>
        <v>5080625</v>
      </c>
      <c r="I83" s="32">
        <f>'HSSA Sum'!B$37</f>
        <v>45113321</v>
      </c>
      <c r="J83" s="32">
        <f t="shared" si="16"/>
        <v>424421379</v>
      </c>
      <c r="K83" s="79" t="str">
        <f>IF(J83&lt;&gt;'HSSA Sum'!B$38,"Formula Error","")</f>
        <v/>
      </c>
    </row>
    <row r="84" spans="1:11">
      <c r="A84" s="78">
        <v>5</v>
      </c>
      <c r="B84" s="24"/>
      <c r="C84" s="25" t="s">
        <v>127</v>
      </c>
      <c r="D84" s="32">
        <f>'MDA Sum'!B$32</f>
        <v>459967078</v>
      </c>
      <c r="E84" s="32">
        <f>'MDA Sum'!B$33</f>
        <v>0</v>
      </c>
      <c r="F84" s="32">
        <f>'MDA Sum'!B$34</f>
        <v>372373856</v>
      </c>
      <c r="G84" s="32">
        <f>'MDA Sum'!B$35</f>
        <v>1604852</v>
      </c>
      <c r="H84" s="32">
        <f>'MDA Sum'!B$36</f>
        <v>34980243</v>
      </c>
      <c r="I84" s="32">
        <f>'MDA Sum'!B$37</f>
        <v>138147783</v>
      </c>
      <c r="J84" s="32">
        <f t="shared" si="16"/>
        <v>1007073812</v>
      </c>
      <c r="K84" s="79" t="str">
        <f>IF(J84&lt;&gt;'MDA Sum'!B$38,"Formula Error","")</f>
        <v/>
      </c>
    </row>
    <row r="85" spans="1:11">
      <c r="A85" s="78">
        <v>6</v>
      </c>
      <c r="B85" s="24"/>
      <c r="C85" s="25" t="s">
        <v>157</v>
      </c>
      <c r="D85" s="32">
        <f>'THC Sum'!B$32</f>
        <v>4332367</v>
      </c>
      <c r="E85" s="32">
        <f>'THC Sum'!B$33</f>
        <v>0</v>
      </c>
      <c r="F85" s="32">
        <f>'THC Sum'!B$34</f>
        <v>76202258</v>
      </c>
      <c r="G85" s="32">
        <f>'THC Sum'!B$35</f>
        <v>7310391</v>
      </c>
      <c r="H85" s="32">
        <f>'THC Sum'!B$36</f>
        <v>136714</v>
      </c>
      <c r="I85" s="32">
        <f>'THC Sum'!B$37</f>
        <v>17518923</v>
      </c>
      <c r="J85" s="32">
        <f t="shared" si="16"/>
        <v>105500653</v>
      </c>
      <c r="K85" s="79" t="str">
        <f>IF(J85&lt;&gt;'THC Sum'!B$38,"Formula Error","")</f>
        <v/>
      </c>
    </row>
    <row r="86" spans="1:11">
      <c r="A86" s="78">
        <v>7</v>
      </c>
      <c r="B86" s="24"/>
      <c r="C86" s="25" t="s">
        <v>116</v>
      </c>
      <c r="D86" s="32">
        <f>'TAMHSC Sum'!B$32</f>
        <v>1538319</v>
      </c>
      <c r="E86" s="32">
        <f>'TAMHSC Sum'!B$33</f>
        <v>0</v>
      </c>
      <c r="F86" s="32">
        <f>'TAMHSC Sum'!B$34</f>
        <v>13401216</v>
      </c>
      <c r="G86" s="32">
        <f>'TAMHSC Sum'!B$35</f>
        <v>43167057</v>
      </c>
      <c r="H86" s="32">
        <f>'TAMHSC Sum'!B$36</f>
        <v>2067081</v>
      </c>
      <c r="I86" s="32">
        <f>'TAMHSC Sum'!B$37</f>
        <v>7948203</v>
      </c>
      <c r="J86" s="32">
        <f t="shared" si="16"/>
        <v>68121876</v>
      </c>
      <c r="K86" s="79" t="str">
        <f>IF(J86&lt;&gt;'TAMHSC Sum'!B$38,"Formula Error","")</f>
        <v/>
      </c>
    </row>
    <row r="87" spans="1:11">
      <c r="A87" s="78">
        <v>8</v>
      </c>
      <c r="B87" s="24"/>
      <c r="C87" s="25" t="s">
        <v>118</v>
      </c>
      <c r="D87" s="32">
        <f>'UNTHS1 Sum'!B$32</f>
        <v>16617179</v>
      </c>
      <c r="E87" s="32">
        <f>'UNTHS1 Sum'!B$33</f>
        <v>1046856</v>
      </c>
      <c r="F87" s="32">
        <f>'UNTHS1 Sum'!B$34</f>
        <v>3951843</v>
      </c>
      <c r="G87" s="32">
        <f>'UNTHS1 Sum'!B$35</f>
        <v>52490499</v>
      </c>
      <c r="H87" s="32">
        <f>'UNTHS1 Sum'!B$36</f>
        <v>695653</v>
      </c>
      <c r="I87" s="32">
        <f>'UNTHS1 Sum'!B$37</f>
        <v>6123295</v>
      </c>
      <c r="J87" s="32">
        <f t="shared" si="16"/>
        <v>80925325</v>
      </c>
      <c r="K87" s="79" t="str">
        <f>IF(J87&lt;&gt;'UNTHS1 Sum'!B$38,"Formula Error","")</f>
        <v/>
      </c>
    </row>
    <row r="88" spans="1:11">
      <c r="A88" s="78">
        <v>9</v>
      </c>
      <c r="B88" s="24"/>
      <c r="C88" s="34" t="s">
        <v>123</v>
      </c>
      <c r="D88" s="32">
        <f>'TTUHSC Sum'!B$32</f>
        <v>13250888</v>
      </c>
      <c r="E88" s="32">
        <f>'TTUHSC Sum'!B$33</f>
        <v>97864959</v>
      </c>
      <c r="F88" s="32">
        <f>'TTUHSC Sum'!B$34</f>
        <v>73861674</v>
      </c>
      <c r="G88" s="32">
        <f>'TTUHSC Sum'!B$35</f>
        <v>13010680</v>
      </c>
      <c r="H88" s="32">
        <f>'TTUHSC Sum'!B$36</f>
        <v>938468</v>
      </c>
      <c r="I88" s="32">
        <f>'TTUHSC Sum'!B$37</f>
        <v>57938030</v>
      </c>
      <c r="J88" s="32">
        <f t="shared" si="16"/>
        <v>256864699</v>
      </c>
      <c r="K88" s="79" t="str">
        <f>IF(J88&lt;&gt;'TTUHSC Sum'!B$38,"Formula Error","")</f>
        <v/>
      </c>
    </row>
    <row r="89" spans="1:11" ht="13.8" thickBot="1">
      <c r="A89" s="78"/>
      <c r="B89" s="39">
        <f>COUNTA(B80:B88)</f>
        <v>0</v>
      </c>
      <c r="C89" s="40" t="s">
        <v>129</v>
      </c>
      <c r="D89" s="57">
        <f t="shared" ref="D89:I89" si="17">SUM(D80:D88)</f>
        <v>970886293</v>
      </c>
      <c r="E89" s="57">
        <f t="shared" si="17"/>
        <v>1102548186</v>
      </c>
      <c r="F89" s="57">
        <f t="shared" si="17"/>
        <v>1397578242</v>
      </c>
      <c r="G89" s="57">
        <f t="shared" si="17"/>
        <v>236616983</v>
      </c>
      <c r="H89" s="57">
        <f t="shared" si="17"/>
        <v>106038127</v>
      </c>
      <c r="I89" s="57">
        <f t="shared" si="17"/>
        <v>766501440</v>
      </c>
      <c r="J89" s="57">
        <f>SUM(D89:I89)</f>
        <v>4580169271</v>
      </c>
      <c r="K89" s="79"/>
    </row>
    <row r="90" spans="1:11" ht="13.8" thickTop="1">
      <c r="A90" s="78"/>
      <c r="B90" s="14"/>
      <c r="C90" s="17"/>
      <c r="H90" s="55"/>
      <c r="K90" s="79"/>
    </row>
    <row r="91" spans="1:11">
      <c r="A91" s="78"/>
      <c r="C91" s="83" t="s">
        <v>148</v>
      </c>
      <c r="H91" s="55"/>
      <c r="K91" s="79"/>
    </row>
    <row r="92" spans="1:11">
      <c r="A92" s="78"/>
      <c r="C92" s="14" t="s">
        <v>159</v>
      </c>
      <c r="H92" s="55"/>
      <c r="K92" s="79"/>
    </row>
    <row r="93" spans="1:11">
      <c r="A93" s="78">
        <v>1</v>
      </c>
      <c r="B93" s="24"/>
      <c r="C93" s="25" t="s">
        <v>112</v>
      </c>
      <c r="D93" s="28">
        <f t="shared" ref="D93:J93" si="18">D80/$E6</f>
        <v>114998.14587090186</v>
      </c>
      <c r="E93" s="28">
        <f t="shared" si="18"/>
        <v>66298.480457122991</v>
      </c>
      <c r="F93" s="28">
        <f t="shared" si="18"/>
        <v>209654.3433202251</v>
      </c>
      <c r="G93" s="28">
        <f t="shared" si="18"/>
        <v>5325.1174310730657</v>
      </c>
      <c r="H93" s="28">
        <f t="shared" si="18"/>
        <v>12128.328589740804</v>
      </c>
      <c r="I93" s="28">
        <f t="shared" si="18"/>
        <v>117662.37686575271</v>
      </c>
      <c r="J93" s="28">
        <f t="shared" si="18"/>
        <v>526066.79253481654</v>
      </c>
      <c r="K93" s="79"/>
    </row>
    <row r="94" spans="1:11">
      <c r="A94" s="78">
        <v>2</v>
      </c>
      <c r="B94" s="24"/>
      <c r="C94" s="25" t="s">
        <v>128</v>
      </c>
      <c r="D94" s="32"/>
      <c r="E94" s="32"/>
      <c r="F94" s="32"/>
      <c r="G94" s="32"/>
      <c r="H94" s="32"/>
      <c r="I94" s="32"/>
      <c r="J94" s="32"/>
      <c r="K94" s="79"/>
    </row>
    <row r="95" spans="1:11">
      <c r="A95" s="78">
        <v>3</v>
      </c>
      <c r="B95" s="24"/>
      <c r="C95" s="25" t="s">
        <v>125</v>
      </c>
      <c r="D95" s="32">
        <f t="shared" ref="D95:J95" si="19">D82/$E8</f>
        <v>15976.568420493115</v>
      </c>
      <c r="E95" s="32">
        <f t="shared" si="19"/>
        <v>120262.12611907997</v>
      </c>
      <c r="F95" s="32">
        <f t="shared" si="19"/>
        <v>37744.469523816755</v>
      </c>
      <c r="G95" s="32">
        <f t="shared" si="19"/>
        <v>7797.4985382670302</v>
      </c>
      <c r="H95" s="32">
        <f t="shared" si="19"/>
        <v>3968.8497110704438</v>
      </c>
      <c r="I95" s="32">
        <f t="shared" si="19"/>
        <v>20741.642494285952</v>
      </c>
      <c r="J95" s="32">
        <f t="shared" si="19"/>
        <v>206491.15480701328</v>
      </c>
      <c r="K95" s="79"/>
    </row>
    <row r="96" spans="1:11">
      <c r="A96" s="78">
        <v>4</v>
      </c>
      <c r="B96" s="24"/>
      <c r="C96" s="25" t="s">
        <v>114</v>
      </c>
      <c r="D96" s="32">
        <f t="shared" ref="D96:J96" si="20">D83/$E9</f>
        <v>14023.039795759079</v>
      </c>
      <c r="E96" s="32">
        <f t="shared" si="20"/>
        <v>54588.327148029348</v>
      </c>
      <c r="F96" s="32">
        <f t="shared" si="20"/>
        <v>12041.311704072228</v>
      </c>
      <c r="G96" s="32">
        <f t="shared" si="20"/>
        <v>13568.912930726274</v>
      </c>
      <c r="H96" s="32">
        <f t="shared" si="20"/>
        <v>1279.180871045224</v>
      </c>
      <c r="I96" s="32">
        <f t="shared" si="20"/>
        <v>11358.464215037086</v>
      </c>
      <c r="J96" s="32">
        <f t="shared" si="20"/>
        <v>106859.23666466924</v>
      </c>
      <c r="K96" s="79"/>
    </row>
    <row r="97" spans="1:17">
      <c r="A97" s="78">
        <v>5</v>
      </c>
      <c r="B97" s="24"/>
      <c r="C97" s="25" t="s">
        <v>127</v>
      </c>
      <c r="D97" s="32"/>
      <c r="E97" s="32"/>
      <c r="F97" s="32"/>
      <c r="G97" s="32"/>
      <c r="H97" s="32"/>
      <c r="I97" s="32"/>
      <c r="J97" s="32"/>
      <c r="K97" s="79"/>
    </row>
    <row r="98" spans="1:17">
      <c r="A98" s="78">
        <v>6</v>
      </c>
      <c r="B98" s="24"/>
      <c r="C98" s="25" t="s">
        <v>157</v>
      </c>
      <c r="D98" s="32"/>
      <c r="E98" s="32"/>
      <c r="F98" s="32"/>
      <c r="G98" s="32"/>
      <c r="H98" s="32"/>
      <c r="I98" s="32"/>
      <c r="J98" s="32"/>
      <c r="K98" s="79"/>
    </row>
    <row r="99" spans="1:17">
      <c r="A99" s="78">
        <v>7</v>
      </c>
      <c r="B99" s="24"/>
      <c r="C99" s="25" t="s">
        <v>116</v>
      </c>
      <c r="D99" s="32">
        <f t="shared" ref="D99:J99" si="21">D86/$E12</f>
        <v>426.40472329632865</v>
      </c>
      <c r="E99" s="32">
        <f t="shared" si="21"/>
        <v>0</v>
      </c>
      <c r="F99" s="32">
        <f t="shared" si="21"/>
        <v>3714.6663340401651</v>
      </c>
      <c r="G99" s="32">
        <f t="shared" si="21"/>
        <v>11965.422643549125</v>
      </c>
      <c r="H99" s="32">
        <f t="shared" si="21"/>
        <v>572.97160201239035</v>
      </c>
      <c r="I99" s="32">
        <f t="shared" si="21"/>
        <v>2203.1524676728623</v>
      </c>
      <c r="J99" s="32">
        <f t="shared" si="21"/>
        <v>18882.617770570872</v>
      </c>
      <c r="K99" s="79"/>
    </row>
    <row r="100" spans="1:17">
      <c r="A100" s="78">
        <v>8</v>
      </c>
      <c r="B100" s="24"/>
      <c r="C100" s="25" t="s">
        <v>118</v>
      </c>
      <c r="D100" s="32">
        <f t="shared" ref="D100:J100" si="22">D87/$E13</f>
        <v>5560.5605006023288</v>
      </c>
      <c r="E100" s="32">
        <f t="shared" si="22"/>
        <v>350.30651853834826</v>
      </c>
      <c r="F100" s="32">
        <f t="shared" si="22"/>
        <v>1322.3942577968144</v>
      </c>
      <c r="G100" s="32">
        <f t="shared" si="22"/>
        <v>17564.750033462722</v>
      </c>
      <c r="H100" s="32">
        <f t="shared" si="22"/>
        <v>232.78443314148038</v>
      </c>
      <c r="I100" s="32">
        <f t="shared" si="22"/>
        <v>2049.0212153660823</v>
      </c>
      <c r="J100" s="32">
        <f t="shared" si="22"/>
        <v>27079.816958907777</v>
      </c>
      <c r="K100" s="79"/>
    </row>
    <row r="101" spans="1:17">
      <c r="A101" s="78">
        <v>9</v>
      </c>
      <c r="B101" s="24"/>
      <c r="C101" s="34" t="s">
        <v>123</v>
      </c>
      <c r="D101" s="32">
        <f t="shared" ref="D101:J101" si="23">D88/$E14</f>
        <v>2202.5820843175029</v>
      </c>
      <c r="E101" s="32">
        <f t="shared" si="23"/>
        <v>16267.257362364468</v>
      </c>
      <c r="F101" s="32">
        <f t="shared" si="23"/>
        <v>12277.396040937025</v>
      </c>
      <c r="G101" s="32">
        <f t="shared" si="23"/>
        <v>2162.6543574127295</v>
      </c>
      <c r="H101" s="32">
        <f t="shared" si="23"/>
        <v>155.99353066038128</v>
      </c>
      <c r="I101" s="32">
        <f t="shared" si="23"/>
        <v>9630.5445249141048</v>
      </c>
      <c r="J101" s="32">
        <f t="shared" si="23"/>
        <v>42696.427900606213</v>
      </c>
      <c r="K101" s="79"/>
    </row>
    <row r="102" spans="1:17" ht="13.8" thickBot="1">
      <c r="A102" s="78"/>
      <c r="B102" s="39">
        <f>COUNTA(B93:B101)</f>
        <v>0</v>
      </c>
      <c r="C102" s="40" t="s">
        <v>129</v>
      </c>
      <c r="D102" s="57">
        <f>SUM(D93:D101)</f>
        <v>153187.30139537022</v>
      </c>
      <c r="E102" s="57">
        <f t="shared" ref="E102" si="24">SUM(E93:E101)</f>
        <v>257766.49760513514</v>
      </c>
      <c r="F102" s="57">
        <f t="shared" ref="F102" si="25">SUM(F93:F101)</f>
        <v>276754.58118088811</v>
      </c>
      <c r="G102" s="57">
        <f t="shared" ref="G102" si="26">SUM(G93:G101)</f>
        <v>58384.355934490944</v>
      </c>
      <c r="H102" s="57">
        <f t="shared" ref="H102" si="27">SUM(H93:H101)</f>
        <v>18338.108737670722</v>
      </c>
      <c r="I102" s="57">
        <f t="shared" ref="I102" si="28">SUM(I93:I101)</f>
        <v>163645.20178302878</v>
      </c>
      <c r="J102" s="57">
        <f t="shared" ref="J102" si="29">SUM(J93:J101)</f>
        <v>928076.04663658387</v>
      </c>
      <c r="K102" s="79"/>
    </row>
    <row r="103" spans="1:17" ht="13.8" thickTop="1">
      <c r="A103" s="78"/>
      <c r="H103" s="55"/>
      <c r="K103" s="79"/>
    </row>
    <row r="104" spans="1:17">
      <c r="A104" s="78"/>
      <c r="C104" s="17" t="s">
        <v>160</v>
      </c>
      <c r="D104" s="104">
        <f>AVERAGE(D93:D101)</f>
        <v>25531.21689922837</v>
      </c>
      <c r="E104" s="104">
        <f t="shared" ref="E104:J104" si="30">AVERAGE(E93:E101)</f>
        <v>42961.082934189188</v>
      </c>
      <c r="F104" s="104">
        <f t="shared" si="30"/>
        <v>46125.763530148019</v>
      </c>
      <c r="G104" s="104">
        <f t="shared" si="30"/>
        <v>9730.7259890818241</v>
      </c>
      <c r="H104" s="104">
        <f t="shared" si="30"/>
        <v>3056.3514562784535</v>
      </c>
      <c r="I104" s="104">
        <f t="shared" si="30"/>
        <v>27274.200297171465</v>
      </c>
      <c r="J104" s="104">
        <f t="shared" si="30"/>
        <v>154679.3411060973</v>
      </c>
      <c r="K104" s="79"/>
    </row>
    <row r="105" spans="1:17" ht="13.8" thickBot="1">
      <c r="A105" s="84"/>
      <c r="B105" s="94"/>
      <c r="C105" s="95"/>
      <c r="D105" s="85"/>
      <c r="E105" s="85"/>
      <c r="F105" s="85"/>
      <c r="G105" s="85"/>
      <c r="H105" s="86"/>
      <c r="I105" s="85"/>
      <c r="J105" s="85"/>
      <c r="K105" s="87"/>
    </row>
    <row r="106" spans="1:17">
      <c r="B106" s="14"/>
      <c r="C106" s="17"/>
      <c r="H106" s="55"/>
    </row>
    <row r="107" spans="1:17" ht="13.8" thickBot="1">
      <c r="B107" s="14"/>
      <c r="C107" s="17"/>
      <c r="H107" s="55"/>
    </row>
    <row r="108" spans="1:17">
      <c r="A108" s="72"/>
      <c r="B108" s="97"/>
      <c r="C108" s="98"/>
      <c r="D108" s="73"/>
      <c r="E108" s="73"/>
      <c r="F108" s="73"/>
      <c r="G108" s="73"/>
      <c r="H108" s="76"/>
      <c r="I108" s="73"/>
      <c r="J108" s="73"/>
      <c r="K108" s="73"/>
      <c r="L108" s="73"/>
      <c r="M108" s="73"/>
      <c r="N108" s="73"/>
      <c r="O108" s="73"/>
      <c r="P108" s="73"/>
      <c r="Q108" s="99"/>
    </row>
    <row r="109" spans="1:17">
      <c r="A109" s="78"/>
      <c r="C109" s="4" t="s">
        <v>178</v>
      </c>
      <c r="Q109" s="100"/>
    </row>
    <row r="110" spans="1:17" s="23" customFormat="1" ht="42" customHeight="1">
      <c r="A110" s="80"/>
      <c r="B110" s="58"/>
      <c r="C110" s="58" t="s">
        <v>153</v>
      </c>
      <c r="D110" s="271" t="s">
        <v>92</v>
      </c>
      <c r="E110" s="271" t="s">
        <v>179</v>
      </c>
      <c r="F110" s="271" t="s">
        <v>180</v>
      </c>
      <c r="G110" s="272" t="s">
        <v>164</v>
      </c>
      <c r="H110" s="271" t="s">
        <v>181</v>
      </c>
      <c r="I110" s="271" t="s">
        <v>182</v>
      </c>
      <c r="J110" s="271" t="s">
        <v>183</v>
      </c>
      <c r="K110" s="271" t="s">
        <v>184</v>
      </c>
      <c r="L110" s="271" t="s">
        <v>185</v>
      </c>
      <c r="M110" s="271" t="s">
        <v>186</v>
      </c>
      <c r="N110" s="271" t="s">
        <v>187</v>
      </c>
      <c r="O110" s="63" t="s">
        <v>188</v>
      </c>
      <c r="P110" s="56" t="s">
        <v>189</v>
      </c>
      <c r="Q110" s="93" t="s">
        <v>156</v>
      </c>
    </row>
    <row r="111" spans="1:17">
      <c r="A111" s="78">
        <v>1</v>
      </c>
      <c r="B111" s="24"/>
      <c r="C111" s="25" t="s">
        <v>112</v>
      </c>
      <c r="D111" s="28">
        <f>'SWM Sum'!$B$42</f>
        <v>1242718341</v>
      </c>
      <c r="E111" s="28">
        <f>'SWM Sum'!$B$43</f>
        <v>482007838</v>
      </c>
      <c r="F111" s="28">
        <f>'SWM Sum'!$B$44</f>
        <v>26962684</v>
      </c>
      <c r="G111" s="28">
        <f>'SWM Sum'!$B$45</f>
        <v>2011784833</v>
      </c>
      <c r="H111" s="28">
        <f>'SWM Sum'!$B$46</f>
        <v>81066106</v>
      </c>
      <c r="I111" s="28">
        <f>'SWM Sum'!$B$47</f>
        <v>2151420</v>
      </c>
      <c r="J111" s="28">
        <f>'SWM Sum'!$B$48</f>
        <v>99924687</v>
      </c>
      <c r="K111" s="28">
        <f>'SWM Sum'!$B$49</f>
        <v>106957127</v>
      </c>
      <c r="L111" s="28">
        <f>'SWM Sum'!$B$50</f>
        <v>5396963</v>
      </c>
      <c r="M111" s="28">
        <f>'SWM Sum'!$B$51</f>
        <v>36039161</v>
      </c>
      <c r="N111" s="28">
        <f>'SWM Sum'!$B$52</f>
        <v>4601955</v>
      </c>
      <c r="O111" s="28">
        <f>'SWM Sum'!$B$53</f>
        <v>12004333</v>
      </c>
      <c r="P111" s="28">
        <f>SUM(D111:O111)</f>
        <v>4111615448</v>
      </c>
      <c r="Q111" s="82" t="str">
        <f>IF(P111&lt;&gt;'SWM Sum'!$B$54,"Formula Error","")</f>
        <v/>
      </c>
    </row>
    <row r="112" spans="1:17">
      <c r="A112" s="78">
        <v>2</v>
      </c>
      <c r="B112" s="24"/>
      <c r="C112" s="25" t="s">
        <v>128</v>
      </c>
      <c r="D112" s="32">
        <f>'MBG Sum'!$B$42</f>
        <v>430094314</v>
      </c>
      <c r="E112" s="32">
        <f>'MBG Sum'!$B$43</f>
        <v>127926683</v>
      </c>
      <c r="F112" s="32">
        <f>'MBG Sum'!$B$44</f>
        <v>23661247</v>
      </c>
      <c r="G112" s="32">
        <f>'MBG Sum'!$B$45</f>
        <v>1620876652</v>
      </c>
      <c r="H112" s="32">
        <f>'MBG Sum'!$B$46</f>
        <v>40298926</v>
      </c>
      <c r="I112" s="32">
        <f>'MBG Sum'!$B$47</f>
        <v>7233707</v>
      </c>
      <c r="J112" s="32">
        <f>'MBG Sum'!$B$48</f>
        <v>102842448</v>
      </c>
      <c r="K112" s="32">
        <f>'MBG Sum'!$B$49</f>
        <v>68279938</v>
      </c>
      <c r="L112" s="32">
        <f>'MBG Sum'!$B$50</f>
        <v>11477605</v>
      </c>
      <c r="M112" s="32">
        <f>'MBG Sum'!$B$51</f>
        <v>10792867</v>
      </c>
      <c r="N112" s="32">
        <f>'MBG Sum'!$B$52</f>
        <v>15092746</v>
      </c>
      <c r="O112" s="32">
        <f>'MBG Sum'!$B$53</f>
        <v>4086792</v>
      </c>
      <c r="P112" s="32">
        <f t="shared" ref="P112:P119" si="31">SUM(D112:O112)</f>
        <v>2462663925</v>
      </c>
      <c r="Q112" s="82" t="str">
        <f>IF(P112&lt;&gt;'MBG Sum'!$B$54,"Formula Error","")</f>
        <v/>
      </c>
    </row>
    <row r="113" spans="1:17">
      <c r="A113" s="78">
        <v>3</v>
      </c>
      <c r="B113" s="24"/>
      <c r="C113" s="25" t="s">
        <v>125</v>
      </c>
      <c r="D113" s="32">
        <f>'HSH Sum'!$B$42</f>
        <v>920890016</v>
      </c>
      <c r="E113" s="32">
        <f>'HSH Sum'!$B$43</f>
        <v>250602654</v>
      </c>
      <c r="F113" s="32">
        <f>'HSH Sum'!$B$44</f>
        <v>60768819</v>
      </c>
      <c r="G113" s="32">
        <f>'HSH Sum'!$B$45</f>
        <v>541373760</v>
      </c>
      <c r="H113" s="32">
        <f>'HSH Sum'!$B$46</f>
        <v>67340859</v>
      </c>
      <c r="I113" s="32">
        <f>'HSH Sum'!$B$47</f>
        <v>13150270</v>
      </c>
      <c r="J113" s="32">
        <f>'HSH Sum'!$B$48</f>
        <v>88846019</v>
      </c>
      <c r="K113" s="32">
        <f>'HSH Sum'!$B$49</f>
        <v>40189096</v>
      </c>
      <c r="L113" s="32">
        <f>'HSH Sum'!$B$50</f>
        <v>13458109</v>
      </c>
      <c r="M113" s="32">
        <f>'HSH Sum'!$B$51</f>
        <v>15658968</v>
      </c>
      <c r="N113" s="32">
        <f>'HSH Sum'!$B$52</f>
        <v>17854491</v>
      </c>
      <c r="O113" s="32">
        <f>'HSH Sum'!$B$53</f>
        <v>2481768</v>
      </c>
      <c r="P113" s="32">
        <f t="shared" si="31"/>
        <v>2032614829</v>
      </c>
      <c r="Q113" s="82" t="str">
        <f>IF(P113&lt;&gt;'HSH Sum'!$B$54,"Formula Error","")</f>
        <v/>
      </c>
    </row>
    <row r="114" spans="1:17">
      <c r="A114" s="78">
        <v>4</v>
      </c>
      <c r="B114" s="24"/>
      <c r="C114" s="25" t="s">
        <v>114</v>
      </c>
      <c r="D114" s="32">
        <f>'HSSA Sum'!$B$42</f>
        <v>447297039</v>
      </c>
      <c r="E114" s="32">
        <f>'HSSA Sum'!$B$43</f>
        <v>169090146</v>
      </c>
      <c r="F114" s="32">
        <f>'HSSA Sum'!$B$44</f>
        <v>101179829</v>
      </c>
      <c r="G114" s="32">
        <f>'HSSA Sum'!$B$45</f>
        <v>207378571</v>
      </c>
      <c r="H114" s="32">
        <f>'HSSA Sum'!$B$46</f>
        <v>53922284</v>
      </c>
      <c r="I114" s="32">
        <f>'HSSA Sum'!$B$47</f>
        <v>2828020</v>
      </c>
      <c r="J114" s="32">
        <f>'HSSA Sum'!$B$48</f>
        <v>63711677</v>
      </c>
      <c r="K114" s="32">
        <f>'HSSA Sum'!$B$49</f>
        <v>47092554</v>
      </c>
      <c r="L114" s="32">
        <f>'HSSA Sum'!$B$50</f>
        <v>12861287</v>
      </c>
      <c r="M114" s="32">
        <f>'HSSA Sum'!$B$51</f>
        <v>5170202</v>
      </c>
      <c r="N114" s="32">
        <f>'HSSA Sum'!$B$52</f>
        <v>17765317</v>
      </c>
      <c r="O114" s="32">
        <f>'HSSA Sum'!$B$53</f>
        <v>751756</v>
      </c>
      <c r="P114" s="32">
        <f t="shared" si="31"/>
        <v>1129048682</v>
      </c>
      <c r="Q114" s="82" t="str">
        <f>IF(P114&lt;&gt;'HSSA Sum'!$B$54,"Formula Error","")</f>
        <v/>
      </c>
    </row>
    <row r="115" spans="1:17">
      <c r="A115" s="78">
        <v>5</v>
      </c>
      <c r="B115" s="24"/>
      <c r="C115" s="25" t="s">
        <v>127</v>
      </c>
      <c r="D115" s="32">
        <f>'MDA Sum'!$B$42</f>
        <v>99944089</v>
      </c>
      <c r="E115" s="32">
        <f>'MDA Sum'!$B$43</f>
        <v>943836402</v>
      </c>
      <c r="F115" s="32">
        <f>'MDA Sum'!$B$44</f>
        <v>22423991</v>
      </c>
      <c r="G115" s="32">
        <f>'MDA Sum'!$B$45</f>
        <v>3764483888</v>
      </c>
      <c r="H115" s="32">
        <f>'MDA Sum'!$B$46</f>
        <v>201697296</v>
      </c>
      <c r="I115" s="32">
        <f>'MDA Sum'!$B$47</f>
        <v>3435119</v>
      </c>
      <c r="J115" s="32">
        <f>'MDA Sum'!$B$48</f>
        <v>194073769</v>
      </c>
      <c r="K115" s="32">
        <f>'MDA Sum'!$B$49</f>
        <v>230701538</v>
      </c>
      <c r="L115" s="32">
        <f>'MDA Sum'!$B$50</f>
        <v>2720520</v>
      </c>
      <c r="M115" s="32">
        <f>'MDA Sum'!$B$51</f>
        <v>18756979</v>
      </c>
      <c r="N115" s="32">
        <f>'MDA Sum'!$B$52</f>
        <v>88539706</v>
      </c>
      <c r="O115" s="32">
        <f>'MDA Sum'!$B$53</f>
        <v>2179929</v>
      </c>
      <c r="P115" s="32">
        <f t="shared" si="31"/>
        <v>5572793226</v>
      </c>
      <c r="Q115" s="82" t="str">
        <f>IF(P115&lt;&gt;'MDA Sum'!$B$54,"Formula Error","")</f>
        <v/>
      </c>
    </row>
    <row r="116" spans="1:17">
      <c r="A116" s="78">
        <v>6</v>
      </c>
      <c r="B116" s="24"/>
      <c r="C116" s="25" t="s">
        <v>157</v>
      </c>
      <c r="D116" s="32">
        <f>'THC Sum'!$B$42</f>
        <v>80102466</v>
      </c>
      <c r="E116" s="32">
        <f>'THC Sum'!$B$43</f>
        <v>24276371</v>
      </c>
      <c r="F116" s="32">
        <f>'THC Sum'!$B$44</f>
        <v>152558</v>
      </c>
      <c r="G116" s="32">
        <f>'THC Sum'!$B$45</f>
        <v>211748148</v>
      </c>
      <c r="H116" s="32">
        <f>'THC Sum'!$B$46</f>
        <v>2491046</v>
      </c>
      <c r="I116" s="32">
        <f>'THC Sum'!$B$47</f>
        <v>460027</v>
      </c>
      <c r="J116" s="32">
        <f>'THC Sum'!$B$48</f>
        <v>15143920</v>
      </c>
      <c r="K116" s="32">
        <f>'THC Sum'!$B$49</f>
        <v>10479079</v>
      </c>
      <c r="L116" s="32">
        <f>'THC Sum'!$B$50</f>
        <v>59947</v>
      </c>
      <c r="M116" s="32">
        <f>'THC Sum'!$B$51</f>
        <v>168402</v>
      </c>
      <c r="N116" s="32">
        <f>'THC Sum'!$B$52</f>
        <v>1733562</v>
      </c>
      <c r="O116" s="32">
        <f>'THC Sum'!$B$53</f>
        <v>57002</v>
      </c>
      <c r="P116" s="32">
        <f t="shared" si="31"/>
        <v>346872528</v>
      </c>
      <c r="Q116" s="82" t="str">
        <f>IF(P116&lt;&gt;'THC Sum'!$B$54,"Formula Error","")</f>
        <v/>
      </c>
    </row>
    <row r="117" spans="1:17">
      <c r="A117" s="78">
        <v>7</v>
      </c>
      <c r="B117" s="24"/>
      <c r="C117" s="25" t="s">
        <v>116</v>
      </c>
      <c r="D117" s="32">
        <f>'TAMHSC Sum'!$B$42</f>
        <v>125746504</v>
      </c>
      <c r="E117" s="32">
        <f>'TAMHSC Sum'!$B$43</f>
        <v>101323855</v>
      </c>
      <c r="F117" s="32">
        <f>'TAMHSC Sum'!$B$44</f>
        <v>17406904</v>
      </c>
      <c r="G117" s="32">
        <f>'TAMHSC Sum'!$B$45</f>
        <v>0</v>
      </c>
      <c r="H117" s="32">
        <f>'TAMHSC Sum'!$B$46</f>
        <v>38433856</v>
      </c>
      <c r="I117" s="32">
        <f>'TAMHSC Sum'!$B$47</f>
        <v>5448744</v>
      </c>
      <c r="J117" s="32">
        <f>'TAMHSC Sum'!$B$48</f>
        <v>11340359</v>
      </c>
      <c r="K117" s="32">
        <f>'TAMHSC Sum'!$B$49</f>
        <v>28501380</v>
      </c>
      <c r="L117" s="32">
        <f>'TAMHSC Sum'!$B$50</f>
        <v>2935673</v>
      </c>
      <c r="M117" s="32">
        <f>'TAMHSC Sum'!$B$51</f>
        <v>3770625</v>
      </c>
      <c r="N117" s="32">
        <f>'TAMHSC Sum'!$B$52</f>
        <v>7003379</v>
      </c>
      <c r="O117" s="32">
        <f>'TAMHSC Sum'!$B$53</f>
        <v>4002592</v>
      </c>
      <c r="P117" s="32">
        <f t="shared" si="31"/>
        <v>345913871</v>
      </c>
      <c r="Q117" s="82" t="str">
        <f>IF(P117&lt;&gt;'TAMHSC Sum'!$B$54,"Formula Error","")</f>
        <v/>
      </c>
    </row>
    <row r="118" spans="1:17">
      <c r="A118" s="78">
        <v>8</v>
      </c>
      <c r="B118" s="24"/>
      <c r="C118" s="25" t="s">
        <v>118</v>
      </c>
      <c r="D118" s="32">
        <f>'UNTHS1 Sum'!$B$42</f>
        <v>79538736</v>
      </c>
      <c r="E118" s="32">
        <f>'UNTHS1 Sum'!$B$43</f>
        <v>46416280</v>
      </c>
      <c r="F118" s="32">
        <f>'UNTHS1 Sum'!$B$44</f>
        <v>46516667</v>
      </c>
      <c r="G118" s="32">
        <f>'UNTHS1 Sum'!$B$45</f>
        <v>0</v>
      </c>
      <c r="H118" s="32">
        <f>'UNTHS1 Sum'!$B$46</f>
        <v>27409658</v>
      </c>
      <c r="I118" s="32">
        <f>'UNTHS1 Sum'!$B$47</f>
        <v>8018588</v>
      </c>
      <c r="J118" s="32">
        <f>'UNTHS1 Sum'!$B$48</f>
        <v>21860807</v>
      </c>
      <c r="K118" s="32">
        <f>'UNTHS1 Sum'!$B$49</f>
        <v>17048260</v>
      </c>
      <c r="L118" s="32">
        <f>'UNTHS1 Sum'!$B$50</f>
        <v>2612265</v>
      </c>
      <c r="M118" s="32">
        <f>'UNTHS1 Sum'!$B$51</f>
        <v>177508</v>
      </c>
      <c r="N118" s="32">
        <f>'UNTHS1 Sum'!$B$52</f>
        <v>11895376</v>
      </c>
      <c r="O118" s="32">
        <f>'UNTHS1 Sum'!$B$53</f>
        <v>520360</v>
      </c>
      <c r="P118" s="32">
        <f t="shared" si="31"/>
        <v>262014505</v>
      </c>
      <c r="Q118" s="82" t="str">
        <f>IF(P118&lt;&gt;'UNTHS1 Sum'!$B$54,"Formula Error","")</f>
        <v/>
      </c>
    </row>
    <row r="119" spans="1:17">
      <c r="A119" s="78">
        <v>9</v>
      </c>
      <c r="B119" s="24"/>
      <c r="C119" s="34" t="s">
        <v>123</v>
      </c>
      <c r="D119" s="32">
        <f>'TTUHSC Sum'!$B$42</f>
        <v>227430702</v>
      </c>
      <c r="E119" s="32">
        <f>'TTUHSC Sum'!$B$43</f>
        <v>38759283</v>
      </c>
      <c r="F119" s="32">
        <f>'TTUHSC Sum'!$B$44</f>
        <v>149605308</v>
      </c>
      <c r="G119" s="32">
        <f>'TTUHSC Sum'!$B$45</f>
        <v>92148740</v>
      </c>
      <c r="H119" s="32">
        <f>'TTUHSC Sum'!$B$46</f>
        <v>132515189</v>
      </c>
      <c r="I119" s="32">
        <f>'TTUHSC Sum'!$B$47</f>
        <v>24545109</v>
      </c>
      <c r="J119" s="32">
        <f>'TTUHSC Sum'!$B$48</f>
        <v>34289967</v>
      </c>
      <c r="K119" s="32">
        <f>'TTUHSC Sum'!$B$49</f>
        <v>38011226</v>
      </c>
      <c r="L119" s="32">
        <f>'TTUHSC Sum'!$B$50</f>
        <v>5043897</v>
      </c>
      <c r="M119" s="32">
        <f>'TTUHSC Sum'!$B$51</f>
        <v>527758</v>
      </c>
      <c r="N119" s="32">
        <f>'TTUHSC Sum'!$B$52</f>
        <v>8976439</v>
      </c>
      <c r="O119" s="32">
        <f>'TTUHSC Sum'!$B$53</f>
        <v>102842</v>
      </c>
      <c r="P119" s="32">
        <f t="shared" si="31"/>
        <v>751956460</v>
      </c>
      <c r="Q119" s="82" t="str">
        <f>IF(P119&lt;&gt;'TTUHSC Sum'!$B$54,"Formula Error","")</f>
        <v/>
      </c>
    </row>
    <row r="120" spans="1:17" ht="13.8" thickBot="1">
      <c r="A120" s="78"/>
      <c r="B120" s="39">
        <f>COUNTA(B111:B119)</f>
        <v>0</v>
      </c>
      <c r="C120" s="40" t="s">
        <v>129</v>
      </c>
      <c r="D120" s="57">
        <f t="shared" ref="D120:O120" si="32">SUM(D111:D119)</f>
        <v>3653762207</v>
      </c>
      <c r="E120" s="57">
        <f t="shared" si="32"/>
        <v>2184239512</v>
      </c>
      <c r="F120" s="57">
        <f t="shared" si="32"/>
        <v>448678007</v>
      </c>
      <c r="G120" s="57">
        <f t="shared" si="32"/>
        <v>8449794592</v>
      </c>
      <c r="H120" s="57">
        <f t="shared" si="32"/>
        <v>645175220</v>
      </c>
      <c r="I120" s="57">
        <f t="shared" si="32"/>
        <v>67271004</v>
      </c>
      <c r="J120" s="57">
        <f t="shared" si="32"/>
        <v>632033653</v>
      </c>
      <c r="K120" s="57">
        <f t="shared" si="32"/>
        <v>587260198</v>
      </c>
      <c r="L120" s="57">
        <f t="shared" si="32"/>
        <v>56566266</v>
      </c>
      <c r="M120" s="57">
        <f t="shared" si="32"/>
        <v>91062470</v>
      </c>
      <c r="N120" s="57">
        <f t="shared" si="32"/>
        <v>173462971</v>
      </c>
      <c r="O120" s="57">
        <f t="shared" si="32"/>
        <v>26187374</v>
      </c>
      <c r="P120" s="57">
        <f>SUM(D120:O120)</f>
        <v>17015493474</v>
      </c>
      <c r="Q120" s="100" t="str">
        <f>IF(P120&lt;&gt;'Smmy Sum'!B67,"Formula Error","")</f>
        <v>Formula Error</v>
      </c>
    </row>
    <row r="121" spans="1:17" ht="13.8" thickTop="1">
      <c r="A121" s="78"/>
      <c r="D121" s="28"/>
      <c r="Q121" s="100"/>
    </row>
    <row r="122" spans="1:17">
      <c r="A122" s="78"/>
      <c r="D122" s="28"/>
      <c r="Q122" s="100"/>
    </row>
    <row r="123" spans="1:17">
      <c r="A123" s="78"/>
      <c r="C123" s="101" t="s">
        <v>190</v>
      </c>
      <c r="E123" s="50"/>
      <c r="Q123" s="100"/>
    </row>
    <row r="124" spans="1:17">
      <c r="A124" s="80"/>
      <c r="B124" s="58"/>
      <c r="C124" s="58" t="s">
        <v>149</v>
      </c>
      <c r="D124" s="28"/>
      <c r="Q124" s="100"/>
    </row>
    <row r="125" spans="1:17">
      <c r="A125" s="78">
        <v>1</v>
      </c>
      <c r="B125" s="24"/>
      <c r="C125" s="25" t="s">
        <v>112</v>
      </c>
      <c r="D125" s="28">
        <f>D111/$E6</f>
        <v>539995.36837073893</v>
      </c>
      <c r="E125" s="28">
        <f t="shared" ref="E125:O125" si="33">E111/$E6</f>
        <v>209445.68970386949</v>
      </c>
      <c r="F125" s="28">
        <f t="shared" si="33"/>
        <v>11716.029287157538</v>
      </c>
      <c r="G125" s="28">
        <f t="shared" si="33"/>
        <v>874175.95454841724</v>
      </c>
      <c r="H125" s="28">
        <f t="shared" si="33"/>
        <v>35225.457231624918</v>
      </c>
      <c r="I125" s="28">
        <f t="shared" si="33"/>
        <v>934.85128294262063</v>
      </c>
      <c r="J125" s="28">
        <f t="shared" si="33"/>
        <v>43420.030416929192</v>
      </c>
      <c r="K125" s="28">
        <f t="shared" si="33"/>
        <v>46475.819410346106</v>
      </c>
      <c r="L125" s="28">
        <f t="shared" si="33"/>
        <v>2345.1291633171836</v>
      </c>
      <c r="M125" s="28">
        <f t="shared" si="33"/>
        <v>15660.008690551198</v>
      </c>
      <c r="N125" s="28">
        <f t="shared" si="33"/>
        <v>1999.6762769678667</v>
      </c>
      <c r="O125" s="28">
        <f t="shared" si="33"/>
        <v>5216.2135268429402</v>
      </c>
      <c r="P125" s="28">
        <f>SUM(D125:O125)</f>
        <v>1786610.2279097051</v>
      </c>
      <c r="Q125" s="100"/>
    </row>
    <row r="126" spans="1:17">
      <c r="A126" s="78">
        <v>2</v>
      </c>
      <c r="B126" s="24"/>
      <c r="C126" s="25" t="s">
        <v>128</v>
      </c>
      <c r="D126" s="32"/>
      <c r="E126" s="32"/>
      <c r="F126" s="32"/>
      <c r="G126" s="32"/>
      <c r="H126" s="32"/>
      <c r="I126" s="32"/>
      <c r="J126" s="32"/>
      <c r="K126" s="32"/>
      <c r="L126" s="32"/>
      <c r="M126" s="32"/>
      <c r="N126" s="32"/>
      <c r="O126" s="32"/>
      <c r="P126" s="32">
        <f t="shared" ref="P126:P133" si="34">SUM(D126:O126)</f>
        <v>0</v>
      </c>
      <c r="Q126" s="100"/>
    </row>
    <row r="127" spans="1:17">
      <c r="A127" s="78">
        <v>3</v>
      </c>
      <c r="B127" s="24"/>
      <c r="C127" s="25" t="s">
        <v>125</v>
      </c>
      <c r="D127" s="32">
        <f t="shared" ref="D127:O127" si="35">D113/$E8</f>
        <v>174817.57116931042</v>
      </c>
      <c r="E127" s="32">
        <f t="shared" si="35"/>
        <v>47573.267751512984</v>
      </c>
      <c r="F127" s="32">
        <f t="shared" si="35"/>
        <v>11536.076139202538</v>
      </c>
      <c r="G127" s="32">
        <f t="shared" si="35"/>
        <v>102771.93168961145</v>
      </c>
      <c r="H127" s="32">
        <f t="shared" si="35"/>
        <v>12783.682314170077</v>
      </c>
      <c r="I127" s="32">
        <f t="shared" si="35"/>
        <v>2496.3874313744845</v>
      </c>
      <c r="J127" s="32">
        <f t="shared" si="35"/>
        <v>16866.124053670279</v>
      </c>
      <c r="K127" s="32">
        <f t="shared" si="35"/>
        <v>7629.3151496283017</v>
      </c>
      <c r="L127" s="32">
        <f t="shared" si="35"/>
        <v>2554.8261866614016</v>
      </c>
      <c r="M127" s="32">
        <f t="shared" si="35"/>
        <v>2972.6272467025583</v>
      </c>
      <c r="N127" s="32">
        <f t="shared" si="35"/>
        <v>3389.4153447791455</v>
      </c>
      <c r="O127" s="32">
        <f t="shared" si="35"/>
        <v>471.12754664257022</v>
      </c>
      <c r="P127" s="32">
        <f t="shared" si="34"/>
        <v>385862.35202326614</v>
      </c>
      <c r="Q127" s="100"/>
    </row>
    <row r="128" spans="1:17">
      <c r="A128" s="78">
        <v>4</v>
      </c>
      <c r="B128" s="24"/>
      <c r="C128" s="25" t="s">
        <v>114</v>
      </c>
      <c r="D128" s="32">
        <f t="shared" ref="D128:O128" si="36">D114/$E9</f>
        <v>112618.78528015147</v>
      </c>
      <c r="E128" s="32">
        <f t="shared" si="36"/>
        <v>42572.888226437513</v>
      </c>
      <c r="F128" s="32">
        <f t="shared" si="36"/>
        <v>25474.681125339266</v>
      </c>
      <c r="G128" s="32">
        <f t="shared" si="36"/>
        <v>52213.005503829518</v>
      </c>
      <c r="H128" s="32">
        <f t="shared" si="36"/>
        <v>13576.352164520693</v>
      </c>
      <c r="I128" s="32">
        <f t="shared" si="36"/>
        <v>712.02836008036695</v>
      </c>
      <c r="J128" s="32">
        <f t="shared" si="36"/>
        <v>16041.089133839236</v>
      </c>
      <c r="K128" s="32">
        <f t="shared" si="36"/>
        <v>11856.788140330027</v>
      </c>
      <c r="L128" s="32">
        <f t="shared" si="36"/>
        <v>3238.1670183142064</v>
      </c>
      <c r="M128" s="32">
        <f t="shared" si="36"/>
        <v>1301.7342350281233</v>
      </c>
      <c r="N128" s="32">
        <f t="shared" si="36"/>
        <v>4472.8854568984179</v>
      </c>
      <c r="O128" s="32">
        <f t="shared" si="36"/>
        <v>189.2743304009789</v>
      </c>
      <c r="P128" s="32">
        <f t="shared" si="34"/>
        <v>284267.67897516972</v>
      </c>
      <c r="Q128" s="100"/>
    </row>
    <row r="129" spans="1:17">
      <c r="A129" s="78">
        <v>5</v>
      </c>
      <c r="B129" s="24"/>
      <c r="C129" s="25" t="s">
        <v>127</v>
      </c>
      <c r="D129" s="32"/>
      <c r="E129" s="32"/>
      <c r="F129" s="32"/>
      <c r="G129" s="32"/>
      <c r="H129" s="32"/>
      <c r="I129" s="32"/>
      <c r="J129" s="32"/>
      <c r="K129" s="32"/>
      <c r="L129" s="32"/>
      <c r="M129" s="32"/>
      <c r="N129" s="32"/>
      <c r="O129" s="32"/>
      <c r="P129" s="32"/>
      <c r="Q129" s="100"/>
    </row>
    <row r="130" spans="1:17">
      <c r="A130" s="78">
        <v>6</v>
      </c>
      <c r="B130" s="24"/>
      <c r="C130" s="25" t="s">
        <v>157</v>
      </c>
      <c r="D130" s="32"/>
      <c r="E130" s="32"/>
      <c r="F130" s="32"/>
      <c r="G130" s="32"/>
      <c r="H130" s="32"/>
      <c r="I130" s="32"/>
      <c r="J130" s="32"/>
      <c r="K130" s="32"/>
      <c r="L130" s="32"/>
      <c r="M130" s="32"/>
      <c r="N130" s="32"/>
      <c r="O130" s="32"/>
      <c r="P130" s="32"/>
      <c r="Q130" s="100"/>
    </row>
    <row r="131" spans="1:17">
      <c r="A131" s="78">
        <v>7</v>
      </c>
      <c r="B131" s="24"/>
      <c r="C131" s="25" t="s">
        <v>116</v>
      </c>
      <c r="D131" s="32">
        <f t="shared" ref="D131:O131" si="37">D117/$E12</f>
        <v>34855.51647194157</v>
      </c>
      <c r="E131" s="32">
        <f t="shared" si="37"/>
        <v>28085.832882901614</v>
      </c>
      <c r="F131" s="32">
        <f t="shared" si="37"/>
        <v>4824.9979903815511</v>
      </c>
      <c r="G131" s="32">
        <f t="shared" si="37"/>
        <v>0</v>
      </c>
      <c r="H131" s="32">
        <f t="shared" si="37"/>
        <v>10653.432566906436</v>
      </c>
      <c r="I131" s="32">
        <f t="shared" si="37"/>
        <v>1510.330547586379</v>
      </c>
      <c r="J131" s="32">
        <f t="shared" si="37"/>
        <v>3143.4199548182337</v>
      </c>
      <c r="K131" s="32">
        <f t="shared" si="37"/>
        <v>7900.2619433703385</v>
      </c>
      <c r="L131" s="32">
        <f t="shared" si="37"/>
        <v>813.73553421202178</v>
      </c>
      <c r="M131" s="32">
        <f t="shared" si="37"/>
        <v>1045.1748368051226</v>
      </c>
      <c r="N131" s="32">
        <f t="shared" si="37"/>
        <v>1941.2578825551261</v>
      </c>
      <c r="O131" s="32">
        <f t="shared" si="37"/>
        <v>1109.473479966183</v>
      </c>
      <c r="P131" s="32">
        <f t="shared" si="34"/>
        <v>95883.434091444593</v>
      </c>
      <c r="Q131" s="100"/>
    </row>
    <row r="132" spans="1:17">
      <c r="A132" s="78">
        <v>8</v>
      </c>
      <c r="B132" s="24"/>
      <c r="C132" s="25" t="s">
        <v>118</v>
      </c>
      <c r="D132" s="32">
        <f t="shared" ref="D132:O132" si="38">D118/$E13</f>
        <v>26615.82652924642</v>
      </c>
      <c r="E132" s="32">
        <f t="shared" si="38"/>
        <v>15532.150983804042</v>
      </c>
      <c r="F132" s="32">
        <f t="shared" si="38"/>
        <v>15565.743207067326</v>
      </c>
      <c r="G132" s="32">
        <f t="shared" si="38"/>
        <v>0</v>
      </c>
      <c r="H132" s="32">
        <f t="shared" si="38"/>
        <v>9172.0178021683842</v>
      </c>
      <c r="I132" s="32">
        <f t="shared" si="38"/>
        <v>2683.2378530317224</v>
      </c>
      <c r="J132" s="32">
        <f t="shared" si="38"/>
        <v>7315.2211885959041</v>
      </c>
      <c r="K132" s="32">
        <f t="shared" si="38"/>
        <v>5704.8119394993973</v>
      </c>
      <c r="L132" s="32">
        <f t="shared" si="38"/>
        <v>874.13498862267431</v>
      </c>
      <c r="M132" s="32">
        <f t="shared" si="38"/>
        <v>59.399009503413197</v>
      </c>
      <c r="N132" s="32">
        <f t="shared" si="38"/>
        <v>3980.5166644358183</v>
      </c>
      <c r="O132" s="32">
        <f t="shared" si="38"/>
        <v>174.12662294204256</v>
      </c>
      <c r="P132" s="32">
        <f t="shared" si="34"/>
        <v>87677.186788917141</v>
      </c>
      <c r="Q132" s="100"/>
    </row>
    <row r="133" spans="1:17">
      <c r="A133" s="78">
        <v>9</v>
      </c>
      <c r="B133" s="24"/>
      <c r="C133" s="34" t="s">
        <v>123</v>
      </c>
      <c r="D133" s="32">
        <f t="shared" ref="D133:O133" si="39">D119/$E14</f>
        <v>37803.865646510101</v>
      </c>
      <c r="E133" s="32">
        <f t="shared" si="39"/>
        <v>6442.6250027010992</v>
      </c>
      <c r="F133" s="32">
        <f t="shared" si="39"/>
        <v>24867.614239860908</v>
      </c>
      <c r="G133" s="32">
        <f t="shared" si="39"/>
        <v>15317.099036414138</v>
      </c>
      <c r="H133" s="32">
        <f t="shared" si="39"/>
        <v>22026.869534430287</v>
      </c>
      <c r="I133" s="32">
        <f t="shared" si="39"/>
        <v>4079.9241032767241</v>
      </c>
      <c r="J133" s="32">
        <f t="shared" si="39"/>
        <v>5699.7287265606956</v>
      </c>
      <c r="K133" s="32">
        <f t="shared" si="39"/>
        <v>6318.2818683958139</v>
      </c>
      <c r="L133" s="32">
        <f t="shared" si="39"/>
        <v>838.40397468779452</v>
      </c>
      <c r="M133" s="32">
        <f t="shared" si="39"/>
        <v>87.724710649975819</v>
      </c>
      <c r="N133" s="32">
        <f t="shared" si="39"/>
        <v>1492.0768874032383</v>
      </c>
      <c r="O133" s="32">
        <f t="shared" si="39"/>
        <v>17.094548434443084</v>
      </c>
      <c r="P133" s="32">
        <f t="shared" si="34"/>
        <v>124991.3082793252</v>
      </c>
      <c r="Q133" s="100"/>
    </row>
    <row r="134" spans="1:17" ht="13.8" thickBot="1">
      <c r="A134" s="78"/>
      <c r="B134" s="39">
        <f>COUNTA(B125:B133)</f>
        <v>0</v>
      </c>
      <c r="C134" s="40" t="s">
        <v>129</v>
      </c>
      <c r="D134" s="57">
        <f t="shared" ref="D134:O134" si="40">SUM(D125:D133)</f>
        <v>926706.93346789898</v>
      </c>
      <c r="E134" s="57">
        <f t="shared" si="40"/>
        <v>349652.45455122675</v>
      </c>
      <c r="F134" s="57">
        <f t="shared" si="40"/>
        <v>93985.14198900912</v>
      </c>
      <c r="G134" s="57">
        <f t="shared" si="40"/>
        <v>1044477.9907782724</v>
      </c>
      <c r="H134" s="57">
        <f t="shared" si="40"/>
        <v>103437.8116138208</v>
      </c>
      <c r="I134" s="57">
        <f t="shared" si="40"/>
        <v>12416.759578292298</v>
      </c>
      <c r="J134" s="57">
        <f t="shared" si="40"/>
        <v>92485.613474413563</v>
      </c>
      <c r="K134" s="57">
        <f t="shared" si="40"/>
        <v>85885.27845156999</v>
      </c>
      <c r="L134" s="57">
        <f t="shared" si="40"/>
        <v>10664.396865815283</v>
      </c>
      <c r="M134" s="57">
        <f t="shared" si="40"/>
        <v>21126.668729240391</v>
      </c>
      <c r="N134" s="57">
        <f t="shared" si="40"/>
        <v>17275.828513039611</v>
      </c>
      <c r="O134" s="57">
        <f t="shared" si="40"/>
        <v>7177.310055229158</v>
      </c>
      <c r="P134" s="57">
        <f>SUM(D134:O134)</f>
        <v>2765292.1880678292</v>
      </c>
      <c r="Q134" s="100"/>
    </row>
    <row r="135" spans="1:17" ht="13.8" thickTop="1">
      <c r="A135" s="78"/>
      <c r="Q135" s="100"/>
    </row>
    <row r="136" spans="1:17">
      <c r="A136" s="78"/>
      <c r="C136" s="17" t="s">
        <v>160</v>
      </c>
      <c r="D136" s="104">
        <f>AVERAGE(D125:D133)</f>
        <v>154451.15557798315</v>
      </c>
      <c r="E136" s="104">
        <f t="shared" ref="E136:O136" si="41">AVERAGE(E125:E133)</f>
        <v>58275.409091871123</v>
      </c>
      <c r="F136" s="104">
        <f t="shared" si="41"/>
        <v>15664.190331501521</v>
      </c>
      <c r="G136" s="104">
        <f t="shared" si="41"/>
        <v>174079.66512971206</v>
      </c>
      <c r="H136" s="104">
        <f t="shared" si="41"/>
        <v>17239.635268970134</v>
      </c>
      <c r="I136" s="104">
        <f t="shared" si="41"/>
        <v>2069.4599297153832</v>
      </c>
      <c r="J136" s="104">
        <f t="shared" si="41"/>
        <v>15414.26891240226</v>
      </c>
      <c r="K136" s="104">
        <f t="shared" si="41"/>
        <v>14314.213075261665</v>
      </c>
      <c r="L136" s="104">
        <f t="shared" si="41"/>
        <v>1777.3994776358804</v>
      </c>
      <c r="M136" s="104">
        <f t="shared" si="41"/>
        <v>3521.1114548733985</v>
      </c>
      <c r="N136" s="104">
        <f t="shared" si="41"/>
        <v>2879.3047521732683</v>
      </c>
      <c r="O136" s="104">
        <f t="shared" si="41"/>
        <v>1196.2183425381929</v>
      </c>
      <c r="P136" s="104">
        <f>AVERAGE(P125:P133)</f>
        <v>395041.74115254683</v>
      </c>
      <c r="Q136" s="100"/>
    </row>
    <row r="137" spans="1:17">
      <c r="A137" s="78"/>
      <c r="Q137" s="100"/>
    </row>
    <row r="138" spans="1:17" ht="13.8" thickBot="1">
      <c r="A138" s="84"/>
      <c r="B138" s="85"/>
      <c r="C138" s="85"/>
      <c r="D138" s="85"/>
      <c r="E138" s="85"/>
      <c r="F138" s="85"/>
      <c r="G138" s="85"/>
      <c r="H138" s="85"/>
      <c r="I138" s="85"/>
      <c r="J138" s="85"/>
      <c r="K138" s="85"/>
      <c r="L138" s="85"/>
      <c r="M138" s="85"/>
      <c r="N138" s="85"/>
      <c r="O138" s="85"/>
      <c r="P138" s="85"/>
      <c r="Q138" s="102"/>
    </row>
    <row r="139" spans="1:17">
      <c r="A139" s="17" t="s">
        <v>11</v>
      </c>
    </row>
    <row r="140" spans="1:17">
      <c r="D140" s="61" t="s">
        <v>191</v>
      </c>
      <c r="E140" s="61" t="s">
        <v>192</v>
      </c>
      <c r="F140" s="61" t="s">
        <v>193</v>
      </c>
      <c r="G140" s="61" t="s">
        <v>194</v>
      </c>
      <c r="H140" s="61" t="s">
        <v>195</v>
      </c>
      <c r="I140" s="61" t="s">
        <v>196</v>
      </c>
    </row>
    <row r="141" spans="1:17">
      <c r="C141" s="15" t="s">
        <v>197</v>
      </c>
      <c r="D141" s="15">
        <v>0</v>
      </c>
      <c r="E141" s="15">
        <v>0</v>
      </c>
      <c r="F141" s="15">
        <v>60</v>
      </c>
      <c r="G141" s="15">
        <v>120</v>
      </c>
      <c r="H141" s="15">
        <v>180</v>
      </c>
      <c r="I141" s="15">
        <v>240</v>
      </c>
    </row>
    <row r="142" spans="1:17">
      <c r="C142" s="15" t="s">
        <v>198</v>
      </c>
      <c r="D142" s="15">
        <v>20</v>
      </c>
      <c r="E142" s="15">
        <v>42</v>
      </c>
      <c r="F142" s="15">
        <v>86</v>
      </c>
      <c r="G142" s="15">
        <v>128</v>
      </c>
      <c r="H142" s="15">
        <v>160</v>
      </c>
      <c r="I142" s="15">
        <v>160</v>
      </c>
    </row>
    <row r="143" spans="1:17">
      <c r="C143" s="15" t="s">
        <v>199</v>
      </c>
      <c r="D143" s="59">
        <v>1</v>
      </c>
      <c r="E143" s="59">
        <v>1.04</v>
      </c>
      <c r="F143" s="59">
        <v>1.08</v>
      </c>
      <c r="G143" s="59">
        <v>1.1200000000000001</v>
      </c>
      <c r="H143" s="59">
        <v>1.1599999999999999</v>
      </c>
      <c r="I143" s="59">
        <v>1.2</v>
      </c>
    </row>
    <row r="145" spans="1:9">
      <c r="A145" s="4" t="s">
        <v>151</v>
      </c>
      <c r="B145" s="83"/>
    </row>
    <row r="146" spans="1:9">
      <c r="A146" s="1" t="s">
        <v>152</v>
      </c>
    </row>
    <row r="147" spans="1:9">
      <c r="A147" s="6" t="s">
        <v>101</v>
      </c>
      <c r="D147" s="28">
        <f t="shared" ref="D147:E147" si="42">D141*$D$46*D143</f>
        <v>0</v>
      </c>
      <c r="E147" s="28">
        <f t="shared" si="42"/>
        <v>0</v>
      </c>
      <c r="F147" s="28">
        <f>F141*$D$46*F143</f>
        <v>3253955.3025319143</v>
      </c>
      <c r="G147" s="28">
        <f t="shared" ref="G147:I147" si="43">G141*$D$46*G143</f>
        <v>6748944.3311773036</v>
      </c>
      <c r="H147" s="28">
        <f t="shared" si="43"/>
        <v>10484967.085936166</v>
      </c>
      <c r="I147" s="28">
        <f t="shared" si="43"/>
        <v>14462023.566808507</v>
      </c>
    </row>
    <row r="148" spans="1:9">
      <c r="A148" s="6" t="s">
        <v>134</v>
      </c>
      <c r="D148" s="32">
        <f t="shared" ref="D148:E148" si="44">D141*$E$46*D143</f>
        <v>0</v>
      </c>
      <c r="E148" s="32">
        <f t="shared" si="44"/>
        <v>0</v>
      </c>
      <c r="F148" s="32">
        <f>F141*$E$46*F143</f>
        <v>365246.38233653974</v>
      </c>
      <c r="G148" s="32">
        <f t="shared" ref="G148:I148" si="45">G141*$E$46*G143</f>
        <v>757548.05225356389</v>
      </c>
      <c r="H148" s="32">
        <f t="shared" si="45"/>
        <v>1176905.0097510722</v>
      </c>
      <c r="I148" s="32">
        <f t="shared" si="45"/>
        <v>1623317.2548290652</v>
      </c>
    </row>
    <row r="149" spans="1:9">
      <c r="A149" s="6" t="s">
        <v>154</v>
      </c>
      <c r="D149" s="32">
        <f t="shared" ref="D149:E149" si="46">D141*$F$46*D143</f>
        <v>0</v>
      </c>
      <c r="E149" s="32">
        <f t="shared" si="46"/>
        <v>0</v>
      </c>
      <c r="F149" s="32">
        <f>F141*$F$46*F143</f>
        <v>0</v>
      </c>
      <c r="G149" s="32">
        <f t="shared" ref="G149:I149" si="47">G141*$F$46*G143</f>
        <v>0</v>
      </c>
      <c r="H149" s="32">
        <f t="shared" si="47"/>
        <v>0</v>
      </c>
      <c r="I149" s="32">
        <f t="shared" si="47"/>
        <v>0</v>
      </c>
    </row>
    <row r="150" spans="1:9">
      <c r="A150" s="6" t="s">
        <v>132</v>
      </c>
      <c r="D150" s="32">
        <f t="shared" ref="D150:E150" si="48">D141*$G$46*D143</f>
        <v>0</v>
      </c>
      <c r="E150" s="32">
        <f t="shared" si="48"/>
        <v>0</v>
      </c>
      <c r="F150" s="32">
        <f>F141*$G$46*F143</f>
        <v>93533.369715337685</v>
      </c>
      <c r="G150" s="32">
        <f t="shared" ref="G150:I150" si="49">G141*$G$46*G143</f>
        <v>193995.13718736704</v>
      </c>
      <c r="H150" s="32">
        <f t="shared" si="49"/>
        <v>301385.30241608806</v>
      </c>
      <c r="I150" s="32">
        <f t="shared" si="49"/>
        <v>415703.86540150078</v>
      </c>
    </row>
    <row r="151" spans="1:9">
      <c r="A151" s="6" t="s">
        <v>135</v>
      </c>
      <c r="D151" s="32">
        <f t="shared" ref="D151:E151" si="50">D141*$H$46*D143</f>
        <v>0</v>
      </c>
      <c r="E151" s="32">
        <f t="shared" si="50"/>
        <v>0</v>
      </c>
      <c r="F151" s="32">
        <f>F141*$H$46*F143</f>
        <v>140530.39091929651</v>
      </c>
      <c r="G151" s="32">
        <f t="shared" ref="G151:I151" si="51">G141*$H$46*G143</f>
        <v>291470.44042520755</v>
      </c>
      <c r="H151" s="32">
        <f t="shared" si="51"/>
        <v>452820.14851773315</v>
      </c>
      <c r="I151" s="32">
        <f t="shared" si="51"/>
        <v>624579.51519687322</v>
      </c>
    </row>
    <row r="152" spans="1:9">
      <c r="A152" s="138" t="s">
        <v>155</v>
      </c>
      <c r="B152" s="103"/>
      <c r="C152" s="103"/>
      <c r="D152" s="60">
        <f>SUM(D147:D151)</f>
        <v>0</v>
      </c>
      <c r="E152" s="60">
        <f>SUM(E147:E151)</f>
        <v>0</v>
      </c>
      <c r="F152" s="60">
        <f>SUM(F147:F151)</f>
        <v>3853265.4455030882</v>
      </c>
      <c r="G152" s="60">
        <f t="shared" ref="G152:I152" si="52">SUM(G147:G151)</f>
        <v>7991957.9610434426</v>
      </c>
      <c r="H152" s="60">
        <f t="shared" si="52"/>
        <v>12416077.54662106</v>
      </c>
      <c r="I152" s="60">
        <f t="shared" si="52"/>
        <v>17125624.202235948</v>
      </c>
    </row>
    <row r="153" spans="1:9">
      <c r="A153" s="6"/>
    </row>
    <row r="154" spans="1:9">
      <c r="A154" s="1" t="s">
        <v>161</v>
      </c>
    </row>
    <row r="155" spans="1:9">
      <c r="A155" s="6" t="s">
        <v>165</v>
      </c>
      <c r="D155" s="28">
        <f t="shared" ref="D155:E155" si="53">D141*$D$75*D143</f>
        <v>0</v>
      </c>
      <c r="E155" s="28">
        <f t="shared" si="53"/>
        <v>0</v>
      </c>
      <c r="F155" s="28">
        <f>F141*$D$75*F143</f>
        <v>654392.6974461436</v>
      </c>
      <c r="G155" s="28">
        <f t="shared" ref="G155:I155" si="54">G141*$D$75*G143</f>
        <v>1357258.9280364462</v>
      </c>
      <c r="H155" s="28">
        <f t="shared" si="54"/>
        <v>2108598.691770907</v>
      </c>
      <c r="I155" s="28">
        <f t="shared" si="54"/>
        <v>2908411.9886495271</v>
      </c>
    </row>
    <row r="156" spans="1:9">
      <c r="A156" s="6" t="s">
        <v>166</v>
      </c>
      <c r="D156" s="32">
        <f t="shared" ref="D156:E156" si="55">D141*$E$75*D143</f>
        <v>0</v>
      </c>
      <c r="E156" s="32">
        <f t="shared" si="55"/>
        <v>0</v>
      </c>
      <c r="F156" s="32">
        <f>F141*$E$75*F143</f>
        <v>191536.70829342041</v>
      </c>
      <c r="G156" s="32">
        <f t="shared" ref="G156:I156" si="56">G141*$E$75*G143</f>
        <v>397261.32090487197</v>
      </c>
      <c r="H156" s="32">
        <f t="shared" si="56"/>
        <v>617173.83783435461</v>
      </c>
      <c r="I156" s="32">
        <f t="shared" si="56"/>
        <v>851274.25908186834</v>
      </c>
    </row>
    <row r="157" spans="1:9">
      <c r="A157" s="138" t="s">
        <v>167</v>
      </c>
      <c r="B157" s="103"/>
      <c r="C157" s="103"/>
      <c r="D157" s="60">
        <f t="shared" ref="D157:I157" si="57">SUM(D155:D156)</f>
        <v>0</v>
      </c>
      <c r="E157" s="60">
        <f t="shared" si="57"/>
        <v>0</v>
      </c>
      <c r="F157" s="60">
        <f t="shared" si="57"/>
        <v>845929.40573956398</v>
      </c>
      <c r="G157" s="60">
        <f t="shared" si="57"/>
        <v>1754520.2489413181</v>
      </c>
      <c r="H157" s="60">
        <f t="shared" si="57"/>
        <v>2725772.5296052615</v>
      </c>
      <c r="I157" s="60">
        <f t="shared" si="57"/>
        <v>3759686.2477313955</v>
      </c>
    </row>
    <row r="158" spans="1:9">
      <c r="A158" s="6"/>
    </row>
    <row r="159" spans="1:9">
      <c r="A159" s="1" t="s">
        <v>162</v>
      </c>
    </row>
    <row r="160" spans="1:9">
      <c r="A160" s="138" t="s">
        <v>168</v>
      </c>
      <c r="B160" s="103"/>
      <c r="C160" s="103"/>
      <c r="D160" s="60">
        <f t="shared" ref="D160:E160" si="58">D141*$H$75*D143</f>
        <v>0</v>
      </c>
      <c r="E160" s="60">
        <f t="shared" si="58"/>
        <v>0</v>
      </c>
      <c r="F160" s="60">
        <f>F141*$H$75*F143</f>
        <v>3106723.3998748432</v>
      </c>
      <c r="G160" s="60">
        <f t="shared" ref="G160:I160" si="59">G141*$H$75*G143</f>
        <v>6443574.4589996757</v>
      </c>
      <c r="H160" s="60">
        <f t="shared" si="59"/>
        <v>10010553.177374495</v>
      </c>
      <c r="I160" s="60">
        <f t="shared" si="59"/>
        <v>13807659.554999303</v>
      </c>
    </row>
    <row r="161" spans="1:9">
      <c r="A161" s="6"/>
    </row>
    <row r="162" spans="1:9">
      <c r="A162" s="1" t="s">
        <v>163</v>
      </c>
    </row>
    <row r="163" spans="1:9">
      <c r="A163" s="138" t="s">
        <v>200</v>
      </c>
      <c r="B163" s="103"/>
      <c r="C163" s="103"/>
      <c r="D163" s="60">
        <f t="shared" ref="D163:E163" si="60">D141*$I$75*D143</f>
        <v>0</v>
      </c>
      <c r="E163" s="60">
        <f t="shared" si="60"/>
        <v>0</v>
      </c>
      <c r="F163" s="60">
        <f>F141*$I$75*F143</f>
        <v>6139973.633583473</v>
      </c>
      <c r="G163" s="60">
        <f t="shared" ref="G163:I163" si="61">G141*$I$75*G143</f>
        <v>12734760.128913872</v>
      </c>
      <c r="H163" s="60">
        <f t="shared" si="61"/>
        <v>19784359.485991191</v>
      </c>
      <c r="I163" s="60">
        <f t="shared" si="61"/>
        <v>27288771.704815436</v>
      </c>
    </row>
    <row r="164" spans="1:9">
      <c r="A164" s="6"/>
    </row>
    <row r="165" spans="1:9">
      <c r="A165" s="1" t="s">
        <v>164</v>
      </c>
    </row>
    <row r="166" spans="1:9">
      <c r="A166" s="138" t="s">
        <v>200</v>
      </c>
      <c r="B166" s="103"/>
      <c r="C166" s="103"/>
      <c r="D166" s="60">
        <f>D141*$J$75*D143</f>
        <v>0</v>
      </c>
      <c r="E166" s="60">
        <f t="shared" ref="E166" si="62">E141*$J$75*E143</f>
        <v>0</v>
      </c>
      <c r="F166" s="60">
        <f>F141*$J$75*F143</f>
        <v>10035910.616182143</v>
      </c>
      <c r="G166" s="60">
        <f t="shared" ref="G166:I166" si="63">G141*$J$75*G143</f>
        <v>20815222.018748149</v>
      </c>
      <c r="H166" s="60">
        <f t="shared" si="63"/>
        <v>32337934.207698006</v>
      </c>
      <c r="I166" s="60">
        <f t="shared" si="63"/>
        <v>44604047.183031738</v>
      </c>
    </row>
    <row r="167" spans="1:9">
      <c r="A167" s="6"/>
    </row>
    <row r="168" spans="1:9">
      <c r="A168" s="1" t="s">
        <v>171</v>
      </c>
    </row>
    <row r="169" spans="1:9">
      <c r="A169" s="6" t="s">
        <v>172</v>
      </c>
      <c r="D169" s="28">
        <f t="shared" ref="D169:E169" si="64">D141*$D$104*D143</f>
        <v>0</v>
      </c>
      <c r="E169" s="28">
        <f t="shared" si="64"/>
        <v>0</v>
      </c>
      <c r="F169" s="28">
        <f>F141*$D$104*F143</f>
        <v>1654422.8550699984</v>
      </c>
      <c r="G169" s="28">
        <f t="shared" ref="G169:I169" si="65">G141*$D$104*G143</f>
        <v>3431395.551256293</v>
      </c>
      <c r="H169" s="28">
        <f t="shared" si="65"/>
        <v>5330918.0885588834</v>
      </c>
      <c r="I169" s="28">
        <f t="shared" si="65"/>
        <v>7352990.4669777695</v>
      </c>
    </row>
    <row r="170" spans="1:9">
      <c r="A170" s="6" t="s">
        <v>173</v>
      </c>
      <c r="D170" s="32">
        <f t="shared" ref="D170:E170" si="66">D141*$E$104*D143</f>
        <v>0</v>
      </c>
      <c r="E170" s="32">
        <f t="shared" si="66"/>
        <v>0</v>
      </c>
      <c r="F170" s="32">
        <f>F141*$E$104*F143</f>
        <v>2783878.1741354591</v>
      </c>
      <c r="G170" s="32">
        <f t="shared" ref="G170:I170" si="67">G141*$E$104*G143</f>
        <v>5773969.5463550268</v>
      </c>
      <c r="H170" s="32">
        <f t="shared" si="67"/>
        <v>8970274.1166587025</v>
      </c>
      <c r="I170" s="32">
        <f t="shared" si="67"/>
        <v>12372791.885046484</v>
      </c>
    </row>
    <row r="171" spans="1:9">
      <c r="A171" s="6" t="s">
        <v>174</v>
      </c>
      <c r="D171" s="32">
        <f t="shared" ref="D171:E171" si="68">D141*$F$104*D143</f>
        <v>0</v>
      </c>
      <c r="E171" s="32">
        <f t="shared" si="68"/>
        <v>0</v>
      </c>
      <c r="F171" s="32">
        <f>F141*$F$104*F143</f>
        <v>2988949.476753592</v>
      </c>
      <c r="G171" s="32">
        <f t="shared" ref="G171:I171" si="69">G141*$F$104*G143</f>
        <v>6199302.6184518952</v>
      </c>
      <c r="H171" s="32">
        <f t="shared" si="69"/>
        <v>9631059.4250949062</v>
      </c>
      <c r="I171" s="32">
        <f t="shared" si="69"/>
        <v>13284219.896682629</v>
      </c>
    </row>
    <row r="172" spans="1:9">
      <c r="A172" s="6" t="s">
        <v>175</v>
      </c>
      <c r="D172" s="32">
        <f t="shared" ref="D172:E172" si="70">D141*$G$104*D143</f>
        <v>0</v>
      </c>
      <c r="E172" s="32">
        <f t="shared" si="70"/>
        <v>0</v>
      </c>
      <c r="F172" s="32">
        <f>F141*$G$104*F143</f>
        <v>630551.04409250221</v>
      </c>
      <c r="G172" s="32">
        <f t="shared" ref="G172:I172" si="71">G141*$G$104*G143</f>
        <v>1307809.5729325972</v>
      </c>
      <c r="H172" s="32">
        <f t="shared" si="71"/>
        <v>2031775.5865202849</v>
      </c>
      <c r="I172" s="32">
        <f t="shared" si="71"/>
        <v>2802449.0848555649</v>
      </c>
    </row>
    <row r="173" spans="1:9">
      <c r="A173" s="6" t="s">
        <v>176</v>
      </c>
      <c r="D173" s="32">
        <f t="shared" ref="D173:E173" si="72">D141*$H$104*D143</f>
        <v>0</v>
      </c>
      <c r="E173" s="32">
        <f t="shared" si="72"/>
        <v>0</v>
      </c>
      <c r="F173" s="32">
        <f>F141*$H$104*F143</f>
        <v>198051.57436684379</v>
      </c>
      <c r="G173" s="32">
        <f t="shared" ref="G173:I173" si="73">G141*$H$104*G143</f>
        <v>410773.63572382421</v>
      </c>
      <c r="H173" s="32">
        <f t="shared" si="73"/>
        <v>638166.18407094094</v>
      </c>
      <c r="I173" s="32">
        <f t="shared" si="73"/>
        <v>880229.21940819453</v>
      </c>
    </row>
    <row r="174" spans="1:9">
      <c r="A174" s="140" t="s">
        <v>177</v>
      </c>
      <c r="D174" s="32">
        <f t="shared" ref="D174:E174" si="74">D141*$I$104*D143</f>
        <v>0</v>
      </c>
      <c r="E174" s="32">
        <f t="shared" si="74"/>
        <v>0</v>
      </c>
      <c r="F174" s="32">
        <f>F141*$I$104*F143</f>
        <v>1767368.1792567109</v>
      </c>
      <c r="G174" s="32">
        <f t="shared" ref="G174:I174" si="75">G141*$I$104*G143</f>
        <v>3665652.519939845</v>
      </c>
      <c r="H174" s="32">
        <f t="shared" si="75"/>
        <v>5694853.022049401</v>
      </c>
      <c r="I174" s="32">
        <f t="shared" si="75"/>
        <v>7854969.6855853815</v>
      </c>
    </row>
    <row r="175" spans="1:9">
      <c r="A175" s="138" t="s">
        <v>155</v>
      </c>
      <c r="B175" s="103"/>
      <c r="C175" s="103"/>
      <c r="D175" s="60">
        <f t="shared" ref="D175:I175" si="76">SUM(D169:D174)</f>
        <v>0</v>
      </c>
      <c r="E175" s="60">
        <f t="shared" si="76"/>
        <v>0</v>
      </c>
      <c r="F175" s="60">
        <f t="shared" si="76"/>
        <v>10023221.303675106</v>
      </c>
      <c r="G175" s="60">
        <f t="shared" si="76"/>
        <v>20788903.444659479</v>
      </c>
      <c r="H175" s="60">
        <f t="shared" si="76"/>
        <v>32297046.422953118</v>
      </c>
      <c r="I175" s="60">
        <f t="shared" si="76"/>
        <v>44547650.23855602</v>
      </c>
    </row>
    <row r="176" spans="1:9">
      <c r="A176" s="2" t="s">
        <v>201</v>
      </c>
      <c r="B176" s="105"/>
      <c r="C176" s="103"/>
      <c r="D176" s="60">
        <f t="shared" ref="D176:H176" si="77">D175+D166+D163+D160+D157+D152</f>
        <v>0</v>
      </c>
      <c r="E176" s="60">
        <f t="shared" si="77"/>
        <v>0</v>
      </c>
      <c r="F176" s="60">
        <f t="shared" si="77"/>
        <v>34005023.804558218</v>
      </c>
      <c r="G176" s="60">
        <f t="shared" si="77"/>
        <v>70528938.261305943</v>
      </c>
      <c r="H176" s="60">
        <f t="shared" si="77"/>
        <v>109571743.37024312</v>
      </c>
      <c r="I176" s="60">
        <f>I175+I166+I163+I160+I157+I152</f>
        <v>151133439.13136986</v>
      </c>
    </row>
    <row r="179" spans="1:10">
      <c r="D179" s="61" t="s">
        <v>191</v>
      </c>
      <c r="E179" s="61" t="s">
        <v>192</v>
      </c>
      <c r="F179" s="61" t="s">
        <v>193</v>
      </c>
      <c r="G179" s="61" t="s">
        <v>194</v>
      </c>
      <c r="H179" s="61" t="s">
        <v>195</v>
      </c>
      <c r="I179" s="61" t="s">
        <v>196</v>
      </c>
    </row>
    <row r="180" spans="1:10">
      <c r="A180" s="4" t="s">
        <v>178</v>
      </c>
      <c r="J180" s="16"/>
    </row>
    <row r="181" spans="1:10">
      <c r="A181" s="131" t="s">
        <v>92</v>
      </c>
      <c r="D181" s="28">
        <f t="shared" ref="D181:E181" si="78">D$141*$D$136*$F$143</f>
        <v>0</v>
      </c>
      <c r="E181" s="28">
        <f t="shared" si="78"/>
        <v>0</v>
      </c>
      <c r="F181" s="28">
        <f>F$141*$D$136*$F$143</f>
        <v>10008434.881453309</v>
      </c>
      <c r="G181" s="28">
        <f t="shared" ref="G181:I181" si="79">G$141*$D$136*$F$143</f>
        <v>20016869.762906618</v>
      </c>
      <c r="H181" s="28">
        <f t="shared" si="79"/>
        <v>30025304.644359928</v>
      </c>
      <c r="I181" s="28">
        <f t="shared" si="79"/>
        <v>40033739.525813237</v>
      </c>
    </row>
    <row r="182" spans="1:10">
      <c r="A182" s="131" t="s">
        <v>179</v>
      </c>
      <c r="D182" s="32">
        <f t="shared" ref="D182:E182" si="80">D$141*$E$136*D143</f>
        <v>0</v>
      </c>
      <c r="E182" s="32">
        <f t="shared" si="80"/>
        <v>0</v>
      </c>
      <c r="F182" s="32">
        <f>F$141*$E$136*F143</f>
        <v>3776246.5091532492</v>
      </c>
      <c r="G182" s="32">
        <f t="shared" ref="G182:I182" si="81">G$141*$E$136*G143</f>
        <v>7832214.9819474798</v>
      </c>
      <c r="H182" s="32">
        <f t="shared" si="81"/>
        <v>12167905.418382689</v>
      </c>
      <c r="I182" s="32">
        <f t="shared" si="81"/>
        <v>16783317.818458881</v>
      </c>
    </row>
    <row r="183" spans="1:10">
      <c r="A183" s="131" t="s">
        <v>180</v>
      </c>
      <c r="D183" s="32">
        <f t="shared" ref="D183:E183" si="82">D$141*$F$136*$F$143</f>
        <v>0</v>
      </c>
      <c r="E183" s="32">
        <f t="shared" si="82"/>
        <v>0</v>
      </c>
      <c r="F183" s="32">
        <f>F$141*$F$136*$F$143</f>
        <v>1015039.5334812987</v>
      </c>
      <c r="G183" s="32">
        <f t="shared" ref="G183:I183" si="83">G$141*$F$136*$F$143</f>
        <v>2030079.0669625974</v>
      </c>
      <c r="H183" s="32">
        <f t="shared" si="83"/>
        <v>3045118.6004438959</v>
      </c>
      <c r="I183" s="32">
        <f t="shared" si="83"/>
        <v>4060158.1339251949</v>
      </c>
    </row>
    <row r="184" spans="1:10">
      <c r="A184" s="273" t="s">
        <v>164</v>
      </c>
      <c r="D184" s="32">
        <f t="shared" ref="D184:E184" si="84">D$141*$G$136*D143</f>
        <v>0</v>
      </c>
      <c r="E184" s="32">
        <f t="shared" si="84"/>
        <v>0</v>
      </c>
      <c r="F184" s="32">
        <f>F$141*$G$136*F143</f>
        <v>11280362.300405342</v>
      </c>
      <c r="G184" s="32">
        <f t="shared" ref="G184:I184" si="85">G$141*$G$136*G143</f>
        <v>23396306.993433304</v>
      </c>
      <c r="H184" s="32">
        <f t="shared" si="85"/>
        <v>36347834.079083875</v>
      </c>
      <c r="I184" s="32">
        <f t="shared" si="85"/>
        <v>50134943.557357073</v>
      </c>
    </row>
    <row r="185" spans="1:10">
      <c r="A185" s="131" t="s">
        <v>181</v>
      </c>
      <c r="D185" s="32">
        <f t="shared" ref="D185:E185" si="86">D$141*$H$136*$F$143</f>
        <v>0</v>
      </c>
      <c r="E185" s="32">
        <f t="shared" si="86"/>
        <v>0</v>
      </c>
      <c r="F185" s="32">
        <f>F$141*$H$136*$F$143</f>
        <v>1117128.3654292647</v>
      </c>
      <c r="G185" s="32">
        <f t="shared" ref="G185:I185" si="87">G$141*$H$136*$F$143</f>
        <v>2234256.7308585295</v>
      </c>
      <c r="H185" s="32">
        <f t="shared" si="87"/>
        <v>3351385.0962877944</v>
      </c>
      <c r="I185" s="32">
        <f t="shared" si="87"/>
        <v>4468513.4617170589</v>
      </c>
    </row>
    <row r="186" spans="1:10">
      <c r="A186" s="131" t="s">
        <v>182</v>
      </c>
      <c r="D186" s="32">
        <f t="shared" ref="D186:E186" si="88">D$141*$I$136*$F$143</f>
        <v>0</v>
      </c>
      <c r="E186" s="32">
        <f t="shared" si="88"/>
        <v>0</v>
      </c>
      <c r="F186" s="32">
        <f>F$141*$I$136*$F$143</f>
        <v>134101.00344555682</v>
      </c>
      <c r="G186" s="32">
        <f t="shared" ref="G186:I186" si="89">G$141*$I$136*$F$143</f>
        <v>268202.00689111365</v>
      </c>
      <c r="H186" s="32">
        <f t="shared" si="89"/>
        <v>402303.0103366705</v>
      </c>
      <c r="I186" s="32">
        <f t="shared" si="89"/>
        <v>536404.0137822273</v>
      </c>
    </row>
    <row r="187" spans="1:10">
      <c r="A187" s="131" t="s">
        <v>183</v>
      </c>
      <c r="D187" s="32">
        <f t="shared" ref="D187:E187" si="90">D$141*$J$136*$F$143</f>
        <v>0</v>
      </c>
      <c r="E187" s="32">
        <f t="shared" si="90"/>
        <v>0</v>
      </c>
      <c r="F187" s="32">
        <f>F$141*$J$136*$F$143</f>
        <v>998844.6255236665</v>
      </c>
      <c r="G187" s="32">
        <f t="shared" ref="G187:I187" si="91">G$141*$J$136*$F$143</f>
        <v>1997689.251047333</v>
      </c>
      <c r="H187" s="32">
        <f t="shared" si="91"/>
        <v>2996533.8765709996</v>
      </c>
      <c r="I187" s="32">
        <f t="shared" si="91"/>
        <v>3995378.502094666</v>
      </c>
    </row>
    <row r="188" spans="1:10">
      <c r="A188" s="131" t="s">
        <v>184</v>
      </c>
      <c r="D188" s="32">
        <f t="shared" ref="D188:E188" si="92">D$141*$K$136*$F$143</f>
        <v>0</v>
      </c>
      <c r="E188" s="32">
        <f t="shared" si="92"/>
        <v>0</v>
      </c>
      <c r="F188" s="32">
        <f>F$141*$K$136*$F$143</f>
        <v>927561.00727695588</v>
      </c>
      <c r="G188" s="32">
        <f t="shared" ref="G188:I188" si="93">G$141*$K$136*$F$143</f>
        <v>1855122.0145539118</v>
      </c>
      <c r="H188" s="32">
        <f t="shared" si="93"/>
        <v>2782683.0218308675</v>
      </c>
      <c r="I188" s="32">
        <f t="shared" si="93"/>
        <v>3710244.0291078235</v>
      </c>
    </row>
    <row r="189" spans="1:10">
      <c r="A189" s="131" t="s">
        <v>185</v>
      </c>
      <c r="D189" s="32">
        <f t="shared" ref="D189:E189" si="94">D$141*$L$136*$F$143</f>
        <v>0</v>
      </c>
      <c r="E189" s="32">
        <f t="shared" si="94"/>
        <v>0</v>
      </c>
      <c r="F189" s="32">
        <f>F$141*$L$136*$F$143</f>
        <v>115175.48615080505</v>
      </c>
      <c r="G189" s="32">
        <f t="shared" ref="G189:I189" si="95">G$141*$L$136*$F$143</f>
        <v>230350.97230161011</v>
      </c>
      <c r="H189" s="32">
        <f t="shared" si="95"/>
        <v>345526.45845241519</v>
      </c>
      <c r="I189" s="32">
        <f t="shared" si="95"/>
        <v>460701.94460322021</v>
      </c>
    </row>
    <row r="190" spans="1:10">
      <c r="A190" s="131" t="s">
        <v>186</v>
      </c>
      <c r="D190" s="32">
        <f t="shared" ref="D190:E190" si="96">D$141*$M$136*$F$143</f>
        <v>0</v>
      </c>
      <c r="E190" s="32">
        <f t="shared" si="96"/>
        <v>0</v>
      </c>
      <c r="F190" s="32">
        <f>F$141*$M$136*$F$143</f>
        <v>228168.02227579625</v>
      </c>
      <c r="G190" s="32">
        <f t="shared" ref="G190:I190" si="97">G$141*$M$136*$F$143</f>
        <v>456336.04455159249</v>
      </c>
      <c r="H190" s="32">
        <f t="shared" si="97"/>
        <v>684504.06682738883</v>
      </c>
      <c r="I190" s="32">
        <f t="shared" si="97"/>
        <v>912672.08910318499</v>
      </c>
    </row>
    <row r="191" spans="1:10">
      <c r="A191" s="131" t="s">
        <v>187</v>
      </c>
      <c r="D191" s="32">
        <f t="shared" ref="D191:E191" si="98">D$141*$N$136*$F$143</f>
        <v>0</v>
      </c>
      <c r="E191" s="32">
        <f t="shared" si="98"/>
        <v>0</v>
      </c>
      <c r="F191" s="32">
        <f>F$141*$N$136*$F$143</f>
        <v>186578.94794082781</v>
      </c>
      <c r="G191" s="32">
        <f t="shared" ref="G191:I191" si="99">G$141*$N$136*$F$143</f>
        <v>373157.89588165563</v>
      </c>
      <c r="H191" s="32">
        <f t="shared" si="99"/>
        <v>559736.84382248344</v>
      </c>
      <c r="I191" s="32">
        <f t="shared" si="99"/>
        <v>746315.79176331125</v>
      </c>
    </row>
    <row r="192" spans="1:10">
      <c r="A192" s="6" t="s">
        <v>188</v>
      </c>
      <c r="D192" s="32">
        <f t="shared" ref="D192:E192" si="100">D$141*$O$136*$F$143</f>
        <v>0</v>
      </c>
      <c r="E192" s="32">
        <f t="shared" si="100"/>
        <v>0</v>
      </c>
      <c r="F192" s="32">
        <f>F$141*$O$136*$F$143</f>
        <v>77514.948596474918</v>
      </c>
      <c r="G192" s="32">
        <f t="shared" ref="G192:I192" si="101">G$141*$O$136*$F$143</f>
        <v>155029.89719294984</v>
      </c>
      <c r="H192" s="32">
        <f t="shared" si="101"/>
        <v>232544.84578942473</v>
      </c>
      <c r="I192" s="32">
        <f t="shared" si="101"/>
        <v>310059.79438589967</v>
      </c>
    </row>
    <row r="193" spans="1:9">
      <c r="A193" s="3" t="s">
        <v>189</v>
      </c>
      <c r="B193" s="103"/>
      <c r="C193" s="103"/>
      <c r="D193" s="60">
        <f>SUM(D181:D192)</f>
        <v>0</v>
      </c>
      <c r="E193" s="60">
        <f>SUM(E181:E192)</f>
        <v>0</v>
      </c>
      <c r="F193" s="60">
        <f>SUM(F181:F192)</f>
        <v>29865155.631132547</v>
      </c>
      <c r="G193" s="60">
        <f t="shared" ref="G193:I193" si="102">SUM(G181:G192)</f>
        <v>60845615.618528701</v>
      </c>
      <c r="H193" s="60">
        <f t="shared" si="102"/>
        <v>92941379.962188438</v>
      </c>
      <c r="I193" s="60">
        <f t="shared" si="102"/>
        <v>126152448.66211177</v>
      </c>
    </row>
    <row r="195" spans="1:9">
      <c r="F195" s="55"/>
    </row>
    <row r="196" spans="1:9" ht="13.8" thickBot="1">
      <c r="A196" s="70" t="s">
        <v>202</v>
      </c>
      <c r="B196" s="70"/>
      <c r="C196" s="70"/>
      <c r="D196" s="57">
        <f t="shared" ref="D196:H196" si="103">D176-D193</f>
        <v>0</v>
      </c>
      <c r="E196" s="57">
        <f t="shared" si="103"/>
        <v>0</v>
      </c>
      <c r="F196" s="57">
        <f t="shared" si="103"/>
        <v>4139868.1734256707</v>
      </c>
      <c r="G196" s="57">
        <f t="shared" si="103"/>
        <v>9683322.6427772418</v>
      </c>
      <c r="H196" s="57">
        <f t="shared" si="103"/>
        <v>16630363.40805468</v>
      </c>
      <c r="I196" s="57">
        <f>I176-I193</f>
        <v>24980990.469258085</v>
      </c>
    </row>
    <row r="197" spans="1:9" ht="13.8" thickTop="1"/>
  </sheetData>
  <hyperlinks>
    <hyperlink ref="J1" location="Index!A1" display="Return to Index" xr:uid="{00000000-0004-0000-0400-000000000000}"/>
  </hyperlinks>
  <printOptions horizontalCentered="1"/>
  <pageMargins left="0.25" right="0.25" top="0.5" bottom="0.5" header="0.5" footer="0.5"/>
  <pageSetup scale="82" orientation="landscape" horizontalDpi="1200" verticalDpi="1200" r:id="rId1"/>
  <headerFooter alignWithMargins="0">
    <oddFooter>&amp;L&amp;8Planning &amp; Accountability&amp;R&amp;8&amp;D</oddFooter>
  </headerFooter>
  <colBreaks count="1" manualBreakCount="1">
    <brk id="11" max="1048575" man="1"/>
  </colBreaks>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ransitionEvaluation="1" transitionEntry="1">
    <tabColor indexed="13"/>
  </sheetPr>
  <dimension ref="A1:AD83"/>
  <sheetViews>
    <sheetView showGridLines="0" zoomScale="85" zoomScaleNormal="85"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4.109375" style="277" customWidth="1"/>
    <col min="16" max="16384" width="9.109375" style="277"/>
  </cols>
  <sheetData>
    <row r="1" spans="1:15" ht="16.8" thickTop="1" thickBot="1">
      <c r="A1" s="899" t="str">
        <f>'TAMHSC Chts'!$A$1</f>
        <v>Texas A&amp;M University System Health Science Center</v>
      </c>
      <c r="B1" s="754"/>
      <c r="C1" s="754"/>
      <c r="D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1010"/>
      <c r="G2" s="1007">
        <f>VLOOKUP(A1,NamesLU,2,FALSE)</f>
        <v>89</v>
      </c>
      <c r="J2" s="901"/>
      <c r="K2" s="901"/>
      <c r="L2" s="901"/>
      <c r="M2" s="901"/>
      <c r="O2" s="320"/>
    </row>
    <row r="3" spans="1:15" ht="15.75" customHeight="1">
      <c r="A3" s="900" t="str">
        <f>'Smmy Chts'!$A$3</f>
        <v>Source: FY 2022 Annual Financial Report</v>
      </c>
      <c r="B3" s="754"/>
      <c r="C3" s="754"/>
      <c r="O3" s="320"/>
    </row>
    <row r="4" spans="1:15" ht="13.5" customHeight="1">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909"/>
      <c r="C6" s="427">
        <f>VLOOKUP($G$2,FTSELU,10,FALSE)</f>
        <v>3607.6499999999996</v>
      </c>
      <c r="J6" s="910"/>
      <c r="O6" s="320"/>
    </row>
    <row r="7" spans="1:15">
      <c r="B7" s="909"/>
      <c r="C7" s="909"/>
      <c r="I7" s="446" t="s">
        <v>533</v>
      </c>
      <c r="J7" s="911"/>
      <c r="O7" s="320"/>
    </row>
    <row r="8" spans="1:15">
      <c r="A8" s="912" t="s">
        <v>151</v>
      </c>
      <c r="B8" s="912"/>
      <c r="C8" s="913"/>
      <c r="I8" s="914">
        <f>VLOOKUP($G$2,FTSELU,11,FALSE)</f>
        <v>602.4</v>
      </c>
      <c r="J8" s="910"/>
      <c r="O8" s="320"/>
    </row>
    <row r="9" spans="1:15" ht="12.75" customHeight="1" thickBot="1">
      <c r="A9" s="279" t="s">
        <v>152</v>
      </c>
      <c r="B9" s="915"/>
      <c r="C9" s="915"/>
      <c r="J9" s="910"/>
      <c r="O9" s="320"/>
    </row>
    <row r="10" spans="1:15" ht="12.75" customHeight="1" thickTop="1">
      <c r="A10" s="277" t="s">
        <v>535</v>
      </c>
      <c r="B10" s="501">
        <f>'TAMHSC FGD'!M10</f>
        <v>176061466</v>
      </c>
      <c r="C10" s="501">
        <f>ROUND(B10/$C$6,0)</f>
        <v>48802</v>
      </c>
      <c r="D10" s="492">
        <f>'TAMHSC FGD'!F10</f>
        <v>0</v>
      </c>
      <c r="E10" s="492"/>
      <c r="F10" s="916">
        <f>B10-(SUM(D10:E10))</f>
        <v>176061466</v>
      </c>
      <c r="G10" s="917" t="s">
        <v>101</v>
      </c>
      <c r="H10" s="918"/>
      <c r="I10" s="919" t="s">
        <v>536</v>
      </c>
      <c r="J10" s="920">
        <f>ROUND(F10/$C$6,0)</f>
        <v>48802</v>
      </c>
      <c r="O10" s="320"/>
    </row>
    <row r="11" spans="1:15" ht="12.75" customHeight="1" thickBot="1">
      <c r="A11" s="277" t="s">
        <v>134</v>
      </c>
      <c r="B11" s="669">
        <f>'TAMHSC FGD'!M11</f>
        <v>7143757</v>
      </c>
      <c r="C11" s="669">
        <f t="shared" ref="C11:C14" si="0">ROUND(B11/$C$6,0)</f>
        <v>1980</v>
      </c>
      <c r="D11" s="921">
        <f>'TAMHSC FGD'!F11</f>
        <v>0</v>
      </c>
      <c r="E11" s="754"/>
      <c r="F11" s="922">
        <f t="shared" ref="F11:F14" si="1">B11-(SUM(D11:E11))</f>
        <v>7143757</v>
      </c>
      <c r="G11" s="923">
        <f>SUM(F10:F11)</f>
        <v>183205223</v>
      </c>
      <c r="H11" s="924"/>
      <c r="I11" s="925">
        <f>ROUND($G$11/$C$6,0)</f>
        <v>50782</v>
      </c>
      <c r="J11" s="926">
        <f t="shared" ref="J11:J14" si="2">ROUND(F11/$C$6,0)</f>
        <v>1980</v>
      </c>
      <c r="O11" s="320"/>
    </row>
    <row r="12" spans="1:15" ht="12.75" hidden="1" customHeight="1" thickTop="1" thickBot="1">
      <c r="A12" s="277" t="s">
        <v>537</v>
      </c>
      <c r="B12" s="669"/>
      <c r="C12" s="669"/>
      <c r="D12" s="921"/>
      <c r="E12" s="754"/>
      <c r="F12" s="927"/>
      <c r="J12" s="926"/>
      <c r="O12" s="928"/>
    </row>
    <row r="13" spans="1:15" ht="12.75" customHeight="1" thickTop="1">
      <c r="A13" s="277" t="s">
        <v>468</v>
      </c>
      <c r="B13" s="669">
        <f>'TAMHSC FGD'!M13</f>
        <v>0</v>
      </c>
      <c r="C13" s="669">
        <f t="shared" si="0"/>
        <v>0</v>
      </c>
      <c r="D13" s="921">
        <f>'TAMHSC FGD'!F13</f>
        <v>0</v>
      </c>
      <c r="E13" s="754"/>
      <c r="F13" s="929">
        <f t="shared" si="1"/>
        <v>0</v>
      </c>
      <c r="G13" s="930" t="s">
        <v>102</v>
      </c>
      <c r="H13" s="931"/>
      <c r="I13" s="417" t="s">
        <v>538</v>
      </c>
      <c r="J13" s="926">
        <f t="shared" si="2"/>
        <v>0</v>
      </c>
      <c r="O13" s="320"/>
    </row>
    <row r="14" spans="1:15" ht="12.75" customHeight="1" thickBot="1">
      <c r="A14" s="277" t="s">
        <v>135</v>
      </c>
      <c r="B14" s="669">
        <f>'TAMHSC FGD'!M14</f>
        <v>46943006</v>
      </c>
      <c r="C14" s="669">
        <f t="shared" si="0"/>
        <v>13012</v>
      </c>
      <c r="D14" s="921">
        <f>'TAMHSC FGD'!F14</f>
        <v>0</v>
      </c>
      <c r="E14" s="754"/>
      <c r="F14" s="927">
        <f t="shared" si="1"/>
        <v>46943006</v>
      </c>
      <c r="G14" s="932">
        <f>SUM(F13:F14)</f>
        <v>46943006</v>
      </c>
      <c r="H14" s="933"/>
      <c r="I14" s="934">
        <f>ROUND($G$11/$I$8,0)</f>
        <v>304126</v>
      </c>
      <c r="J14" s="935">
        <f t="shared" si="2"/>
        <v>13012</v>
      </c>
      <c r="O14" s="320"/>
    </row>
    <row r="15" spans="1:15" ht="12.75" customHeight="1" thickTop="1">
      <c r="A15" s="936" t="s">
        <v>155</v>
      </c>
      <c r="B15" s="937">
        <f>SUM(B10:B14)</f>
        <v>230148229</v>
      </c>
      <c r="C15" s="937">
        <f>SUM(C10:C14)</f>
        <v>63794</v>
      </c>
      <c r="D15" s="937">
        <f>SUM(D10:D14)</f>
        <v>0</v>
      </c>
      <c r="E15" s="937">
        <f>SUM(E10:E14)</f>
        <v>0</v>
      </c>
      <c r="F15" s="938">
        <f>SUM(F10:F14)</f>
        <v>230148229</v>
      </c>
      <c r="I15" s="345"/>
      <c r="J15" s="939">
        <f>SUM(J10:J14)</f>
        <v>63794</v>
      </c>
      <c r="O15" s="320"/>
    </row>
    <row r="16" spans="1:15">
      <c r="C16" s="277"/>
      <c r="J16" s="910"/>
      <c r="O16" s="320"/>
    </row>
    <row r="17" spans="1:15" ht="12.75" customHeight="1">
      <c r="A17" s="279" t="s">
        <v>161</v>
      </c>
      <c r="C17" s="277"/>
      <c r="J17" s="910"/>
      <c r="O17" s="320"/>
    </row>
    <row r="18" spans="1:15">
      <c r="A18" s="277" t="s">
        <v>165</v>
      </c>
      <c r="B18" s="501">
        <f>'TAMHSC FGD'!M29</f>
        <v>35772165</v>
      </c>
      <c r="C18" s="501">
        <f t="shared" ref="C18:C19" si="3">ROUND(B18/$C$6,0)</f>
        <v>9916</v>
      </c>
      <c r="D18" s="492">
        <f>'TAMHSC FGD'!$F$29</f>
        <v>0</v>
      </c>
      <c r="E18" s="492"/>
      <c r="F18" s="492">
        <f t="shared" ref="F18:F19" si="4">B18-(SUM(D18:E18))</f>
        <v>35772165</v>
      </c>
      <c r="J18" s="920">
        <f>ROUND(F18/$C$6,0)</f>
        <v>9916</v>
      </c>
      <c r="O18" s="320"/>
    </row>
    <row r="19" spans="1:15" ht="13.8" thickBot="1">
      <c r="A19" s="277" t="s">
        <v>166</v>
      </c>
      <c r="B19" s="669">
        <f>'TAMHSC FGD'!M42</f>
        <v>18283618</v>
      </c>
      <c r="C19" s="669">
        <f t="shared" si="3"/>
        <v>5068</v>
      </c>
      <c r="D19" s="754">
        <f>'TAMHSC FGD'!$F$42</f>
        <v>1476459</v>
      </c>
      <c r="E19" s="754"/>
      <c r="F19" s="754">
        <f t="shared" si="4"/>
        <v>16807159</v>
      </c>
      <c r="J19" s="926">
        <f>ROUND(F19/$C$6,0)</f>
        <v>4659</v>
      </c>
      <c r="O19" s="320"/>
    </row>
    <row r="20" spans="1:15" ht="14.4" thickTop="1" thickBot="1">
      <c r="A20" s="936" t="s">
        <v>167</v>
      </c>
      <c r="B20" s="937">
        <f>SUM(B18:B19)</f>
        <v>54055783</v>
      </c>
      <c r="C20" s="937">
        <f>SUM(C18:C19)</f>
        <v>14984</v>
      </c>
      <c r="D20" s="798">
        <f>SUM(D18:D19)</f>
        <v>1476459</v>
      </c>
      <c r="E20" s="940">
        <f>SUM(E18:E19)</f>
        <v>0</v>
      </c>
      <c r="F20" s="941">
        <f>SUM(F18:F19)</f>
        <v>52579324</v>
      </c>
      <c r="G20" s="942" t="s">
        <v>539</v>
      </c>
      <c r="H20" s="943"/>
      <c r="J20" s="944">
        <f>SUM(J18:J19)</f>
        <v>14575</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'TAMHSC FGD'!M47</f>
        <v>85141456</v>
      </c>
      <c r="C23" s="937"/>
      <c r="D23" s="798">
        <f>'TAMHSC FGD'!F47</f>
        <v>0</v>
      </c>
      <c r="E23" s="940"/>
      <c r="F23" s="941">
        <f>B23-(SUM(D23:E23))</f>
        <v>85141456</v>
      </c>
      <c r="G23" s="946" t="s">
        <v>540</v>
      </c>
      <c r="H23" s="943"/>
      <c r="J23" s="947">
        <f>ROUND(F23/$C$6,0)</f>
        <v>23600</v>
      </c>
      <c r="O23" s="320"/>
    </row>
    <row r="24" spans="1:15" ht="13.8" thickTop="1">
      <c r="C24" s="277"/>
      <c r="J24" s="910"/>
      <c r="O24" s="320"/>
    </row>
    <row r="25" spans="1:15">
      <c r="A25" s="279" t="s">
        <v>163</v>
      </c>
      <c r="C25" s="277"/>
      <c r="D25" s="754"/>
      <c r="J25" s="910"/>
      <c r="O25" s="320"/>
    </row>
    <row r="26" spans="1:15">
      <c r="A26" s="936" t="s">
        <v>200</v>
      </c>
      <c r="B26" s="937">
        <f>'TAMHSC FGD'!M50</f>
        <v>1073754</v>
      </c>
      <c r="C26" s="937"/>
      <c r="D26" s="937">
        <f>'TAMHSC FGD'!F50</f>
        <v>0</v>
      </c>
      <c r="E26" s="937">
        <f>B26-D26</f>
        <v>1073754</v>
      </c>
      <c r="F26" s="937">
        <f t="shared" ref="F26" si="5">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'TAMHSC FGD'!M53</f>
        <v>0</v>
      </c>
      <c r="C29" s="937"/>
      <c r="D29" s="937">
        <f>'TAMHSC FGD'!F53</f>
        <v>0</v>
      </c>
      <c r="E29" s="937">
        <f>B29-D29</f>
        <v>0</v>
      </c>
      <c r="F29" s="937">
        <f t="shared" ref="F29" si="6">B29-(SUM(D29:E29))</f>
        <v>0</v>
      </c>
      <c r="J29" s="926"/>
      <c r="O29" s="320"/>
    </row>
    <row r="30" spans="1:15">
      <c r="C30" s="277"/>
      <c r="E30" s="754"/>
      <c r="F30" s="754"/>
      <c r="J30" s="926"/>
      <c r="O30" s="320"/>
    </row>
    <row r="31" spans="1:15">
      <c r="A31" s="279" t="s">
        <v>171</v>
      </c>
      <c r="C31" s="277"/>
      <c r="E31" s="754"/>
      <c r="F31" s="754"/>
      <c r="G31" s="400"/>
      <c r="H31" s="400"/>
      <c r="I31" s="400"/>
      <c r="J31" s="926"/>
      <c r="O31" s="320"/>
    </row>
    <row r="32" spans="1:15">
      <c r="A32" s="277" t="s">
        <v>172</v>
      </c>
      <c r="B32" s="501">
        <f>'TAMHSC FGD'!M56</f>
        <v>1538319</v>
      </c>
      <c r="C32" s="501"/>
      <c r="D32" s="492">
        <f>'TAMHSC FGD'!F56</f>
        <v>0</v>
      </c>
      <c r="E32" s="492"/>
      <c r="F32" s="492">
        <f t="shared" ref="F32:F37" si="7">B32-(SUM(D32:E32))</f>
        <v>1538319</v>
      </c>
      <c r="J32" s="920">
        <f>ROUND(F32/$C$6,0)</f>
        <v>426</v>
      </c>
      <c r="O32" s="320"/>
    </row>
    <row r="33" spans="1:30">
      <c r="A33" s="277" t="s">
        <v>173</v>
      </c>
      <c r="B33" s="669">
        <f>'TAMHSC FGD'!M57</f>
        <v>0</v>
      </c>
      <c r="C33" s="669"/>
      <c r="D33" s="921">
        <f>'TAMHSC FGD'!F57</f>
        <v>0</v>
      </c>
      <c r="E33" s="754"/>
      <c r="F33" s="754">
        <f t="shared" si="7"/>
        <v>0</v>
      </c>
      <c r="J33" s="926">
        <f t="shared" ref="J33:J37" si="8">ROUND(F33/$C$6,0)</f>
        <v>0</v>
      </c>
      <c r="O33" s="320"/>
    </row>
    <row r="34" spans="1:30" ht="13.8" thickBot="1">
      <c r="A34" s="277" t="s">
        <v>174</v>
      </c>
      <c r="B34" s="669">
        <f>'TAMHSC FGD'!M58</f>
        <v>13401216</v>
      </c>
      <c r="C34" s="669"/>
      <c r="D34" s="921">
        <f>'TAMHSC FGD'!F58</f>
        <v>0</v>
      </c>
      <c r="E34" s="754"/>
      <c r="F34" s="754">
        <f t="shared" si="7"/>
        <v>13401216</v>
      </c>
      <c r="J34" s="926">
        <f t="shared" si="8"/>
        <v>3715</v>
      </c>
      <c r="O34" s="320"/>
    </row>
    <row r="35" spans="1:30" ht="13.8" thickBot="1">
      <c r="A35" s="277" t="s">
        <v>175</v>
      </c>
      <c r="B35" s="669">
        <f>'TAMHSC FGD'!M59</f>
        <v>43167057</v>
      </c>
      <c r="C35" s="669"/>
      <c r="D35" s="921">
        <f>'TAMHSC FGD'!F59</f>
        <v>0</v>
      </c>
      <c r="E35" s="754"/>
      <c r="F35" s="754">
        <f t="shared" si="7"/>
        <v>43167057</v>
      </c>
      <c r="J35" s="926">
        <f t="shared" si="8"/>
        <v>11965</v>
      </c>
      <c r="K35" s="1157"/>
      <c r="L35" s="1140"/>
      <c r="M35" s="1140"/>
      <c r="N35" s="1140"/>
      <c r="O35" s="1141"/>
    </row>
    <row r="36" spans="1:30" ht="13.8" thickBot="1">
      <c r="A36" s="277" t="s">
        <v>471</v>
      </c>
      <c r="B36" s="669">
        <f>'TAMHSC FGD'!M60</f>
        <v>2067081</v>
      </c>
      <c r="C36" s="669"/>
      <c r="D36" s="921">
        <f>'TAMHSC FGD'!F60</f>
        <v>2067081</v>
      </c>
      <c r="E36" s="754"/>
      <c r="F36" s="754">
        <f t="shared" si="7"/>
        <v>0</v>
      </c>
      <c r="J36" s="926">
        <f t="shared" si="8"/>
        <v>0</v>
      </c>
      <c r="K36" s="1157" t="s">
        <v>268</v>
      </c>
      <c r="L36" s="1140"/>
      <c r="M36" s="1140"/>
      <c r="N36" s="1140"/>
      <c r="O36" s="1141"/>
    </row>
    <row r="37" spans="1:30" ht="13.5" customHeight="1" thickBot="1">
      <c r="A37" s="538" t="s">
        <v>177</v>
      </c>
      <c r="B37" s="669">
        <f>'TAMHSC FGD'!M61</f>
        <v>7948203</v>
      </c>
      <c r="C37" s="669"/>
      <c r="D37" s="921">
        <f>'TAMHSC FGD'!F61</f>
        <v>33268</v>
      </c>
      <c r="E37" s="754"/>
      <c r="F37" s="754">
        <f t="shared" si="7"/>
        <v>7914935</v>
      </c>
      <c r="G37" s="400"/>
      <c r="H37" s="400"/>
      <c r="I37" s="400"/>
      <c r="J37" s="926">
        <f t="shared" si="8"/>
        <v>2194</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68121876</v>
      </c>
      <c r="C38" s="937"/>
      <c r="D38" s="949">
        <f>SUM(D32:D37)</f>
        <v>2100349</v>
      </c>
      <c r="E38" s="949">
        <f>SUM(E32:E37)</f>
        <v>0</v>
      </c>
      <c r="F38" s="950">
        <f>SUM(F32:F37)</f>
        <v>66021527</v>
      </c>
      <c r="G38" s="1154" t="s">
        <v>171</v>
      </c>
      <c r="H38" s="1155"/>
      <c r="I38" s="951" t="s">
        <v>542</v>
      </c>
      <c r="J38" s="952">
        <f>SUM(J32:J37)</f>
        <v>18300</v>
      </c>
      <c r="K38" s="1159"/>
      <c r="L38" s="1159"/>
      <c r="M38" s="1159"/>
      <c r="N38" s="1159" t="s">
        <v>543</v>
      </c>
      <c r="O38" s="1159" t="s">
        <v>280</v>
      </c>
    </row>
    <row r="39" spans="1:30" ht="13.8" thickTop="1">
      <c r="A39" s="953" t="s">
        <v>201</v>
      </c>
      <c r="B39" s="954">
        <f>B15+B20+B23+B26+B29+B38</f>
        <v>438541098</v>
      </c>
      <c r="C39" s="955"/>
      <c r="D39" s="954">
        <f>D15+D20+D23+D26+D29+D38</f>
        <v>3576808</v>
      </c>
      <c r="E39" s="954">
        <f>E15+E20+E23+E26+E29+E38</f>
        <v>1073754</v>
      </c>
      <c r="F39" s="956">
        <f>F38+F23+F20+F15</f>
        <v>433890536</v>
      </c>
      <c r="G39" s="1156" t="s">
        <v>271</v>
      </c>
      <c r="H39" s="1156"/>
      <c r="I39" s="957">
        <f>ROUND($G$41/$C$6,0)</f>
        <v>107258</v>
      </c>
      <c r="J39" s="958">
        <f>J15+J20+J23+J38</f>
        <v>120269</v>
      </c>
      <c r="K39" s="1159"/>
      <c r="L39" s="1159"/>
      <c r="M39" s="1159"/>
      <c r="N39" s="1159"/>
      <c r="O39" s="1159"/>
    </row>
    <row r="40" spans="1:30" ht="13.8" thickBot="1">
      <c r="C40" s="277"/>
      <c r="F40" s="320" t="s">
        <v>544</v>
      </c>
      <c r="G40" s="959">
        <f>G14*-1</f>
        <v>-46943006</v>
      </c>
      <c r="I40" s="951" t="s">
        <v>545</v>
      </c>
      <c r="J40" s="960"/>
      <c r="K40" s="1160"/>
      <c r="L40" s="1160"/>
      <c r="M40" s="1160"/>
      <c r="N40" s="1160"/>
      <c r="O40" s="1160"/>
    </row>
    <row r="41" spans="1:30" ht="14.4" thickTop="1" thickBot="1">
      <c r="A41" s="912" t="s">
        <v>178</v>
      </c>
      <c r="B41" s="912"/>
      <c r="C41" s="912"/>
      <c r="D41" s="344"/>
      <c r="E41" s="344"/>
      <c r="F41" s="961" t="s">
        <v>546</v>
      </c>
      <c r="G41" s="962">
        <f>F39+G40</f>
        <v>386947530</v>
      </c>
      <c r="I41" s="963">
        <f>ROUND($G$41/$I$8,0)</f>
        <v>642343</v>
      </c>
      <c r="K41" s="964"/>
      <c r="L41" s="964"/>
      <c r="M41" s="964"/>
      <c r="N41" s="964"/>
      <c r="O41" s="964"/>
    </row>
    <row r="42" spans="1:30" ht="13.8" thickTop="1">
      <c r="A42" s="490" t="s">
        <v>92</v>
      </c>
      <c r="B42" s="501">
        <f>'TAMHSC FGD'!M65</f>
        <v>125746504</v>
      </c>
      <c r="C42" s="501">
        <f t="shared" ref="C42:C52" si="9">ROUND(B42/$C$6,0)</f>
        <v>34856</v>
      </c>
      <c r="D42" s="492">
        <f>'TAMHSC FGD'!F65</f>
        <v>0</v>
      </c>
      <c r="E42" s="492"/>
      <c r="F42" s="492">
        <f t="shared" ref="F42" si="10">B42-(SUM(D42:E42))</f>
        <v>125746504</v>
      </c>
      <c r="H42" s="965" t="s">
        <v>547</v>
      </c>
      <c r="I42" s="966">
        <f>ROUND(F42/$C$6,0)</f>
        <v>34856</v>
      </c>
      <c r="J42" s="320" t="s">
        <v>548</v>
      </c>
      <c r="K42" s="492">
        <f>F42</f>
        <v>125746504</v>
      </c>
      <c r="L42" s="492">
        <f>K42</f>
        <v>125746504</v>
      </c>
      <c r="M42" s="492"/>
      <c r="N42" s="492"/>
      <c r="O42" s="492"/>
    </row>
    <row r="43" spans="1:30">
      <c r="A43" s="490" t="s">
        <v>179</v>
      </c>
      <c r="B43" s="669">
        <f>'TAMHSC FGD'!M66</f>
        <v>101323855</v>
      </c>
      <c r="C43" s="669">
        <f t="shared" si="9"/>
        <v>28086</v>
      </c>
      <c r="D43" s="723">
        <f>'TAMHSC FGD'!F66</f>
        <v>0</v>
      </c>
      <c r="E43" s="754"/>
      <c r="F43" s="754">
        <f t="shared" ref="F43:F44" si="11">B43-(SUM(D43:E43))</f>
        <v>101323855</v>
      </c>
      <c r="J43" s="320" t="s">
        <v>549</v>
      </c>
      <c r="K43" s="723">
        <f>F43</f>
        <v>101323855</v>
      </c>
      <c r="L43" s="723">
        <f>K43</f>
        <v>101323855</v>
      </c>
      <c r="M43" s="723"/>
      <c r="N43" s="723"/>
      <c r="O43" s="723"/>
    </row>
    <row r="44" spans="1:30">
      <c r="A44" s="490" t="s">
        <v>180</v>
      </c>
      <c r="B44" s="669">
        <f>'TAMHSC FGD'!M67</f>
        <v>17406904</v>
      </c>
      <c r="C44" s="669"/>
      <c r="D44" s="723">
        <f>'TAMHSC FGD'!F67</f>
        <v>0</v>
      </c>
      <c r="E44" s="921">
        <f>B44-D44</f>
        <v>17406904</v>
      </c>
      <c r="F44" s="754">
        <f t="shared" si="11"/>
        <v>0</v>
      </c>
      <c r="J44" s="320" t="s">
        <v>550</v>
      </c>
      <c r="K44" s="967"/>
      <c r="L44" s="769"/>
      <c r="M44" s="769" t="s">
        <v>551</v>
      </c>
      <c r="N44" s="769"/>
      <c r="O44" s="968"/>
    </row>
    <row r="45" spans="1:30">
      <c r="A45" s="300" t="s">
        <v>164</v>
      </c>
      <c r="B45" s="669">
        <f>'TAMHSC FGD'!M68</f>
        <v>0</v>
      </c>
      <c r="C45" s="669"/>
      <c r="D45" s="723">
        <f>'TAMHSC FGD'!F68</f>
        <v>0</v>
      </c>
      <c r="E45" s="921">
        <f>B45-D45</f>
        <v>0</v>
      </c>
      <c r="F45" s="754">
        <f t="shared" ref="F45" si="12">B45-(SUM(D45:E45))</f>
        <v>0</v>
      </c>
      <c r="G45" s="492"/>
      <c r="J45" s="320" t="s">
        <v>552</v>
      </c>
      <c r="K45" s="1161" t="s">
        <v>551</v>
      </c>
      <c r="L45" s="1162"/>
      <c r="M45" s="1162"/>
      <c r="N45" s="1162"/>
      <c r="O45" s="1163"/>
    </row>
    <row r="46" spans="1:30">
      <c r="A46" s="490" t="s">
        <v>181</v>
      </c>
      <c r="B46" s="669">
        <f>'TAMHSC FGD'!M69</f>
        <v>38433856</v>
      </c>
      <c r="C46" s="669">
        <f t="shared" si="9"/>
        <v>10653</v>
      </c>
      <c r="D46" s="723">
        <f>'TAMHSC FGD'!F69</f>
        <v>0</v>
      </c>
      <c r="E46" s="754"/>
      <c r="F46" s="754">
        <f t="shared" ref="F46:F53" si="13">B46-(SUM(D46:E46))</f>
        <v>38433856</v>
      </c>
      <c r="H46" s="965" t="s">
        <v>553</v>
      </c>
      <c r="I46" s="966">
        <f>ROUND(F46/$C$6,0)</f>
        <v>10653</v>
      </c>
      <c r="J46" s="320" t="s">
        <v>554</v>
      </c>
      <c r="K46" s="723">
        <f t="shared" ref="K46:K50" si="14">F46</f>
        <v>38433856</v>
      </c>
      <c r="L46" s="723">
        <f>K46</f>
        <v>38433856</v>
      </c>
      <c r="M46" s="723"/>
      <c r="N46" s="723"/>
      <c r="O46" s="723"/>
    </row>
    <row r="47" spans="1:30">
      <c r="A47" s="490" t="s">
        <v>182</v>
      </c>
      <c r="B47" s="669">
        <f>'TAMHSC FGD'!M70</f>
        <v>5448744</v>
      </c>
      <c r="C47" s="669">
        <f t="shared" si="9"/>
        <v>1510</v>
      </c>
      <c r="D47" s="723">
        <f>'TAMHSC FGD'!F70</f>
        <v>0</v>
      </c>
      <c r="E47" s="754"/>
      <c r="F47" s="754">
        <f t="shared" si="13"/>
        <v>5448744</v>
      </c>
      <c r="J47" s="320" t="s">
        <v>555</v>
      </c>
      <c r="K47" s="723">
        <f t="shared" si="14"/>
        <v>5448744</v>
      </c>
      <c r="L47" s="723"/>
      <c r="M47" s="723">
        <f>K47</f>
        <v>5448744</v>
      </c>
      <c r="N47" s="723"/>
      <c r="O47" s="723"/>
    </row>
    <row r="48" spans="1:30">
      <c r="A48" s="490" t="s">
        <v>183</v>
      </c>
      <c r="B48" s="669">
        <f>'TAMHSC FGD'!M71</f>
        <v>11340359</v>
      </c>
      <c r="C48" s="669">
        <f t="shared" si="9"/>
        <v>3143</v>
      </c>
      <c r="D48" s="723">
        <f>'TAMHSC FGD'!F71</f>
        <v>0</v>
      </c>
      <c r="E48" s="754"/>
      <c r="F48" s="754">
        <f t="shared" si="13"/>
        <v>11340359</v>
      </c>
      <c r="H48" s="965" t="s">
        <v>556</v>
      </c>
      <c r="I48" s="966">
        <f>ROUND(F48/$C$6,0)</f>
        <v>3143</v>
      </c>
      <c r="J48" s="320" t="s">
        <v>557</v>
      </c>
      <c r="K48" s="723">
        <f t="shared" si="14"/>
        <v>11340359</v>
      </c>
      <c r="L48" s="723"/>
      <c r="M48" s="723"/>
      <c r="N48" s="723">
        <f>K48</f>
        <v>11340359</v>
      </c>
      <c r="O48" s="723"/>
    </row>
    <row r="49" spans="1:30">
      <c r="A49" s="490" t="s">
        <v>184</v>
      </c>
      <c r="B49" s="669">
        <f>'TAMHSC FGD'!M72</f>
        <v>28501380</v>
      </c>
      <c r="C49" s="669"/>
      <c r="D49" s="723">
        <f>'TAMHSC FGD'!F72</f>
        <v>0</v>
      </c>
      <c r="E49" s="754"/>
      <c r="F49" s="754">
        <f t="shared" si="13"/>
        <v>28501380</v>
      </c>
      <c r="J49" s="320" t="s">
        <v>558</v>
      </c>
      <c r="K49" s="723">
        <f t="shared" si="14"/>
        <v>28501380</v>
      </c>
      <c r="L49" s="723"/>
      <c r="M49" s="723"/>
      <c r="N49" s="723">
        <f>K49</f>
        <v>28501380</v>
      </c>
      <c r="O49" s="723"/>
    </row>
    <row r="50" spans="1:30">
      <c r="A50" s="490" t="s">
        <v>185</v>
      </c>
      <c r="B50" s="669">
        <f>'TAMHSC FGD'!M73</f>
        <v>2935673</v>
      </c>
      <c r="C50" s="669">
        <f t="shared" si="9"/>
        <v>814</v>
      </c>
      <c r="D50" s="723">
        <f>'TAMHSC FGD'!F73</f>
        <v>0</v>
      </c>
      <c r="E50" s="754"/>
      <c r="F50" s="754">
        <f t="shared" si="13"/>
        <v>2935673</v>
      </c>
      <c r="J50" s="320" t="s">
        <v>559</v>
      </c>
      <c r="K50" s="723">
        <f t="shared" si="14"/>
        <v>2935673</v>
      </c>
      <c r="L50" s="723"/>
      <c r="M50" s="723">
        <f>K50</f>
        <v>2935673</v>
      </c>
      <c r="N50" s="723"/>
      <c r="O50" s="723"/>
    </row>
    <row r="51" spans="1:30">
      <c r="A51" s="490" t="s">
        <v>472</v>
      </c>
      <c r="B51" s="669">
        <f>'TAMHSC FGD'!M74</f>
        <v>3770625</v>
      </c>
      <c r="C51" s="669"/>
      <c r="D51" s="969">
        <f>B51</f>
        <v>3770625</v>
      </c>
      <c r="E51" s="754"/>
      <c r="F51" s="754">
        <f t="shared" si="13"/>
        <v>0</v>
      </c>
      <c r="J51" s="320" t="s">
        <v>560</v>
      </c>
      <c r="K51" s="967"/>
      <c r="L51" s="769"/>
      <c r="M51" s="769" t="s">
        <v>551</v>
      </c>
      <c r="N51" s="769"/>
      <c r="O51" s="968"/>
    </row>
    <row r="52" spans="1:30">
      <c r="A52" s="490" t="s">
        <v>187</v>
      </c>
      <c r="B52" s="669">
        <f>'TAMHSC FGD'!M75</f>
        <v>7003379</v>
      </c>
      <c r="C52" s="669">
        <f t="shared" si="9"/>
        <v>1941</v>
      </c>
      <c r="D52" s="723">
        <f>'TAMHSC FGD'!F75</f>
        <v>0</v>
      </c>
      <c r="E52" s="754"/>
      <c r="F52" s="754">
        <f t="shared" si="13"/>
        <v>7003379</v>
      </c>
      <c r="J52" s="320" t="s">
        <v>561</v>
      </c>
      <c r="K52" s="723">
        <f t="shared" ref="K52:K53" si="15">F52</f>
        <v>7003379</v>
      </c>
      <c r="L52" s="723"/>
      <c r="M52" s="723"/>
      <c r="N52" s="723"/>
      <c r="O52" s="723">
        <f>K52</f>
        <v>7003379</v>
      </c>
    </row>
    <row r="53" spans="1:30" ht="13.8" thickBot="1">
      <c r="A53" s="277" t="s">
        <v>1713</v>
      </c>
      <c r="B53" s="669">
        <f>'TAMHSC FGD'!M76</f>
        <v>4002592</v>
      </c>
      <c r="C53" s="669"/>
      <c r="D53" s="723">
        <f>'TAMHSC FGD'!F76</f>
        <v>0</v>
      </c>
      <c r="E53" s="754"/>
      <c r="F53" s="754">
        <f t="shared" si="13"/>
        <v>4002592</v>
      </c>
      <c r="G53" s="400"/>
      <c r="H53" s="965" t="s">
        <v>562</v>
      </c>
      <c r="I53" s="966">
        <f>ROUND(SUM(F43+F47+F49+F50+F52+F53)/$C$6,0)</f>
        <v>41361</v>
      </c>
      <c r="J53" s="400" t="s">
        <v>280</v>
      </c>
      <c r="K53" s="723">
        <f t="shared" si="15"/>
        <v>4002592</v>
      </c>
      <c r="L53" s="970"/>
      <c r="M53" s="970"/>
      <c r="N53" s="970"/>
      <c r="O53" s="723">
        <f>K53</f>
        <v>4002592</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345913871</v>
      </c>
      <c r="C54" s="972">
        <f>SUM(C42:C53)</f>
        <v>81003</v>
      </c>
      <c r="D54" s="972">
        <f>SUM(D42:D53)</f>
        <v>3770625</v>
      </c>
      <c r="E54" s="973">
        <f>SUM(E43:E53)</f>
        <v>17406904</v>
      </c>
      <c r="F54" s="974">
        <f>SUM(F42:F53)</f>
        <v>324736342</v>
      </c>
      <c r="G54" s="1174" t="s">
        <v>563</v>
      </c>
      <c r="H54" s="1175"/>
      <c r="I54" s="975" t="s">
        <v>623</v>
      </c>
      <c r="J54" s="400" t="s">
        <v>564</v>
      </c>
      <c r="K54" s="976">
        <f>SUM(K42:K53)</f>
        <v>324736342</v>
      </c>
      <c r="L54" s="976">
        <f t="shared" ref="L54:O54" si="16">SUM(L42:L53)</f>
        <v>265504215</v>
      </c>
      <c r="M54" s="976">
        <f t="shared" si="16"/>
        <v>8384417</v>
      </c>
      <c r="N54" s="976">
        <f t="shared" si="16"/>
        <v>39841739</v>
      </c>
      <c r="O54" s="976">
        <f t="shared" si="16"/>
        <v>11005971</v>
      </c>
    </row>
    <row r="55" spans="1:30" ht="14.25" customHeight="1" thickTop="1" thickBot="1">
      <c r="C55" s="277"/>
      <c r="F55" s="931"/>
      <c r="G55" s="1176"/>
      <c r="H55" s="1177"/>
      <c r="I55" s="977">
        <f>ROUND(F54/C6,0)</f>
        <v>90013</v>
      </c>
      <c r="J55" s="1153" t="s">
        <v>565</v>
      </c>
      <c r="K55" s="970"/>
      <c r="L55" s="970"/>
      <c r="M55" s="970"/>
      <c r="N55" s="970"/>
      <c r="O55" s="970"/>
    </row>
    <row r="56" spans="1:30" ht="16.5" customHeight="1" thickBot="1">
      <c r="A56" s="279" t="s">
        <v>473</v>
      </c>
      <c r="C56" s="277"/>
      <c r="F56" s="978"/>
      <c r="G56" s="1178"/>
      <c r="H56" s="1179"/>
      <c r="I56" s="951" t="s">
        <v>624</v>
      </c>
      <c r="J56" s="1153"/>
      <c r="K56" s="979">
        <f>ROUND(K54/$C$6,2)</f>
        <v>90013.26</v>
      </c>
      <c r="L56" s="979">
        <f t="shared" ref="L56:O56" si="17">ROUND(L54/$C$6,2)</f>
        <v>73594.78</v>
      </c>
      <c r="M56" s="979">
        <f t="shared" si="17"/>
        <v>2324.0700000000002</v>
      </c>
      <c r="N56" s="979">
        <f t="shared" si="17"/>
        <v>11043.68</v>
      </c>
      <c r="O56" s="979">
        <f t="shared" si="17"/>
        <v>3050.73</v>
      </c>
      <c r="P56" s="333"/>
      <c r="Q56" s="333"/>
      <c r="R56" s="333"/>
      <c r="S56" s="333"/>
      <c r="T56" s="333"/>
      <c r="U56" s="333"/>
      <c r="V56" s="333"/>
      <c r="W56" s="333"/>
      <c r="X56" s="333"/>
      <c r="Y56" s="333"/>
      <c r="Z56" s="333"/>
      <c r="AA56" s="333"/>
      <c r="AB56" s="333"/>
      <c r="AC56" s="333"/>
      <c r="AD56" s="333"/>
    </row>
    <row r="57" spans="1:30" ht="13.8" thickTop="1">
      <c r="A57" s="277" t="s">
        <v>474</v>
      </c>
      <c r="B57" s="669">
        <f>'TAMHSC FGD'!M80</f>
        <v>0</v>
      </c>
      <c r="C57" s="669"/>
      <c r="D57" s="492">
        <f>'TAMHSC FGD'!F80</f>
        <v>0</v>
      </c>
      <c r="E57" s="492"/>
      <c r="F57" s="980">
        <f t="shared" ref="F57:F60" si="18">B57-(SUM(D57:E57))</f>
        <v>0</v>
      </c>
      <c r="G57" s="930"/>
      <c r="I57" s="981">
        <f>ROUND($F$54/$I$8,0)</f>
        <v>539071</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'TAMHSC FGD'!M81</f>
        <v>18865260</v>
      </c>
      <c r="C58" s="669"/>
      <c r="D58" s="982">
        <f>'TAMHSC FGD'!F81</f>
        <v>204499</v>
      </c>
      <c r="E58" s="915"/>
      <c r="F58" s="754">
        <f t="shared" si="18"/>
        <v>18660761</v>
      </c>
      <c r="K58" s="980"/>
      <c r="L58" s="980"/>
      <c r="M58" s="980"/>
      <c r="N58" s="980"/>
      <c r="O58" s="980"/>
    </row>
    <row r="59" spans="1:30">
      <c r="A59" s="983" t="s">
        <v>567</v>
      </c>
      <c r="B59" s="669">
        <f>'TAMHSC FGD'!M82</f>
        <v>0</v>
      </c>
      <c r="C59" s="669"/>
      <c r="D59" s="982">
        <f>'TAMHSC FGD'!F82</f>
        <v>0</v>
      </c>
      <c r="E59" s="915"/>
      <c r="F59" s="754">
        <f t="shared" si="18"/>
        <v>0</v>
      </c>
      <c r="G59" s="400"/>
      <c r="J59" s="400"/>
      <c r="K59" s="400"/>
      <c r="L59" s="400"/>
      <c r="M59" s="400"/>
      <c r="N59" s="400"/>
      <c r="O59" s="400"/>
    </row>
    <row r="60" spans="1:30" ht="12" customHeight="1">
      <c r="A60" s="277" t="s">
        <v>477</v>
      </c>
      <c r="B60" s="669">
        <f>'TAMHSC FGD'!M83</f>
        <v>-20843593</v>
      </c>
      <c r="C60" s="669"/>
      <c r="D60" s="982">
        <f>'TAMHSC FGD'!F83</f>
        <v>0</v>
      </c>
      <c r="E60" s="915"/>
      <c r="F60" s="754">
        <f t="shared" si="18"/>
        <v>-20843593</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-1978333</v>
      </c>
      <c r="C61" s="937"/>
      <c r="D61" s="937">
        <f>SUM(D57:D60)</f>
        <v>204499</v>
      </c>
      <c r="E61" s="937">
        <f>SUM(E57:E60)</f>
        <v>0</v>
      </c>
      <c r="F61" s="984">
        <f>SUM(F57:F60)</f>
        <v>-2182832</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'TAMHSC FGD'!M87</f>
        <v>-64836581</v>
      </c>
      <c r="C64" s="669"/>
      <c r="D64" s="492">
        <f>'TAMHSC FGD'!F87</f>
        <v>0</v>
      </c>
      <c r="E64" s="492"/>
      <c r="F64" s="492">
        <f t="shared" ref="F64:F65" si="19">B64-(SUM(D64:E64))</f>
        <v>-64836581</v>
      </c>
      <c r="O64" s="320"/>
    </row>
    <row r="65" spans="1:30">
      <c r="A65" s="277" t="s">
        <v>480</v>
      </c>
      <c r="B65" s="669">
        <f>'TAMHSC FGD'!M88</f>
        <v>66453</v>
      </c>
      <c r="C65" s="669"/>
      <c r="D65" s="982">
        <f>'TAMHSC FGD'!F88</f>
        <v>0</v>
      </c>
      <c r="E65" s="915"/>
      <c r="F65" s="754">
        <f t="shared" si="19"/>
        <v>66453</v>
      </c>
      <c r="O65" s="320"/>
      <c r="P65" s="333"/>
      <c r="Q65" s="333"/>
      <c r="R65" s="333"/>
      <c r="S65" s="333"/>
      <c r="T65" s="333"/>
      <c r="U65" s="333"/>
      <c r="V65" s="333"/>
      <c r="W65" s="333"/>
      <c r="X65" s="333"/>
      <c r="Y65" s="333"/>
      <c r="Z65" s="333"/>
      <c r="AA65" s="333"/>
      <c r="AB65" s="333"/>
      <c r="AC65" s="333"/>
      <c r="AD65" s="333"/>
    </row>
    <row r="66" spans="1:30">
      <c r="A66" s="936" t="s">
        <v>155</v>
      </c>
      <c r="B66" s="937">
        <f>SUM(B64:B65)</f>
        <v>-64770128</v>
      </c>
      <c r="C66" s="937"/>
      <c r="D66" s="937">
        <f>SUM(D64:D65)</f>
        <v>0</v>
      </c>
      <c r="E66" s="937">
        <f>SUM(E64:E65)</f>
        <v>0</v>
      </c>
      <c r="F66" s="937">
        <f>SUM(F64:F65)</f>
        <v>-64770128</v>
      </c>
      <c r="O66" s="320"/>
    </row>
    <row r="67" spans="1:30">
      <c r="C67" s="277"/>
      <c r="O67" s="320"/>
    </row>
    <row r="68" spans="1:30" ht="13.8" thickBot="1">
      <c r="A68" s="985" t="s">
        <v>572</v>
      </c>
      <c r="B68" s="590">
        <f>B39-B54+B61+B66</f>
        <v>25878766</v>
      </c>
      <c r="C68" s="590"/>
      <c r="D68" s="590">
        <f>D39-D54+D61+D66</f>
        <v>10682</v>
      </c>
      <c r="E68" s="590">
        <f>E39-E54+E61+E66</f>
        <v>-16333150</v>
      </c>
      <c r="F68" s="590">
        <f>F39-F54+F61+F66</f>
        <v>42201234</v>
      </c>
      <c r="O68" s="320"/>
    </row>
    <row r="69" spans="1:30" ht="13.8" thickTop="1"/>
    <row r="70" spans="1:30">
      <c r="A70" s="320" t="s">
        <v>573</v>
      </c>
      <c r="D70" s="492"/>
    </row>
    <row r="71" spans="1:30">
      <c r="A71" s="277" t="s">
        <v>7</v>
      </c>
    </row>
    <row r="72" spans="1:30">
      <c r="B72" s="986">
        <f>'TAMHSC FGD'!$M$91</f>
        <v>25878766</v>
      </c>
      <c r="C72" s="277"/>
      <c r="D72" s="986">
        <f>'TAMHSC FGD'!F91</f>
        <v>10682</v>
      </c>
      <c r="E72" s="986">
        <f>'TAMHSC FGD'!M50</f>
        <v>1073754</v>
      </c>
      <c r="F72" s="277"/>
    </row>
    <row r="73" spans="1:30">
      <c r="B73" s="986"/>
      <c r="C73" s="277"/>
      <c r="D73" s="986">
        <f>'TAMHSC FGD'!F74</f>
        <v>3770625</v>
      </c>
      <c r="E73" s="986">
        <f>'TAMHSC FGD'!M53</f>
        <v>0</v>
      </c>
      <c r="F73" s="986"/>
    </row>
    <row r="74" spans="1:30">
      <c r="B74" s="986"/>
      <c r="C74" s="277"/>
      <c r="D74" s="986">
        <f>-'TAMHSC FGD'!M74</f>
        <v>-3770625</v>
      </c>
      <c r="E74" s="986">
        <f>-'TAMHSC FGD'!M68</f>
        <v>0</v>
      </c>
      <c r="F74" s="986"/>
    </row>
    <row r="75" spans="1:30">
      <c r="B75" s="986"/>
      <c r="C75" s="277"/>
      <c r="D75" s="986"/>
      <c r="E75" s="986">
        <f>-'TAMHSC FGD'!M67</f>
        <v>-17406904</v>
      </c>
      <c r="F75" s="986"/>
    </row>
    <row r="76" spans="1:30" ht="12.75" customHeight="1">
      <c r="B76" s="987"/>
      <c r="C76" s="277"/>
      <c r="D76" s="987"/>
      <c r="E76" s="987">
        <f>-D26</f>
        <v>0</v>
      </c>
      <c r="F76" s="986"/>
    </row>
    <row r="77" spans="1:30" ht="12.75" customHeight="1">
      <c r="B77" s="986">
        <f>SUM(B72:B76)</f>
        <v>25878766</v>
      </c>
      <c r="C77" s="277"/>
      <c r="D77" s="986">
        <f>SUM(D72:D76)</f>
        <v>10682</v>
      </c>
      <c r="E77" s="986">
        <f>SUM(E72:E76)</f>
        <v>-16333150</v>
      </c>
      <c r="F77" s="986">
        <f>B77-D77-E77</f>
        <v>42201234</v>
      </c>
    </row>
    <row r="78" spans="1:30" ht="12.75" customHeight="1">
      <c r="B78" s="986"/>
      <c r="C78" s="277"/>
      <c r="D78" s="986"/>
      <c r="E78" s="986"/>
      <c r="F78" s="986"/>
    </row>
    <row r="79" spans="1:30" ht="12.75" customHeight="1">
      <c r="B79" s="987"/>
      <c r="C79" s="538"/>
      <c r="D79" s="987"/>
      <c r="E79" s="987"/>
      <c r="F79" s="987"/>
    </row>
    <row r="80" spans="1:30" ht="12.75" customHeight="1">
      <c r="B80" s="986">
        <f>SUM(B77:B79)</f>
        <v>25878766</v>
      </c>
      <c r="C80" s="277"/>
      <c r="D80" s="986">
        <f>SUM(D77:D79)</f>
        <v>10682</v>
      </c>
      <c r="E80" s="986">
        <f>SUM(E77:E79)</f>
        <v>-16333150</v>
      </c>
      <c r="F80" s="986">
        <f>SUM(F77:F79)</f>
        <v>42201234</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2F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indexed="11"/>
    <pageSetUpPr fitToPage="1"/>
  </sheetPr>
  <dimension ref="A1:AB123"/>
  <sheetViews>
    <sheetView showGridLines="0" zoomScale="75" zoomScaleNormal="75" workbookViewId="0">
      <pane xSplit="2" ySplit="8" topLeftCell="D9"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5.5546875" style="751" customWidth="1"/>
    <col min="13" max="13" width="16.6640625" style="751" customWidth="1"/>
    <col min="14" max="14" width="5.109375" style="751" customWidth="1"/>
    <col min="15" max="15" width="14.4414062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O1" s="322"/>
      <c r="P1" s="322"/>
      <c r="Q1" s="322"/>
      <c r="R1" s="322"/>
      <c r="S1" s="322"/>
      <c r="T1" s="322"/>
      <c r="U1" s="322"/>
      <c r="V1" s="322"/>
      <c r="W1" s="322"/>
      <c r="X1" s="322"/>
      <c r="Y1" s="322"/>
      <c r="Z1" s="322"/>
      <c r="AA1" s="322"/>
      <c r="AB1" s="322"/>
    </row>
    <row r="2" spans="1:28" ht="21">
      <c r="A2" s="656">
        <v>1</v>
      </c>
      <c r="B2" s="1168" t="str">
        <f>'TAMHSC Chts'!$A$1</f>
        <v>Texas A&amp;M University System Health Science Center</v>
      </c>
      <c r="C2" s="1168"/>
      <c r="D2" s="1168"/>
      <c r="E2" s="1168"/>
      <c r="F2" s="1168"/>
      <c r="H2" s="750"/>
      <c r="I2" s="752" t="str">
        <f>IF($B$2&lt;&gt;Input!$H$12,"Name Mismatch","")</f>
        <v/>
      </c>
      <c r="K2" s="750"/>
      <c r="L2" s="750"/>
      <c r="M2" s="672"/>
      <c r="O2" s="321" t="s">
        <v>51</v>
      </c>
      <c r="P2" s="334"/>
    </row>
    <row r="3" spans="1:28" ht="21">
      <c r="A3" s="656">
        <v>2</v>
      </c>
      <c r="B3" s="1168" t="str">
        <f>'Smmy Chts'!$A$2</f>
        <v>For the Year Ended August 31, 2022</v>
      </c>
      <c r="C3" s="1168"/>
      <c r="D3" s="1168"/>
      <c r="E3" s="1168"/>
      <c r="F3" s="1168"/>
      <c r="G3" s="750"/>
      <c r="H3" s="750"/>
      <c r="K3" s="750"/>
      <c r="L3" s="750"/>
      <c r="M3" s="672"/>
      <c r="O3" s="754"/>
    </row>
    <row r="4" spans="1:28" ht="21">
      <c r="A4" s="656">
        <v>3</v>
      </c>
      <c r="B4" s="1168" t="str">
        <f>'Smmy Chts'!$A$3</f>
        <v>Source: FY 2022 Annual Financial Report</v>
      </c>
      <c r="C4" s="1168"/>
      <c r="D4" s="1168"/>
      <c r="E4" s="1168"/>
      <c r="F4" s="1168"/>
      <c r="G4" s="750"/>
      <c r="H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Input!$M$12</f>
        <v>176061466</v>
      </c>
      <c r="E10" s="762">
        <f>Input!$N$12</f>
        <v>0</v>
      </c>
      <c r="F10" s="762">
        <f>Input!$O$12</f>
        <v>0</v>
      </c>
      <c r="G10" s="762">
        <f>Input!$P$12</f>
        <v>0</v>
      </c>
      <c r="H10" s="762">
        <f>Input!$Q$12</f>
        <v>0</v>
      </c>
      <c r="I10" s="762">
        <f>Input!$R$12</f>
        <v>0</v>
      </c>
      <c r="J10" s="762">
        <f>Input!$S$12</f>
        <v>0</v>
      </c>
      <c r="K10" s="762">
        <f>Input!$T$12</f>
        <v>0</v>
      </c>
      <c r="L10" s="762">
        <f>Input!$U$12</f>
        <v>0</v>
      </c>
      <c r="M10" s="723">
        <f t="shared" ref="M10:M15" si="0">D10+E10+F10+G10+H10+I10+J10+K10+L10</f>
        <v>176061466</v>
      </c>
      <c r="O10" s="763"/>
      <c r="P10" s="1200" t="s">
        <v>627</v>
      </c>
      <c r="Q10" s="320"/>
      <c r="R10" s="320"/>
      <c r="S10" s="320"/>
      <c r="V10" s="320"/>
      <c r="W10" s="320"/>
      <c r="X10" s="320"/>
      <c r="Y10" s="320"/>
      <c r="Z10" s="320"/>
      <c r="AA10" s="320"/>
      <c r="AB10" s="320"/>
    </row>
    <row r="11" spans="1:28" s="752" customFormat="1">
      <c r="A11" s="460">
        <v>10</v>
      </c>
      <c r="B11" s="752" t="s">
        <v>134</v>
      </c>
      <c r="D11" s="762">
        <f>Input!$V$12</f>
        <v>1417836</v>
      </c>
      <c r="E11" s="762">
        <f>Input!$W$12</f>
        <v>1558685</v>
      </c>
      <c r="F11" s="762">
        <f>Input!$X$12</f>
        <v>0</v>
      </c>
      <c r="G11" s="762">
        <f>Input!$Y$12</f>
        <v>4167236</v>
      </c>
      <c r="H11" s="762">
        <f>Input!$Z$12</f>
        <v>0</v>
      </c>
      <c r="I11" s="762">
        <f>Input!$AA$12</f>
        <v>0</v>
      </c>
      <c r="J11" s="762">
        <f>Input!$AB$12</f>
        <v>0</v>
      </c>
      <c r="K11" s="762">
        <f>Input!$AC$12</f>
        <v>0</v>
      </c>
      <c r="L11" s="762">
        <f>Input!$AD$12</f>
        <v>0</v>
      </c>
      <c r="M11" s="723">
        <f t="shared" si="0"/>
        <v>7143757</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Input!$AN$12</f>
        <v>0</v>
      </c>
      <c r="E13" s="762">
        <f>Input!$AO$12</f>
        <v>0</v>
      </c>
      <c r="F13" s="762">
        <f>Input!$AP$12</f>
        <v>0</v>
      </c>
      <c r="G13" s="762">
        <f>Input!$AQ$12</f>
        <v>0</v>
      </c>
      <c r="H13" s="762">
        <f>Input!$AR$12</f>
        <v>0</v>
      </c>
      <c r="I13" s="762">
        <f>Input!$AS$12</f>
        <v>0</v>
      </c>
      <c r="J13" s="762">
        <f>Input!$AT$12</f>
        <v>0</v>
      </c>
      <c r="K13" s="762">
        <f>Input!$AU$12</f>
        <v>0</v>
      </c>
      <c r="L13" s="762">
        <f>Input!$AV$12</f>
        <v>0</v>
      </c>
      <c r="M13" s="723">
        <f t="shared" si="0"/>
        <v>0</v>
      </c>
      <c r="O13" s="764" t="str">
        <f>IF(P13&lt;&gt;M13,"Out of Balance","Balanced")</f>
        <v>Balanced</v>
      </c>
      <c r="P13" s="767">
        <f>IFERROR(VLOOKUP($B$2,AMTLU,6,FALSE),0)</f>
        <v>0</v>
      </c>
      <c r="Q13" s="320"/>
      <c r="R13" s="320"/>
      <c r="S13" s="320"/>
      <c r="V13" s="320"/>
      <c r="W13" s="320"/>
      <c r="X13" s="320"/>
      <c r="Y13" s="320"/>
      <c r="Z13" s="320"/>
      <c r="AA13" s="320"/>
      <c r="AB13" s="320"/>
    </row>
    <row r="14" spans="1:28" s="752" customFormat="1" ht="15">
      <c r="A14" s="460">
        <v>13</v>
      </c>
      <c r="B14" s="752" t="s">
        <v>135</v>
      </c>
      <c r="D14" s="762">
        <f>Input!$AW$12</f>
        <v>0</v>
      </c>
      <c r="E14" s="762">
        <f>Input!$AX$12</f>
        <v>46943006</v>
      </c>
      <c r="F14" s="762">
        <f>Input!$AY$12</f>
        <v>0</v>
      </c>
      <c r="G14" s="762">
        <f>Input!$AZ$12</f>
        <v>0</v>
      </c>
      <c r="H14" s="762">
        <f>Input!$BA$12</f>
        <v>0</v>
      </c>
      <c r="I14" s="762">
        <f>Input!$BB$12</f>
        <v>0</v>
      </c>
      <c r="J14" s="762">
        <f>Input!$BC$12</f>
        <v>0</v>
      </c>
      <c r="K14" s="762">
        <f>Input!$BD$12</f>
        <v>0</v>
      </c>
      <c r="L14" s="762">
        <f>Input!$BE$12</f>
        <v>0</v>
      </c>
      <c r="M14" s="723">
        <f t="shared" si="0"/>
        <v>46943006</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177479302</v>
      </c>
      <c r="E15" s="769">
        <f t="shared" ref="E15:L15" si="1">SUM(E10:E14)</f>
        <v>48501691</v>
      </c>
      <c r="F15" s="769">
        <f t="shared" si="1"/>
        <v>0</v>
      </c>
      <c r="G15" s="769">
        <f t="shared" si="1"/>
        <v>4167236</v>
      </c>
      <c r="H15" s="769">
        <f t="shared" si="1"/>
        <v>0</v>
      </c>
      <c r="I15" s="769">
        <f t="shared" si="1"/>
        <v>0</v>
      </c>
      <c r="J15" s="769">
        <f t="shared" si="1"/>
        <v>0</v>
      </c>
      <c r="K15" s="769">
        <f t="shared" si="1"/>
        <v>0</v>
      </c>
      <c r="L15" s="769">
        <f t="shared" si="1"/>
        <v>0</v>
      </c>
      <c r="M15" s="769">
        <f t="shared" si="0"/>
        <v>230148229</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22750776</v>
      </c>
      <c r="E18" s="769">
        <f t="shared" si="2"/>
        <v>18958760</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41709536</v>
      </c>
      <c r="V18" s="723"/>
      <c r="X18" s="492"/>
    </row>
    <row r="19" spans="1:26" s="320" customFormat="1" ht="12.75" customHeight="1" thickTop="1" thickBot="1">
      <c r="A19" s="322"/>
      <c r="B19" s="320" t="s">
        <v>592</v>
      </c>
      <c r="D19" s="762">
        <f>Input!$BF$12</f>
        <v>-2560450</v>
      </c>
      <c r="E19" s="762">
        <f>Input!$BG$12</f>
        <v>0</v>
      </c>
      <c r="F19" s="762">
        <f>Input!$BH$12</f>
        <v>0</v>
      </c>
      <c r="G19" s="762">
        <f>Input!$BI$12</f>
        <v>0</v>
      </c>
      <c r="H19" s="762">
        <f>Input!$BJ$12</f>
        <v>0</v>
      </c>
      <c r="I19" s="762">
        <f>Input!BK6</f>
        <v>0</v>
      </c>
      <c r="J19" s="762">
        <f>Input!$BL$12</f>
        <v>0</v>
      </c>
      <c r="K19" s="762">
        <f>Input!BM6</f>
        <v>0</v>
      </c>
      <c r="L19" s="762">
        <f>Input!BN6</f>
        <v>0</v>
      </c>
      <c r="M19" s="723">
        <f t="shared" si="3"/>
        <v>-2560450</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Input!$BO$12</f>
        <v>0</v>
      </c>
      <c r="E20" s="762">
        <f>Input!$BP$12</f>
        <v>0</v>
      </c>
      <c r="F20" s="762">
        <f>Input!$BQ$12</f>
        <v>0</v>
      </c>
      <c r="G20" s="762">
        <f>Input!$BR$12</f>
        <v>0</v>
      </c>
      <c r="H20" s="762">
        <f>Input!$BS$12</f>
        <v>0</v>
      </c>
      <c r="I20" s="762">
        <f>Input!$BT$12</f>
        <v>0</v>
      </c>
      <c r="J20" s="762">
        <f>Input!BU6</f>
        <v>0</v>
      </c>
      <c r="K20" s="762">
        <f>Input!BV6</f>
        <v>0</v>
      </c>
      <c r="L20" s="762">
        <f>Input!$BW$12</f>
        <v>0</v>
      </c>
      <c r="M20" s="723">
        <f t="shared" si="3"/>
        <v>0</v>
      </c>
      <c r="O20" s="773" t="s">
        <v>631</v>
      </c>
      <c r="P20" s="774"/>
      <c r="Q20" s="774"/>
      <c r="R20" s="774"/>
      <c r="S20" s="775"/>
      <c r="U20" s="776" t="s">
        <v>252</v>
      </c>
      <c r="Y20" s="777"/>
    </row>
    <row r="21" spans="1:26" s="320" customFormat="1">
      <c r="A21" s="322"/>
      <c r="B21" s="320" t="s">
        <v>594</v>
      </c>
      <c r="D21" s="762">
        <f>Input!$BX$12</f>
        <v>0</v>
      </c>
      <c r="E21" s="762">
        <f>Input!$BY$12</f>
        <v>0</v>
      </c>
      <c r="F21" s="762">
        <f>Input!$BZ$12</f>
        <v>0</v>
      </c>
      <c r="G21" s="762">
        <f>Input!$CA$12</f>
        <v>0</v>
      </c>
      <c r="H21" s="762">
        <f>Input!$CB$12</f>
        <v>0</v>
      </c>
      <c r="I21" s="762">
        <f>Input!$CC$12</f>
        <v>0</v>
      </c>
      <c r="J21" s="762">
        <f>Input!$CD$12</f>
        <v>0</v>
      </c>
      <c r="K21" s="762">
        <f>Input!$CE$12</f>
        <v>0</v>
      </c>
      <c r="L21" s="762">
        <f>Input!$CF$12</f>
        <v>0</v>
      </c>
      <c r="M21" s="723">
        <f t="shared" si="3"/>
        <v>0</v>
      </c>
      <c r="O21" s="778"/>
      <c r="R21" s="492"/>
      <c r="S21" s="779"/>
      <c r="U21" s="780" t="s">
        <v>632</v>
      </c>
      <c r="X21" s="781">
        <f>M44</f>
        <v>54055783</v>
      </c>
      <c r="Y21" s="777"/>
      <c r="Z21" s="492"/>
    </row>
    <row r="22" spans="1:26" s="320" customFormat="1">
      <c r="A22" s="322"/>
      <c r="B22" s="320" t="s">
        <v>595</v>
      </c>
      <c r="D22" s="762">
        <f>Input!$CG$12</f>
        <v>0</v>
      </c>
      <c r="E22" s="762">
        <f>Input!$CH$12</f>
        <v>0</v>
      </c>
      <c r="F22" s="762">
        <f>Input!$CI$12</f>
        <v>0</v>
      </c>
      <c r="G22" s="762">
        <f>Input!$CJ$12</f>
        <v>0</v>
      </c>
      <c r="H22" s="762">
        <f>Input!$CK$12</f>
        <v>0</v>
      </c>
      <c r="I22" s="762">
        <f>Input!$CL$12</f>
        <v>0</v>
      </c>
      <c r="J22" s="762">
        <f>Input!$CM$12</f>
        <v>0</v>
      </c>
      <c r="K22" s="762">
        <f>Input!$CN$12</f>
        <v>0</v>
      </c>
      <c r="L22" s="762">
        <f>Input!$CO$12</f>
        <v>0</v>
      </c>
      <c r="M22" s="723">
        <f t="shared" si="3"/>
        <v>0</v>
      </c>
      <c r="N22" s="406"/>
      <c r="O22" s="778" t="s">
        <v>633</v>
      </c>
      <c r="Q22" s="492">
        <f>M23</f>
        <v>39149086</v>
      </c>
      <c r="S22" s="782"/>
      <c r="U22" s="780" t="s">
        <v>634</v>
      </c>
      <c r="X22" s="783">
        <f>R30*-1</f>
        <v>5102910</v>
      </c>
      <c r="Y22" s="777"/>
    </row>
    <row r="23" spans="1:26" s="320" customFormat="1" ht="12.75" customHeight="1">
      <c r="A23" s="322"/>
      <c r="B23" s="772" t="s">
        <v>233</v>
      </c>
      <c r="C23" s="784"/>
      <c r="D23" s="785">
        <f>Input!$CP$12</f>
        <v>20190326</v>
      </c>
      <c r="E23" s="785">
        <f>Input!$CQ$12</f>
        <v>18958760</v>
      </c>
      <c r="F23" s="785">
        <f>Input!$CR$12</f>
        <v>0</v>
      </c>
      <c r="G23" s="785">
        <f>Input!$CS$12</f>
        <v>0</v>
      </c>
      <c r="H23" s="785">
        <f>Input!$CT$12</f>
        <v>0</v>
      </c>
      <c r="I23" s="785">
        <f>Input!$CU$12</f>
        <v>0</v>
      </c>
      <c r="J23" s="785">
        <f>Input!$CV$12</f>
        <v>0</v>
      </c>
      <c r="K23" s="785">
        <f>Input!$CW$12</f>
        <v>0</v>
      </c>
      <c r="L23" s="785">
        <f>Input!$CX$12</f>
        <v>0</v>
      </c>
      <c r="M23" s="786">
        <f t="shared" si="3"/>
        <v>39149086</v>
      </c>
      <c r="O23" s="778"/>
      <c r="Q23" s="492"/>
      <c r="S23" s="782"/>
      <c r="U23" s="776" t="s">
        <v>635</v>
      </c>
      <c r="Y23" s="777">
        <f>SUM(X21:X22)</f>
        <v>59158693</v>
      </c>
      <c r="Z23" s="492"/>
    </row>
    <row r="24" spans="1:26" s="320" customFormat="1" ht="12.75" customHeight="1">
      <c r="A24" s="322"/>
      <c r="B24" s="320" t="s">
        <v>596</v>
      </c>
      <c r="C24" s="751"/>
      <c r="D24" s="762">
        <f>Input!$CY$12</f>
        <v>0</v>
      </c>
      <c r="E24" s="762">
        <f>Input!$CZ$12</f>
        <v>0</v>
      </c>
      <c r="F24" s="762">
        <f>Input!$DA$12</f>
        <v>0</v>
      </c>
      <c r="G24" s="762">
        <f>Input!$DB$12</f>
        <v>0</v>
      </c>
      <c r="H24" s="762">
        <f>Input!$DC$12</f>
        <v>0</v>
      </c>
      <c r="I24" s="762">
        <f>Input!$DD$12</f>
        <v>0</v>
      </c>
      <c r="J24" s="762">
        <f>Input!$DE$12</f>
        <v>0</v>
      </c>
      <c r="K24" s="762">
        <f>Input!$DF$12</f>
        <v>0</v>
      </c>
      <c r="L24" s="762">
        <f>Input!$DG$12</f>
        <v>0</v>
      </c>
      <c r="M24" s="650">
        <f t="shared" si="3"/>
        <v>0</v>
      </c>
      <c r="O24" s="787" t="s">
        <v>636</v>
      </c>
      <c r="Q24" s="723"/>
      <c r="R24" s="723">
        <f>SUM(M24:M28)</f>
        <v>-3376921</v>
      </c>
      <c r="S24" s="782"/>
      <c r="U24" s="776"/>
      <c r="Y24" s="777"/>
      <c r="Z24" s="492"/>
    </row>
    <row r="25" spans="1:26" s="320" customFormat="1" ht="12.75" customHeight="1">
      <c r="A25" s="322"/>
      <c r="B25" s="320" t="s">
        <v>597</v>
      </c>
      <c r="C25" s="751"/>
      <c r="D25" s="762">
        <f>Input!$DH$12</f>
        <v>0</v>
      </c>
      <c r="E25" s="762">
        <f>Input!$DI$12</f>
        <v>0</v>
      </c>
      <c r="F25" s="762">
        <f>Input!$DJ$12</f>
        <v>0</v>
      </c>
      <c r="G25" s="762">
        <f>Input!$DK$12</f>
        <v>0</v>
      </c>
      <c r="H25" s="762">
        <f>Input!$DL$12</f>
        <v>0</v>
      </c>
      <c r="I25" s="762">
        <f>Input!$DM$12</f>
        <v>0</v>
      </c>
      <c r="J25" s="762">
        <f>Input!$DN$12</f>
        <v>0</v>
      </c>
      <c r="K25" s="762">
        <f>Input!$DO$12</f>
        <v>0</v>
      </c>
      <c r="L25" s="762">
        <f>Input!$DP$12</f>
        <v>0</v>
      </c>
      <c r="M25" s="650">
        <f t="shared" si="3"/>
        <v>0</v>
      </c>
      <c r="O25" s="778"/>
      <c r="Q25" s="723"/>
      <c r="R25" s="723"/>
      <c r="S25" s="782"/>
      <c r="U25" s="788" t="s">
        <v>637</v>
      </c>
      <c r="V25" s="789"/>
      <c r="W25" s="789"/>
      <c r="X25" s="790">
        <f>(M26+M39)*-1</f>
        <v>1584955</v>
      </c>
      <c r="Y25" s="777"/>
      <c r="Z25" s="492"/>
    </row>
    <row r="26" spans="1:26" s="320" customFormat="1" ht="12.75" customHeight="1">
      <c r="A26" s="322"/>
      <c r="B26" s="320" t="s">
        <v>598</v>
      </c>
      <c r="C26" s="751"/>
      <c r="D26" s="762">
        <f>Input!$DQ$12</f>
        <v>-375386</v>
      </c>
      <c r="E26" s="762">
        <f>Input!$DR$12</f>
        <v>-789749</v>
      </c>
      <c r="F26" s="762">
        <f>Input!$DS$12</f>
        <v>0</v>
      </c>
      <c r="G26" s="762">
        <f>Input!$DT$12</f>
        <v>0</v>
      </c>
      <c r="H26" s="762">
        <f>Input!$DU$12</f>
        <v>0</v>
      </c>
      <c r="I26" s="762">
        <f>Input!$DV$12</f>
        <v>0</v>
      </c>
      <c r="J26" s="762">
        <f>Input!$DW$12</f>
        <v>0</v>
      </c>
      <c r="K26" s="762">
        <f>Input!$DX$12</f>
        <v>0</v>
      </c>
      <c r="L26" s="762">
        <f>Input!$DY$12</f>
        <v>0</v>
      </c>
      <c r="M26" s="650">
        <f t="shared" si="3"/>
        <v>-1165135</v>
      </c>
      <c r="O26" s="778" t="s">
        <v>638</v>
      </c>
      <c r="Q26" s="723">
        <f>M36</f>
        <v>20009607</v>
      </c>
      <c r="R26" s="791"/>
      <c r="S26" s="792"/>
      <c r="U26" s="776" t="s">
        <v>639</v>
      </c>
      <c r="X26" s="793">
        <f>(M21+M34)*-1</f>
        <v>0</v>
      </c>
      <c r="Y26" s="777"/>
      <c r="Z26" s="492"/>
    </row>
    <row r="27" spans="1:26" s="320" customFormat="1">
      <c r="A27" s="322"/>
      <c r="B27" s="320" t="s">
        <v>599</v>
      </c>
      <c r="C27" s="751"/>
      <c r="D27" s="762">
        <f>Input!$DZ$12</f>
        <v>0</v>
      </c>
      <c r="E27" s="762">
        <f>Input!$EA$12</f>
        <v>0</v>
      </c>
      <c r="F27" s="762">
        <f>Input!$EB$12</f>
        <v>0</v>
      </c>
      <c r="G27" s="762">
        <f>Input!$EC$12</f>
        <v>0</v>
      </c>
      <c r="H27" s="762">
        <f>Input!$ED$12</f>
        <v>0</v>
      </c>
      <c r="I27" s="762">
        <f>Input!$EE$12</f>
        <v>0</v>
      </c>
      <c r="J27" s="762">
        <f>Input!$EF$12</f>
        <v>0</v>
      </c>
      <c r="K27" s="762">
        <f>Input!$EG$12</f>
        <v>0</v>
      </c>
      <c r="L27" s="762">
        <f>Input!$EH$12</f>
        <v>0</v>
      </c>
      <c r="M27" s="650">
        <f t="shared" si="3"/>
        <v>0</v>
      </c>
      <c r="O27" s="778"/>
      <c r="Q27" s="723"/>
      <c r="R27" s="791"/>
      <c r="S27" s="792"/>
      <c r="U27" s="780" t="s">
        <v>640</v>
      </c>
      <c r="V27" s="314"/>
      <c r="W27" s="314"/>
      <c r="X27" s="794">
        <f>SUM(X25:X26)</f>
        <v>1584955</v>
      </c>
      <c r="Y27" s="721"/>
    </row>
    <row r="28" spans="1:26" s="320" customFormat="1">
      <c r="A28" s="322"/>
      <c r="B28" s="320" t="s">
        <v>600</v>
      </c>
      <c r="C28" s="751"/>
      <c r="D28" s="762">
        <f>Input!$EI$12</f>
        <v>-1366191</v>
      </c>
      <c r="E28" s="762">
        <f>Input!$EJ$12</f>
        <v>-845595</v>
      </c>
      <c r="F28" s="762">
        <f>Input!$EK$12</f>
        <v>0</v>
      </c>
      <c r="G28" s="762">
        <f>Input!$EL$12</f>
        <v>0</v>
      </c>
      <c r="H28" s="762">
        <f>Input!$EM$12</f>
        <v>0</v>
      </c>
      <c r="I28" s="762">
        <f>Input!$EN$12</f>
        <v>0</v>
      </c>
      <c r="J28" s="762">
        <f>Input!$EO$12</f>
        <v>0</v>
      </c>
      <c r="K28" s="762">
        <f>Input!$EP$12</f>
        <v>0</v>
      </c>
      <c r="L28" s="762">
        <f>Input!$EQ$12</f>
        <v>0</v>
      </c>
      <c r="M28" s="650">
        <f t="shared" si="3"/>
        <v>-2211786</v>
      </c>
      <c r="O28" s="787" t="s">
        <v>641</v>
      </c>
      <c r="Q28" s="723"/>
      <c r="R28" s="723">
        <f>SUM(M37:M41)</f>
        <v>-1725989</v>
      </c>
      <c r="S28" s="782"/>
      <c r="U28" s="776" t="s">
        <v>642</v>
      </c>
      <c r="X28" s="777">
        <f>(M27+M40)*-1</f>
        <v>0</v>
      </c>
      <c r="Y28" s="721"/>
      <c r="Z28" s="492"/>
    </row>
    <row r="29" spans="1:26" s="320" customFormat="1" ht="12" customHeight="1">
      <c r="A29" s="322"/>
      <c r="B29" s="795" t="s">
        <v>165</v>
      </c>
      <c r="C29" s="784"/>
      <c r="D29" s="769">
        <f t="shared" ref="D29:L29" si="4">SUM(D23:D28)</f>
        <v>18448749</v>
      </c>
      <c r="E29" s="769">
        <f t="shared" si="4"/>
        <v>17323416</v>
      </c>
      <c r="F29" s="769">
        <f t="shared" si="4"/>
        <v>0</v>
      </c>
      <c r="G29" s="769">
        <f t="shared" si="4"/>
        <v>0</v>
      </c>
      <c r="H29" s="769">
        <f t="shared" si="4"/>
        <v>0</v>
      </c>
      <c r="I29" s="769">
        <f t="shared" si="4"/>
        <v>0</v>
      </c>
      <c r="J29" s="769">
        <f t="shared" si="4"/>
        <v>0</v>
      </c>
      <c r="K29" s="769">
        <f t="shared" si="4"/>
        <v>0</v>
      </c>
      <c r="L29" s="769">
        <f t="shared" si="4"/>
        <v>0</v>
      </c>
      <c r="M29" s="769">
        <f t="shared" si="3"/>
        <v>35772165</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59158693</v>
      </c>
      <c r="R30" s="798">
        <f>R28+R24</f>
        <v>-5102910</v>
      </c>
      <c r="S30" s="799"/>
      <c r="U30" s="780" t="s">
        <v>645</v>
      </c>
      <c r="V30" s="314"/>
      <c r="W30" s="314"/>
      <c r="X30" s="794">
        <f>SUM(X28:X29)</f>
        <v>0</v>
      </c>
      <c r="Y30" s="721"/>
    </row>
    <row r="31" spans="1:26" s="320" customFormat="1" ht="12.75" customHeight="1">
      <c r="A31" s="322"/>
      <c r="B31" s="772" t="s">
        <v>238</v>
      </c>
      <c r="C31" s="772"/>
      <c r="D31" s="769">
        <f t="shared" ref="D31:L31" si="5">D36-SUM(D32:D35)</f>
        <v>64499</v>
      </c>
      <c r="E31" s="769">
        <f t="shared" si="5"/>
        <v>18329270</v>
      </c>
      <c r="F31" s="769">
        <f t="shared" si="5"/>
        <v>1615838</v>
      </c>
      <c r="G31" s="769">
        <f t="shared" si="5"/>
        <v>0</v>
      </c>
      <c r="H31" s="769">
        <f t="shared" si="5"/>
        <v>0</v>
      </c>
      <c r="I31" s="769">
        <f t="shared" si="5"/>
        <v>0</v>
      </c>
      <c r="J31" s="769">
        <f t="shared" si="5"/>
        <v>0</v>
      </c>
      <c r="K31" s="769">
        <f t="shared" si="5"/>
        <v>0</v>
      </c>
      <c r="L31" s="769">
        <f t="shared" si="5"/>
        <v>0</v>
      </c>
      <c r="M31" s="769">
        <f t="shared" ref="M31:M42" si="6">D31+E31+F31+G31+H31+I31+J31+K31+L31</f>
        <v>20009607</v>
      </c>
      <c r="O31" s="778" t="s">
        <v>646</v>
      </c>
      <c r="Q31" s="406"/>
      <c r="S31" s="782"/>
      <c r="U31" s="800" t="s">
        <v>647</v>
      </c>
      <c r="V31" s="801"/>
      <c r="W31" s="801"/>
      <c r="X31" s="802">
        <f>X27+X30</f>
        <v>1584955</v>
      </c>
      <c r="Y31" s="777"/>
      <c r="Z31" s="492"/>
    </row>
    <row r="32" spans="1:26" s="320" customFormat="1" ht="12.75" customHeight="1">
      <c r="A32" s="322"/>
      <c r="B32" s="320" t="s">
        <v>592</v>
      </c>
      <c r="D32" s="762">
        <f>Input!$ER$12</f>
        <v>0</v>
      </c>
      <c r="E32" s="762">
        <f>Input!$ES$12</f>
        <v>0</v>
      </c>
      <c r="F32" s="762">
        <f>Input!$ET$12</f>
        <v>0</v>
      </c>
      <c r="G32" s="762">
        <f>Input!$EU$12</f>
        <v>0</v>
      </c>
      <c r="H32" s="762">
        <f>Input!$EV$12</f>
        <v>0</v>
      </c>
      <c r="I32" s="762">
        <f>Input!$EW$12</f>
        <v>0</v>
      </c>
      <c r="J32" s="762">
        <f>Input!$EX$12</f>
        <v>0</v>
      </c>
      <c r="K32" s="762">
        <f>Input!$EY$12</f>
        <v>0</v>
      </c>
      <c r="L32" s="762">
        <f>Input!$EZ$12</f>
        <v>0</v>
      </c>
      <c r="M32" s="650">
        <f t="shared" si="6"/>
        <v>0</v>
      </c>
      <c r="O32" s="803" t="s">
        <v>648</v>
      </c>
      <c r="P32" s="804"/>
      <c r="Q32" s="805">
        <f>Input!$TI$12</f>
        <v>59158693</v>
      </c>
      <c r="R32" s="804"/>
      <c r="S32" s="806"/>
      <c r="U32" s="776"/>
      <c r="Y32" s="777"/>
      <c r="Z32" s="492"/>
    </row>
    <row r="33" spans="1:28" s="320" customFormat="1">
      <c r="A33" s="322"/>
      <c r="B33" s="320" t="s">
        <v>593</v>
      </c>
      <c r="D33" s="762">
        <f>Input!$FA$12</f>
        <v>0</v>
      </c>
      <c r="E33" s="762">
        <f>Input!$FB$12</f>
        <v>0</v>
      </c>
      <c r="F33" s="762">
        <f>Input!$FC$12</f>
        <v>0</v>
      </c>
      <c r="G33" s="762">
        <f>Input!$FD$12</f>
        <v>0</v>
      </c>
      <c r="H33" s="762">
        <f>Input!$FE$12</f>
        <v>0</v>
      </c>
      <c r="I33" s="762">
        <f>Input!$FF$12</f>
        <v>0</v>
      </c>
      <c r="J33" s="762">
        <f>Input!$FG$12</f>
        <v>0</v>
      </c>
      <c r="K33" s="762">
        <f>Input!$FH$12</f>
        <v>0</v>
      </c>
      <c r="L33" s="762">
        <f>Input!$FI$12</f>
        <v>0</v>
      </c>
      <c r="M33" s="650">
        <f t="shared" si="6"/>
        <v>0</v>
      </c>
      <c r="O33" s="803"/>
      <c r="P33" s="804"/>
      <c r="Q33" s="723"/>
      <c r="R33" s="804"/>
      <c r="S33" s="806"/>
      <c r="U33" s="776" t="s">
        <v>649</v>
      </c>
      <c r="X33" s="492">
        <f>(M19+M32)*-1</f>
        <v>2560450</v>
      </c>
      <c r="Y33" s="777"/>
    </row>
    <row r="34" spans="1:28" s="320" customFormat="1">
      <c r="A34" s="322"/>
      <c r="B34" s="320" t="s">
        <v>594</v>
      </c>
      <c r="D34" s="762">
        <f>Input!$FJ$12</f>
        <v>0</v>
      </c>
      <c r="E34" s="762">
        <f>Input!$FK$12</f>
        <v>0</v>
      </c>
      <c r="F34" s="762">
        <f>Input!$FL$12</f>
        <v>0</v>
      </c>
      <c r="G34" s="762">
        <f>Input!$FM$12</f>
        <v>0</v>
      </c>
      <c r="H34" s="762">
        <f>Input!$FN$12</f>
        <v>0</v>
      </c>
      <c r="I34" s="762">
        <f>Input!$FO$12</f>
        <v>0</v>
      </c>
      <c r="J34" s="762">
        <f>Input!$FP$12</f>
        <v>0</v>
      </c>
      <c r="K34" s="762">
        <f>Input!$FQ$12</f>
        <v>0</v>
      </c>
      <c r="L34" s="762">
        <f>Input!$FR$12</f>
        <v>0</v>
      </c>
      <c r="M34" s="650">
        <f t="shared" si="6"/>
        <v>0</v>
      </c>
      <c r="O34" s="807" t="s">
        <v>650</v>
      </c>
      <c r="P34" s="808"/>
      <c r="Q34" s="320" t="s">
        <v>651</v>
      </c>
      <c r="R34" s="805">
        <f>Input!$TJ$12</f>
        <v>-5102910</v>
      </c>
      <c r="S34" s="809"/>
      <c r="U34" s="776" t="s">
        <v>652</v>
      </c>
      <c r="X34" s="739">
        <f>(M24+M37)*-1</f>
        <v>0</v>
      </c>
      <c r="Y34" s="777"/>
    </row>
    <row r="35" spans="1:28" s="320" customFormat="1" ht="13.8" thickBot="1">
      <c r="A35" s="322"/>
      <c r="B35" s="320" t="s">
        <v>595</v>
      </c>
      <c r="D35" s="762">
        <f>Input!$FS$12</f>
        <v>0</v>
      </c>
      <c r="E35" s="762">
        <f>Input!$FT$12</f>
        <v>0</v>
      </c>
      <c r="F35" s="762">
        <f>Input!$FU$12</f>
        <v>0</v>
      </c>
      <c r="G35" s="762">
        <f>Input!$FV$12</f>
        <v>0</v>
      </c>
      <c r="H35" s="762">
        <f>Input!$FW$12</f>
        <v>0</v>
      </c>
      <c r="I35" s="762">
        <f>Input!$FX$12</f>
        <v>0</v>
      </c>
      <c r="J35" s="762">
        <f>Input!$FY$12</f>
        <v>0</v>
      </c>
      <c r="K35" s="762">
        <f>Input!$FZ$12</f>
        <v>0</v>
      </c>
      <c r="L35" s="762">
        <f>Input!$GA$12</f>
        <v>0</v>
      </c>
      <c r="M35" s="650">
        <f t="shared" si="6"/>
        <v>0</v>
      </c>
      <c r="O35" s="810" t="s">
        <v>653</v>
      </c>
      <c r="P35" s="811"/>
      <c r="Q35" s="812">
        <f>Q30-Q32</f>
        <v>0</v>
      </c>
      <c r="R35" s="813">
        <f>R30-R34</f>
        <v>0</v>
      </c>
      <c r="S35" s="814"/>
      <c r="U35" s="780" t="s">
        <v>654</v>
      </c>
      <c r="V35" s="314"/>
      <c r="W35" s="314"/>
      <c r="X35" s="781">
        <f>SUM(X33:X34)</f>
        <v>2560450</v>
      </c>
      <c r="Y35" s="721"/>
    </row>
    <row r="36" spans="1:28" s="320" customFormat="1" ht="13.8" thickTop="1">
      <c r="A36" s="322"/>
      <c r="B36" s="772" t="s">
        <v>239</v>
      </c>
      <c r="C36" s="784"/>
      <c r="D36" s="785">
        <f>Input!$GB$12</f>
        <v>64499</v>
      </c>
      <c r="E36" s="785">
        <f>Input!$GC$12</f>
        <v>18329270</v>
      </c>
      <c r="F36" s="785">
        <f>Input!$GD$12</f>
        <v>1615838</v>
      </c>
      <c r="G36" s="785">
        <f>Input!$GE$12</f>
        <v>0</v>
      </c>
      <c r="H36" s="785">
        <f>Input!$GF$12</f>
        <v>0</v>
      </c>
      <c r="I36" s="785">
        <f>Input!$GG$12</f>
        <v>0</v>
      </c>
      <c r="J36" s="785">
        <f>Input!$GH$12</f>
        <v>0</v>
      </c>
      <c r="K36" s="785">
        <f>Input!$GI$12</f>
        <v>0</v>
      </c>
      <c r="L36" s="785">
        <f>Input!$GJ$12</f>
        <v>0</v>
      </c>
      <c r="M36" s="786">
        <f t="shared" si="6"/>
        <v>20009607</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Input!$GK$12</f>
        <v>0</v>
      </c>
      <c r="E37" s="762">
        <f>Input!$GL$12</f>
        <v>0</v>
      </c>
      <c r="F37" s="762">
        <f>Input!$GM$12</f>
        <v>0</v>
      </c>
      <c r="G37" s="762">
        <f>Input!$GN$12</f>
        <v>0</v>
      </c>
      <c r="H37" s="762">
        <f>Input!$GO$12</f>
        <v>0</v>
      </c>
      <c r="I37" s="762">
        <f>Input!$GP$12</f>
        <v>0</v>
      </c>
      <c r="J37" s="762">
        <f>Input!$GQ$12</f>
        <v>0</v>
      </c>
      <c r="K37" s="762">
        <f>Input!$GR$12</f>
        <v>0</v>
      </c>
      <c r="L37" s="762">
        <f>Input!$GS$12</f>
        <v>0</v>
      </c>
      <c r="M37" s="650">
        <f t="shared" si="6"/>
        <v>0</v>
      </c>
      <c r="U37" s="776" t="s">
        <v>656</v>
      </c>
      <c r="X37" s="739">
        <f>(M25+M38)*-1</f>
        <v>0</v>
      </c>
      <c r="Y37" s="721"/>
    </row>
    <row r="38" spans="1:28" s="320" customFormat="1">
      <c r="A38" s="322"/>
      <c r="B38" s="320" t="s">
        <v>597</v>
      </c>
      <c r="C38" s="751"/>
      <c r="D38" s="762">
        <f>Input!$GT$12</f>
        <v>0</v>
      </c>
      <c r="E38" s="762">
        <f>Input!$GU$12</f>
        <v>0</v>
      </c>
      <c r="F38" s="762">
        <f>Input!$GV$12</f>
        <v>0</v>
      </c>
      <c r="G38" s="762">
        <f>Input!$GW$12</f>
        <v>0</v>
      </c>
      <c r="H38" s="762">
        <f>Input!$GX$12</f>
        <v>0</v>
      </c>
      <c r="I38" s="762">
        <f>Input!$GY$12</f>
        <v>0</v>
      </c>
      <c r="J38" s="762">
        <f>Input!$GZ$12</f>
        <v>0</v>
      </c>
      <c r="K38" s="762">
        <f>Input!$HA$12</f>
        <v>0</v>
      </c>
      <c r="L38" s="762">
        <f>Input!$HB$12</f>
        <v>0</v>
      </c>
      <c r="M38" s="650">
        <f t="shared" si="6"/>
        <v>0</v>
      </c>
      <c r="U38" s="780" t="s">
        <v>657</v>
      </c>
      <c r="V38" s="314"/>
      <c r="W38" s="314"/>
      <c r="X38" s="781">
        <f>SUM(X36:X37)</f>
        <v>0</v>
      </c>
      <c r="Y38" s="777"/>
    </row>
    <row r="39" spans="1:28" s="320" customFormat="1">
      <c r="A39" s="322"/>
      <c r="B39" s="320" t="s">
        <v>598</v>
      </c>
      <c r="C39" s="751"/>
      <c r="D39" s="762">
        <f>Input!$HC$12</f>
        <v>-780</v>
      </c>
      <c r="E39" s="762">
        <f>Input!$HD$12</f>
        <v>-368243</v>
      </c>
      <c r="F39" s="762">
        <f>Input!$HE$12</f>
        <v>-50797</v>
      </c>
      <c r="G39" s="762">
        <f>Input!$HF$12</f>
        <v>0</v>
      </c>
      <c r="H39" s="762">
        <f>Input!$HG$12</f>
        <v>0</v>
      </c>
      <c r="I39" s="762">
        <f>Input!$HH$12</f>
        <v>0</v>
      </c>
      <c r="J39" s="762">
        <f>Input!$HI$12</f>
        <v>0</v>
      </c>
      <c r="K39" s="762">
        <f>Input!$HJ$12</f>
        <v>0</v>
      </c>
      <c r="L39" s="762">
        <f>Input!$HK$12</f>
        <v>0</v>
      </c>
      <c r="M39" s="650">
        <f t="shared" si="6"/>
        <v>-419820</v>
      </c>
      <c r="U39" s="776" t="s">
        <v>658</v>
      </c>
      <c r="X39" s="492"/>
      <c r="Y39" s="777">
        <f>X38+X35</f>
        <v>2560450</v>
      </c>
    </row>
    <row r="40" spans="1:28" s="320" customFormat="1">
      <c r="A40" s="322"/>
      <c r="B40" s="320" t="s">
        <v>599</v>
      </c>
      <c r="C40" s="751"/>
      <c r="D40" s="762">
        <f>Input!$HL$12</f>
        <v>0</v>
      </c>
      <c r="E40" s="762">
        <f>Input!$HM$12</f>
        <v>0</v>
      </c>
      <c r="F40" s="762">
        <f>Input!$HN$12</f>
        <v>0</v>
      </c>
      <c r="G40" s="762">
        <f>Input!$HO$12</f>
        <v>0</v>
      </c>
      <c r="H40" s="762">
        <f>Input!$HP$12</f>
        <v>0</v>
      </c>
      <c r="I40" s="762">
        <f>Input!$HQ$12</f>
        <v>0</v>
      </c>
      <c r="J40" s="762">
        <f>Input!$HR$12</f>
        <v>0</v>
      </c>
      <c r="K40" s="762">
        <f>Input!$HS$12</f>
        <v>0</v>
      </c>
      <c r="L40" s="762">
        <f>Input!$HT$12</f>
        <v>0</v>
      </c>
      <c r="M40" s="650">
        <f t="shared" si="6"/>
        <v>0</v>
      </c>
      <c r="U40" s="776"/>
      <c r="Y40" s="721"/>
    </row>
    <row r="41" spans="1:28" s="320" customFormat="1">
      <c r="A41" s="322"/>
      <c r="B41" s="320" t="s">
        <v>600</v>
      </c>
      <c r="C41" s="751"/>
      <c r="D41" s="762">
        <f>Input!$HU$12</f>
        <v>-4784</v>
      </c>
      <c r="E41" s="762">
        <f>Input!$HV$12</f>
        <v>-1212803</v>
      </c>
      <c r="F41" s="762">
        <f>Input!$HW$12</f>
        <v>-88582</v>
      </c>
      <c r="G41" s="762">
        <f>Input!$HX$12</f>
        <v>0</v>
      </c>
      <c r="H41" s="762">
        <f>Input!$HY$12</f>
        <v>0</v>
      </c>
      <c r="I41" s="762">
        <f>Input!$HZ$12</f>
        <v>0</v>
      </c>
      <c r="J41" s="762">
        <f>Input!$IA$12</f>
        <v>0</v>
      </c>
      <c r="K41" s="762">
        <f>Input!$IB$12</f>
        <v>0</v>
      </c>
      <c r="L41" s="762">
        <f>Input!$IC$12</f>
        <v>0</v>
      </c>
      <c r="M41" s="650">
        <f t="shared" si="6"/>
        <v>-1306169</v>
      </c>
      <c r="U41" s="776" t="s">
        <v>639</v>
      </c>
      <c r="X41" s="492">
        <f>(M21+M34)*-1</f>
        <v>0</v>
      </c>
      <c r="Y41" s="777"/>
    </row>
    <row r="42" spans="1:28" s="320" customFormat="1">
      <c r="A42" s="322"/>
      <c r="B42" s="795" t="s">
        <v>166</v>
      </c>
      <c r="C42" s="784"/>
      <c r="D42" s="769">
        <f t="shared" ref="D42:L42" si="7">SUM(D36:D41)</f>
        <v>58935</v>
      </c>
      <c r="E42" s="769">
        <f t="shared" si="7"/>
        <v>16748224</v>
      </c>
      <c r="F42" s="769">
        <f t="shared" si="7"/>
        <v>1476459</v>
      </c>
      <c r="G42" s="769">
        <f t="shared" si="7"/>
        <v>0</v>
      </c>
      <c r="H42" s="769">
        <f t="shared" si="7"/>
        <v>0</v>
      </c>
      <c r="I42" s="769">
        <f t="shared" si="7"/>
        <v>0</v>
      </c>
      <c r="J42" s="769">
        <f t="shared" si="7"/>
        <v>0</v>
      </c>
      <c r="K42" s="769">
        <f t="shared" si="7"/>
        <v>0</v>
      </c>
      <c r="L42" s="769">
        <f t="shared" si="7"/>
        <v>0</v>
      </c>
      <c r="M42" s="769">
        <f t="shared" si="6"/>
        <v>18283618</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18507684</v>
      </c>
      <c r="E44" s="769">
        <f t="shared" si="8"/>
        <v>34071640</v>
      </c>
      <c r="F44" s="769">
        <f t="shared" si="8"/>
        <v>1476459</v>
      </c>
      <c r="G44" s="769">
        <f t="shared" si="8"/>
        <v>0</v>
      </c>
      <c r="H44" s="769">
        <f t="shared" si="8"/>
        <v>0</v>
      </c>
      <c r="I44" s="769">
        <f t="shared" si="8"/>
        <v>0</v>
      </c>
      <c r="J44" s="769">
        <f t="shared" si="8"/>
        <v>0</v>
      </c>
      <c r="K44" s="769">
        <f t="shared" si="8"/>
        <v>0</v>
      </c>
      <c r="L44" s="769">
        <f t="shared" si="8"/>
        <v>0</v>
      </c>
      <c r="M44" s="769">
        <f>D44+E44+F44+G44+H44+I44+J44+K44+L44</f>
        <v>54055783</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Input!$ID$12</f>
        <v>0</v>
      </c>
      <c r="E47" s="815">
        <f>Input!$IE$12</f>
        <v>12343413</v>
      </c>
      <c r="F47" s="815">
        <f>Input!$IF$12</f>
        <v>0</v>
      </c>
      <c r="G47" s="815">
        <f>Input!$IG$12</f>
        <v>72798043</v>
      </c>
      <c r="H47" s="815">
        <f>Input!$IH$12</f>
        <v>0</v>
      </c>
      <c r="I47" s="815">
        <f>Input!$II$12</f>
        <v>0</v>
      </c>
      <c r="J47" s="815">
        <f>Input!$IJ$12</f>
        <v>0</v>
      </c>
      <c r="K47" s="815">
        <f>Input!$IK$12</f>
        <v>0</v>
      </c>
      <c r="L47" s="815">
        <f>Input!$IL$12</f>
        <v>0</v>
      </c>
      <c r="M47" s="769">
        <f>D47+E47+F47+G47+H47+I47+J47+K47+L47</f>
        <v>85141456</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61719143</v>
      </c>
      <c r="Z49" s="320"/>
      <c r="AA49" s="320"/>
      <c r="AB49" s="320"/>
    </row>
    <row r="50" spans="1:28" s="752" customFormat="1">
      <c r="A50" s="460">
        <v>33</v>
      </c>
      <c r="B50" s="768" t="s">
        <v>200</v>
      </c>
      <c r="C50" s="768"/>
      <c r="D50" s="815">
        <f>Input!$IM$12</f>
        <v>0</v>
      </c>
      <c r="E50" s="815">
        <f>Input!$IN$12</f>
        <v>1073754</v>
      </c>
      <c r="F50" s="815">
        <f>Input!$IO$12</f>
        <v>0</v>
      </c>
      <c r="G50" s="815">
        <f>Input!$IP$12</f>
        <v>0</v>
      </c>
      <c r="H50" s="815">
        <f>Input!$IQ$12</f>
        <v>0</v>
      </c>
      <c r="I50" s="815">
        <f>Input!$IR$12</f>
        <v>0</v>
      </c>
      <c r="J50" s="815">
        <f>Input!$IS$12</f>
        <v>0</v>
      </c>
      <c r="K50" s="815">
        <f>Input!$IT$12</f>
        <v>0</v>
      </c>
      <c r="L50" s="815">
        <f>Input!$IU$12</f>
        <v>0</v>
      </c>
      <c r="M50" s="769">
        <f>D50+E50+F50+G50+H50+I50+J50+K50+L50</f>
        <v>1073754</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Input!$IV$12</f>
        <v>0</v>
      </c>
      <c r="E53" s="815">
        <f>Input!$IW$12</f>
        <v>0</v>
      </c>
      <c r="F53" s="815">
        <f>Input!$IX$12</f>
        <v>0</v>
      </c>
      <c r="G53" s="815">
        <f>Input!$IY$12</f>
        <v>0</v>
      </c>
      <c r="H53" s="815">
        <f>Input!$IZ$12</f>
        <v>0</v>
      </c>
      <c r="I53" s="815">
        <f>Input!$JA$12</f>
        <v>0</v>
      </c>
      <c r="J53" s="815">
        <f>Input!$JB$12</f>
        <v>0</v>
      </c>
      <c r="K53" s="815">
        <f>Input!$JC$12</f>
        <v>0</v>
      </c>
      <c r="L53" s="815">
        <f>Input!$JD$12</f>
        <v>0</v>
      </c>
      <c r="M53" s="769">
        <f>D53+E53+F53+G53+H53+I53+J53+K53+L53</f>
        <v>0</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Input!$JE$12</f>
        <v>-82502</v>
      </c>
      <c r="E56" s="762">
        <f>Input!$JF$12</f>
        <v>2259263</v>
      </c>
      <c r="F56" s="762">
        <f>Input!$JG$12</f>
        <v>0</v>
      </c>
      <c r="G56" s="762">
        <f>Input!$JH$12</f>
        <v>158634</v>
      </c>
      <c r="H56" s="762">
        <f>Input!$JI$12</f>
        <v>-2944</v>
      </c>
      <c r="I56" s="762">
        <f>Input!$JJ$12</f>
        <v>-794132</v>
      </c>
      <c r="J56" s="762">
        <f>Input!$JK$12</f>
        <v>0</v>
      </c>
      <c r="K56" s="762">
        <f>Input!$JL$12</f>
        <v>0</v>
      </c>
      <c r="L56" s="762">
        <f>Input!$JM$12</f>
        <v>0</v>
      </c>
      <c r="M56" s="723">
        <f t="shared" ref="M56:M62" si="9">D56+E56+F56+G56+H56+I56+J56+K56+L56</f>
        <v>1538319</v>
      </c>
      <c r="O56" s="320"/>
      <c r="P56" s="320"/>
      <c r="Q56" s="320"/>
      <c r="R56" s="320"/>
      <c r="S56" s="320"/>
      <c r="T56" s="320"/>
      <c r="U56" s="320"/>
      <c r="V56" s="320"/>
      <c r="W56" s="320"/>
      <c r="X56" s="322"/>
      <c r="Y56" s="320"/>
      <c r="Z56" s="320"/>
      <c r="AA56" s="320"/>
      <c r="AB56" s="320"/>
    </row>
    <row r="57" spans="1:28" s="752" customFormat="1">
      <c r="A57" s="460">
        <v>40</v>
      </c>
      <c r="B57" s="752" t="s">
        <v>173</v>
      </c>
      <c r="D57" s="762">
        <f>Input!$JN$12</f>
        <v>0</v>
      </c>
      <c r="E57" s="762">
        <f>Input!$JO$12</f>
        <v>0</v>
      </c>
      <c r="F57" s="762">
        <f>Input!$JP$12</f>
        <v>0</v>
      </c>
      <c r="G57" s="762">
        <f>Input!$JQ$12</f>
        <v>0</v>
      </c>
      <c r="H57" s="762">
        <f>Input!$JR$12</f>
        <v>0</v>
      </c>
      <c r="I57" s="762">
        <f>Input!$JS$12</f>
        <v>0</v>
      </c>
      <c r="J57" s="762">
        <f>Input!$JT$12</f>
        <v>0</v>
      </c>
      <c r="K57" s="762">
        <f>Input!$JU$12</f>
        <v>0</v>
      </c>
      <c r="L57" s="762">
        <f>Input!$JV$12</f>
        <v>0</v>
      </c>
      <c r="M57" s="723">
        <f t="shared" si="9"/>
        <v>0</v>
      </c>
      <c r="O57" s="320"/>
      <c r="P57" s="819"/>
      <c r="Q57" s="320"/>
      <c r="R57" s="320"/>
      <c r="S57" s="320"/>
      <c r="T57" s="320"/>
      <c r="U57" s="320"/>
      <c r="V57" s="320"/>
      <c r="W57" s="320"/>
      <c r="X57" s="320"/>
      <c r="Y57" s="320"/>
      <c r="Z57" s="320"/>
      <c r="AA57" s="320"/>
      <c r="AB57" s="320"/>
    </row>
    <row r="58" spans="1:28" s="752" customFormat="1">
      <c r="A58" s="460">
        <v>41</v>
      </c>
      <c r="B58" s="752" t="s">
        <v>174</v>
      </c>
      <c r="D58" s="762">
        <f>Input!$JW$12</f>
        <v>0</v>
      </c>
      <c r="E58" s="762">
        <f>Input!$JX$12</f>
        <v>2826652</v>
      </c>
      <c r="F58" s="762">
        <f>Input!$JY$12</f>
        <v>0</v>
      </c>
      <c r="G58" s="762">
        <f>Input!$JZ$12</f>
        <v>10574564</v>
      </c>
      <c r="H58" s="762">
        <f>Input!$KA$12</f>
        <v>0</v>
      </c>
      <c r="I58" s="762">
        <f>Input!$KB$12</f>
        <v>0</v>
      </c>
      <c r="J58" s="762">
        <f>Input!$KC$12</f>
        <v>0</v>
      </c>
      <c r="K58" s="762">
        <f>Input!$KD$12</f>
        <v>0</v>
      </c>
      <c r="L58" s="762">
        <f>Input!$KE$12</f>
        <v>0</v>
      </c>
      <c r="M58" s="723">
        <f t="shared" si="9"/>
        <v>13401216</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Input!$KF$12</f>
        <v>7035613</v>
      </c>
      <c r="E59" s="762">
        <f>Input!$KG$12</f>
        <v>36122530</v>
      </c>
      <c r="F59" s="762">
        <f>Input!$KH$12</f>
        <v>0</v>
      </c>
      <c r="G59" s="762">
        <f>Input!$KI$12</f>
        <v>8914</v>
      </c>
      <c r="H59" s="762">
        <f>Input!$KJ$12</f>
        <v>0</v>
      </c>
      <c r="I59" s="762">
        <f>Input!$KK$12</f>
        <v>0</v>
      </c>
      <c r="J59" s="762">
        <f>Input!$KL$12</f>
        <v>0</v>
      </c>
      <c r="K59" s="762">
        <f>Input!$KM$12</f>
        <v>0</v>
      </c>
      <c r="L59" s="762">
        <f>Input!$KN$12</f>
        <v>0</v>
      </c>
      <c r="M59" s="723">
        <f t="shared" si="9"/>
        <v>43167057</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Input!$KO$12</f>
        <v>0</v>
      </c>
      <c r="E60" s="762">
        <f>Input!$KP$12</f>
        <v>0</v>
      </c>
      <c r="F60" s="762">
        <f>Input!$KQ$12</f>
        <v>2067081</v>
      </c>
      <c r="G60" s="762">
        <f>Input!$KR$12</f>
        <v>0</v>
      </c>
      <c r="H60" s="762">
        <f>Input!$KS$12</f>
        <v>0</v>
      </c>
      <c r="I60" s="762">
        <f>Input!$KT$12</f>
        <v>0</v>
      </c>
      <c r="J60" s="762">
        <f>Input!$KU$12</f>
        <v>0</v>
      </c>
      <c r="K60" s="762">
        <f>Input!$KV$12</f>
        <v>0</v>
      </c>
      <c r="L60" s="762">
        <f>Input!$KW$12</f>
        <v>0</v>
      </c>
      <c r="M60" s="723">
        <f t="shared" si="9"/>
        <v>2067081</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Input!$KX$12</f>
        <v>0</v>
      </c>
      <c r="E61" s="762">
        <f>Input!$KY$12</f>
        <v>16082971</v>
      </c>
      <c r="F61" s="762">
        <f>Input!$KZ$12</f>
        <v>33268</v>
      </c>
      <c r="G61" s="762">
        <f>Input!$LA$12</f>
        <v>46806</v>
      </c>
      <c r="H61" s="762">
        <f>Input!$LB$12</f>
        <v>22342</v>
      </c>
      <c r="I61" s="762">
        <f>Input!$LC$12</f>
        <v>0</v>
      </c>
      <c r="J61" s="762">
        <f>Input!$LD$12</f>
        <v>0</v>
      </c>
      <c r="K61" s="762">
        <f>Input!$LE$12</f>
        <v>0</v>
      </c>
      <c r="L61" s="762">
        <f>Input!$LF$12</f>
        <v>-8237184</v>
      </c>
      <c r="M61" s="723">
        <f t="shared" si="9"/>
        <v>7948203</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6953111</v>
      </c>
      <c r="E62" s="769">
        <f t="shared" si="10"/>
        <v>57291416</v>
      </c>
      <c r="F62" s="769">
        <f t="shared" si="10"/>
        <v>2100349</v>
      </c>
      <c r="G62" s="769">
        <f t="shared" si="10"/>
        <v>10788918</v>
      </c>
      <c r="H62" s="769">
        <f t="shared" si="10"/>
        <v>19398</v>
      </c>
      <c r="I62" s="769">
        <f t="shared" si="10"/>
        <v>-794132</v>
      </c>
      <c r="J62" s="769">
        <f t="shared" si="10"/>
        <v>0</v>
      </c>
      <c r="K62" s="769">
        <f t="shared" si="10"/>
        <v>0</v>
      </c>
      <c r="L62" s="769">
        <f t="shared" si="10"/>
        <v>-8237184</v>
      </c>
      <c r="M62" s="769">
        <f t="shared" si="9"/>
        <v>68121876</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202940097</v>
      </c>
      <c r="E63" s="769">
        <f t="shared" ref="E63:M63" si="11">E15+E44+E47+E50+E53+E62</f>
        <v>153281914</v>
      </c>
      <c r="F63" s="769">
        <f t="shared" si="11"/>
        <v>3576808</v>
      </c>
      <c r="G63" s="769">
        <f t="shared" si="11"/>
        <v>87754197</v>
      </c>
      <c r="H63" s="769">
        <f t="shared" si="11"/>
        <v>19398</v>
      </c>
      <c r="I63" s="769">
        <f t="shared" si="11"/>
        <v>-794132</v>
      </c>
      <c r="J63" s="769">
        <f t="shared" si="11"/>
        <v>0</v>
      </c>
      <c r="K63" s="769">
        <f t="shared" si="11"/>
        <v>0</v>
      </c>
      <c r="L63" s="769">
        <f t="shared" si="11"/>
        <v>-8237184</v>
      </c>
      <c r="M63" s="769">
        <f t="shared" si="11"/>
        <v>438541098</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Input!$LG$12</f>
        <v>87659597</v>
      </c>
      <c r="E65" s="762">
        <f>Input!$LH$12</f>
        <v>36238654</v>
      </c>
      <c r="F65" s="762">
        <f>Input!$LI$12</f>
        <v>0</v>
      </c>
      <c r="G65" s="762">
        <f>Input!$LJ$12</f>
        <v>1848253</v>
      </c>
      <c r="H65" s="762">
        <f>Input!$LK$12</f>
        <v>0</v>
      </c>
      <c r="I65" s="762">
        <f>Input!$LL$12</f>
        <v>0</v>
      </c>
      <c r="J65" s="762">
        <f>Input!$LM$12</f>
        <v>0</v>
      </c>
      <c r="K65" s="762">
        <f>Input!$LN$12</f>
        <v>0</v>
      </c>
      <c r="L65" s="762">
        <f>Input!$LO$12</f>
        <v>0</v>
      </c>
      <c r="M65" s="723">
        <f t="shared" ref="M65:M77" si="12">D65+E65+F65+G65+H65+I65+J65+K65+L65</f>
        <v>125746504</v>
      </c>
      <c r="O65" s="824">
        <f>D65+E65+G65</f>
        <v>125746504</v>
      </c>
      <c r="P65" s="825">
        <f>Input!$TK$12</f>
        <v>515892</v>
      </c>
      <c r="Q65" s="825">
        <f>Input!$TU$12</f>
        <v>1139</v>
      </c>
      <c r="R65" s="825">
        <f>Input!$UD$12</f>
        <v>0</v>
      </c>
      <c r="S65" s="826">
        <f>O65+P65-Q65-R65</f>
        <v>126261257</v>
      </c>
      <c r="T65" s="492"/>
      <c r="U65" s="827">
        <f>D65+E65+F65+G65+J65</f>
        <v>125746504</v>
      </c>
      <c r="V65" s="492"/>
      <c r="W65" s="828" t="s">
        <v>92</v>
      </c>
      <c r="X65" s="829">
        <f>Input!$UO$12</f>
        <v>125746504</v>
      </c>
      <c r="Y65" s="830">
        <f t="shared" ref="Y65:Y74" si="13">X65-M65</f>
        <v>0</v>
      </c>
      <c r="Z65" s="492"/>
      <c r="AA65" s="492"/>
      <c r="AB65" s="492"/>
    </row>
    <row r="66" spans="1:28" s="752" customFormat="1" ht="14.4" thickTop="1" thickBot="1">
      <c r="A66" s="460">
        <v>49</v>
      </c>
      <c r="B66" s="823" t="s">
        <v>179</v>
      </c>
      <c r="C66" s="823"/>
      <c r="D66" s="762">
        <f>Input!$LP$12</f>
        <v>20717481</v>
      </c>
      <c r="E66" s="762">
        <f>Input!$LQ$12</f>
        <v>13516750</v>
      </c>
      <c r="F66" s="762">
        <f>Input!$LR$12</f>
        <v>0</v>
      </c>
      <c r="G66" s="762">
        <f>Input!$LS$12</f>
        <v>67089624</v>
      </c>
      <c r="H66" s="762">
        <f>Input!$LT$12</f>
        <v>0</v>
      </c>
      <c r="I66" s="762">
        <f>Input!$LU$12</f>
        <v>0</v>
      </c>
      <c r="J66" s="762">
        <f>Input!$LV$12</f>
        <v>0</v>
      </c>
      <c r="K66" s="762">
        <f>Input!$LW$12</f>
        <v>0</v>
      </c>
      <c r="L66" s="762">
        <f>Input!$LX$12</f>
        <v>0</v>
      </c>
      <c r="M66" s="723">
        <f t="shared" si="12"/>
        <v>101323855</v>
      </c>
      <c r="O66" s="831">
        <f t="shared" ref="O66:O72" si="14">D66+E66+G66</f>
        <v>101323855</v>
      </c>
      <c r="P66" s="832">
        <f>Input!$TL$12</f>
        <v>5421168</v>
      </c>
      <c r="Q66" s="832">
        <f>Input!$TV$12</f>
        <v>3102989</v>
      </c>
      <c r="R66" s="832">
        <f>Input!$UE$12</f>
        <v>295405</v>
      </c>
      <c r="S66" s="833">
        <f>O66+P66-Q66-R66</f>
        <v>103346629</v>
      </c>
      <c r="T66" s="492"/>
      <c r="U66" s="834">
        <f t="shared" ref="U66:U76" si="15">D66+E66+F66+G66+J66</f>
        <v>101323855</v>
      </c>
      <c r="V66" s="492"/>
      <c r="W66" s="828" t="s">
        <v>179</v>
      </c>
      <c r="X66" s="835">
        <f>Input!$UP$12</f>
        <v>101323855</v>
      </c>
      <c r="Y66" s="836">
        <f t="shared" si="13"/>
        <v>0</v>
      </c>
      <c r="Z66" s="723"/>
      <c r="AA66" s="723"/>
      <c r="AB66" s="723"/>
    </row>
    <row r="67" spans="1:28" s="752" customFormat="1" ht="13.8" thickTop="1">
      <c r="A67" s="460">
        <v>50</v>
      </c>
      <c r="B67" s="823" t="s">
        <v>180</v>
      </c>
      <c r="C67" s="823"/>
      <c r="D67" s="762">
        <f>Input!$LY$12</f>
        <v>3281051</v>
      </c>
      <c r="E67" s="762">
        <f>Input!$LZ$12</f>
        <v>4153009</v>
      </c>
      <c r="F67" s="762">
        <f>Input!$MA$12</f>
        <v>0</v>
      </c>
      <c r="G67" s="762">
        <f>Input!$MB$12</f>
        <v>9972844</v>
      </c>
      <c r="H67" s="762">
        <f>Input!$MC$12</f>
        <v>0</v>
      </c>
      <c r="I67" s="762">
        <f>Input!$MD$12</f>
        <v>0</v>
      </c>
      <c r="J67" s="762">
        <f>Input!$ME$12</f>
        <v>0</v>
      </c>
      <c r="K67" s="762">
        <f>Input!$MF$12</f>
        <v>0</v>
      </c>
      <c r="L67" s="762">
        <f>Input!$MG$12</f>
        <v>0</v>
      </c>
      <c r="M67" s="723">
        <f t="shared" si="12"/>
        <v>17406904</v>
      </c>
      <c r="O67" s="831">
        <f t="shared" si="14"/>
        <v>17406904</v>
      </c>
      <c r="P67" s="832">
        <f>Input!$TM$12</f>
        <v>134931</v>
      </c>
      <c r="Q67" s="832">
        <f>Input!$TW$12</f>
        <v>584832</v>
      </c>
      <c r="R67" s="832">
        <f>Input!$UF$12</f>
        <v>0</v>
      </c>
      <c r="S67" s="837">
        <f t="shared" ref="S67:S72" si="16">O67+P67-Q67-R67</f>
        <v>16957003</v>
      </c>
      <c r="T67" s="723"/>
      <c r="U67" s="834">
        <f t="shared" si="15"/>
        <v>17406904</v>
      </c>
      <c r="V67" s="723"/>
      <c r="W67" s="828" t="s">
        <v>180</v>
      </c>
      <c r="X67" s="835">
        <f>Input!$UQ$12</f>
        <v>17406904</v>
      </c>
      <c r="Y67" s="836">
        <f t="shared" si="13"/>
        <v>0</v>
      </c>
      <c r="Z67" s="723"/>
      <c r="AA67" s="723"/>
      <c r="AB67" s="723"/>
    </row>
    <row r="68" spans="1:28" s="752" customFormat="1">
      <c r="A68" s="460">
        <v>51</v>
      </c>
      <c r="B68" s="823" t="s">
        <v>164</v>
      </c>
      <c r="C68" s="823"/>
      <c r="D68" s="762">
        <f>Input!$MH$12</f>
        <v>0</v>
      </c>
      <c r="E68" s="762">
        <f>Input!$MI$12</f>
        <v>0</v>
      </c>
      <c r="F68" s="762">
        <f>Input!$MJ$12</f>
        <v>0</v>
      </c>
      <c r="G68" s="762">
        <f>Input!$MK$12</f>
        <v>0</v>
      </c>
      <c r="H68" s="762">
        <f>Input!$ML$12</f>
        <v>0</v>
      </c>
      <c r="I68" s="762">
        <f>Input!$MM$12</f>
        <v>0</v>
      </c>
      <c r="J68" s="762">
        <f>Input!$MN$12</f>
        <v>0</v>
      </c>
      <c r="K68" s="762">
        <f>Input!$MO$12</f>
        <v>0</v>
      </c>
      <c r="L68" s="762">
        <f>Input!$MP$12</f>
        <v>0</v>
      </c>
      <c r="M68" s="723">
        <f t="shared" si="12"/>
        <v>0</v>
      </c>
      <c r="O68" s="831">
        <f t="shared" si="14"/>
        <v>0</v>
      </c>
      <c r="P68" s="832">
        <f>Input!$TN$12</f>
        <v>0</v>
      </c>
      <c r="Q68" s="832">
        <f>Input!$TX$12</f>
        <v>0</v>
      </c>
      <c r="R68" s="832">
        <f>Input!$UG$12</f>
        <v>0</v>
      </c>
      <c r="S68" s="837">
        <f t="shared" si="16"/>
        <v>0</v>
      </c>
      <c r="T68" s="723"/>
      <c r="U68" s="834">
        <f t="shared" si="15"/>
        <v>0</v>
      </c>
      <c r="V68" s="723"/>
      <c r="W68" s="828" t="s">
        <v>164</v>
      </c>
      <c r="X68" s="835">
        <f>Input!$UR$12</f>
        <v>0</v>
      </c>
      <c r="Y68" s="836">
        <f t="shared" si="13"/>
        <v>0</v>
      </c>
      <c r="Z68" s="723"/>
      <c r="AA68" s="723"/>
      <c r="AB68" s="723"/>
    </row>
    <row r="69" spans="1:28" s="752" customFormat="1">
      <c r="A69" s="460">
        <v>52</v>
      </c>
      <c r="B69" s="823" t="s">
        <v>181</v>
      </c>
      <c r="C69" s="823"/>
      <c r="D69" s="762">
        <f>Input!$MQ$12</f>
        <v>31686869</v>
      </c>
      <c r="E69" s="762">
        <f>Input!$MR$12</f>
        <v>5940433</v>
      </c>
      <c r="F69" s="762">
        <f>Input!$MS$12</f>
        <v>0</v>
      </c>
      <c r="G69" s="762">
        <f>Input!$MT$12</f>
        <v>806554</v>
      </c>
      <c r="H69" s="762">
        <f>Input!$MU$12</f>
        <v>0</v>
      </c>
      <c r="I69" s="762">
        <f>Input!$MV$12</f>
        <v>0</v>
      </c>
      <c r="J69" s="762">
        <f>Input!$MW$12</f>
        <v>0</v>
      </c>
      <c r="K69" s="762">
        <f>Input!$MX$12</f>
        <v>0</v>
      </c>
      <c r="L69" s="762">
        <f>Input!$MY$12</f>
        <v>0</v>
      </c>
      <c r="M69" s="723">
        <f t="shared" si="12"/>
        <v>38433856</v>
      </c>
      <c r="O69" s="831">
        <f t="shared" si="14"/>
        <v>38433856</v>
      </c>
      <c r="P69" s="832">
        <f>Input!$TO$12</f>
        <v>106798</v>
      </c>
      <c r="Q69" s="832">
        <f>Input!$TY$12</f>
        <v>0</v>
      </c>
      <c r="R69" s="832">
        <f>Input!$UH$12</f>
        <v>0</v>
      </c>
      <c r="S69" s="837">
        <f t="shared" si="16"/>
        <v>38540654</v>
      </c>
      <c r="T69" s="723"/>
      <c r="U69" s="834">
        <f t="shared" si="15"/>
        <v>38433856</v>
      </c>
      <c r="V69" s="723"/>
      <c r="W69" s="828" t="s">
        <v>181</v>
      </c>
      <c r="X69" s="835">
        <f>Input!$US$12</f>
        <v>38433856</v>
      </c>
      <c r="Y69" s="836">
        <f t="shared" si="13"/>
        <v>0</v>
      </c>
      <c r="Z69" s="723"/>
      <c r="AA69" s="723"/>
      <c r="AB69" s="723"/>
    </row>
    <row r="70" spans="1:28" s="752" customFormat="1">
      <c r="A70" s="460">
        <v>53</v>
      </c>
      <c r="B70" s="823" t="s">
        <v>182</v>
      </c>
      <c r="C70" s="823"/>
      <c r="D70" s="762">
        <f>Input!$MZ$12</f>
        <v>3109581</v>
      </c>
      <c r="E70" s="762">
        <f>Input!$NA$12</f>
        <v>2259181</v>
      </c>
      <c r="F70" s="762">
        <f>Input!$NB$12</f>
        <v>0</v>
      </c>
      <c r="G70" s="762">
        <f>Input!$NC$12</f>
        <v>72674</v>
      </c>
      <c r="H70" s="762">
        <f>Input!$ND$12</f>
        <v>7308</v>
      </c>
      <c r="I70" s="762">
        <f>Input!$NE$12</f>
        <v>0</v>
      </c>
      <c r="J70" s="762">
        <f>Input!$NF$12</f>
        <v>0</v>
      </c>
      <c r="K70" s="762">
        <f>Input!$NG$12</f>
        <v>0</v>
      </c>
      <c r="L70" s="762">
        <f>Input!$NH$12</f>
        <v>0</v>
      </c>
      <c r="M70" s="723">
        <f t="shared" si="12"/>
        <v>5448744</v>
      </c>
      <c r="O70" s="831">
        <f t="shared" si="14"/>
        <v>5441436</v>
      </c>
      <c r="P70" s="832">
        <f>Input!$TP$12</f>
        <v>0</v>
      </c>
      <c r="Q70" s="832">
        <f>Input!$TZ$12</f>
        <v>0</v>
      </c>
      <c r="R70" s="832">
        <f>Input!$UI$12</f>
        <v>0</v>
      </c>
      <c r="S70" s="837">
        <f t="shared" si="16"/>
        <v>5441436</v>
      </c>
      <c r="T70" s="723"/>
      <c r="U70" s="834">
        <f t="shared" si="15"/>
        <v>5441436</v>
      </c>
      <c r="V70" s="723"/>
      <c r="W70" s="828" t="s">
        <v>182</v>
      </c>
      <c r="X70" s="835">
        <f>Input!$UT$12</f>
        <v>5448744</v>
      </c>
      <c r="Y70" s="836">
        <f t="shared" si="13"/>
        <v>0</v>
      </c>
      <c r="Z70" s="723"/>
      <c r="AA70" s="723"/>
      <c r="AB70" s="723"/>
    </row>
    <row r="71" spans="1:28" s="752" customFormat="1">
      <c r="A71" s="460">
        <v>54</v>
      </c>
      <c r="B71" s="823" t="s">
        <v>183</v>
      </c>
      <c r="C71" s="823"/>
      <c r="D71" s="762">
        <f>Input!$NI$12</f>
        <v>9474555</v>
      </c>
      <c r="E71" s="762">
        <f>Input!$NJ$12</f>
        <v>1852176</v>
      </c>
      <c r="F71" s="762">
        <f>Input!$NK$12</f>
        <v>0</v>
      </c>
      <c r="G71" s="762">
        <f>Input!$NL$12</f>
        <v>13628</v>
      </c>
      <c r="H71" s="762">
        <f>Input!$NM$12</f>
        <v>0</v>
      </c>
      <c r="I71" s="762">
        <f>Input!$NN$12</f>
        <v>0</v>
      </c>
      <c r="J71" s="762">
        <f>Input!$NO$12</f>
        <v>0</v>
      </c>
      <c r="K71" s="762">
        <f>Input!$NP$12</f>
        <v>0</v>
      </c>
      <c r="L71" s="762">
        <f>Input!$NQ$12</f>
        <v>0</v>
      </c>
      <c r="M71" s="723">
        <f t="shared" si="12"/>
        <v>11340359</v>
      </c>
      <c r="O71" s="831">
        <f t="shared" si="14"/>
        <v>11340359</v>
      </c>
      <c r="P71" s="832">
        <f>Input!$TQ$12</f>
        <v>220799</v>
      </c>
      <c r="Q71" s="832">
        <f>Input!$UA$12</f>
        <v>0</v>
      </c>
      <c r="R71" s="832">
        <f>Input!$UJ$12</f>
        <v>0</v>
      </c>
      <c r="S71" s="837">
        <f t="shared" si="16"/>
        <v>11561158</v>
      </c>
      <c r="T71" s="723"/>
      <c r="U71" s="834">
        <f t="shared" si="15"/>
        <v>11340359</v>
      </c>
      <c r="V71" s="723"/>
      <c r="W71" s="828" t="s">
        <v>183</v>
      </c>
      <c r="X71" s="835">
        <f>Input!$UU$12</f>
        <v>11340359</v>
      </c>
      <c r="Y71" s="836">
        <f t="shared" si="13"/>
        <v>0</v>
      </c>
      <c r="Z71" s="723"/>
      <c r="AA71" s="723"/>
      <c r="AB71" s="723"/>
    </row>
    <row r="72" spans="1:28" s="752" customFormat="1">
      <c r="A72" s="460">
        <v>55</v>
      </c>
      <c r="B72" s="823" t="s">
        <v>184</v>
      </c>
      <c r="C72" s="823"/>
      <c r="D72" s="762">
        <f>Input!$NR$12</f>
        <v>23873278</v>
      </c>
      <c r="E72" s="762">
        <f>Input!$NS$12</f>
        <v>4610544</v>
      </c>
      <c r="F72" s="762">
        <f>Input!$NT$12</f>
        <v>0</v>
      </c>
      <c r="G72" s="762">
        <f>Input!$NU$12</f>
        <v>17558</v>
      </c>
      <c r="H72" s="762">
        <f>Input!$NV$12</f>
        <v>0</v>
      </c>
      <c r="I72" s="762">
        <f>Input!$NW$12</f>
        <v>0</v>
      </c>
      <c r="J72" s="762">
        <f>Input!$NX$12</f>
        <v>0</v>
      </c>
      <c r="K72" s="762">
        <f>Input!$NY$12</f>
        <v>0</v>
      </c>
      <c r="L72" s="762">
        <f>Input!$NZ$12</f>
        <v>0</v>
      </c>
      <c r="M72" s="723">
        <f t="shared" si="12"/>
        <v>28501380</v>
      </c>
      <c r="O72" s="831">
        <f t="shared" si="14"/>
        <v>28501380</v>
      </c>
      <c r="P72" s="832">
        <f>Input!$TR$12</f>
        <v>603791</v>
      </c>
      <c r="Q72" s="832">
        <f>Input!$UB$12</f>
        <v>0</v>
      </c>
      <c r="R72" s="832">
        <f>Input!$UK$12</f>
        <v>0</v>
      </c>
      <c r="S72" s="837">
        <f t="shared" si="16"/>
        <v>29105171</v>
      </c>
      <c r="T72" s="723"/>
      <c r="U72" s="834">
        <f t="shared" si="15"/>
        <v>28501380</v>
      </c>
      <c r="V72" s="723"/>
      <c r="W72" s="828" t="s">
        <v>671</v>
      </c>
      <c r="X72" s="835">
        <f>Input!$UV$12</f>
        <v>28501380</v>
      </c>
      <c r="Y72" s="836">
        <f t="shared" si="13"/>
        <v>0</v>
      </c>
      <c r="Z72" s="723"/>
      <c r="AA72" s="723"/>
      <c r="AB72" s="723"/>
    </row>
    <row r="73" spans="1:28" s="752" customFormat="1" ht="13.8" thickBot="1">
      <c r="A73" s="460">
        <v>56</v>
      </c>
      <c r="B73" s="823" t="s">
        <v>185</v>
      </c>
      <c r="C73" s="823"/>
      <c r="D73" s="762">
        <f>Input!$OA$12</f>
        <v>488629</v>
      </c>
      <c r="E73" s="762">
        <f>Input!$OB$12</f>
        <v>1347852</v>
      </c>
      <c r="F73" s="762">
        <f>Input!$OC$12</f>
        <v>0</v>
      </c>
      <c r="G73" s="762">
        <f>Input!$OD$12</f>
        <v>1099192</v>
      </c>
      <c r="H73" s="762">
        <f>Input!$OE$12</f>
        <v>0</v>
      </c>
      <c r="I73" s="762">
        <f>Input!$OF$12</f>
        <v>0</v>
      </c>
      <c r="J73" s="762">
        <f>Input!$OG$12</f>
        <v>0</v>
      </c>
      <c r="K73" s="762">
        <f>Input!$OH$12</f>
        <v>0</v>
      </c>
      <c r="L73" s="762">
        <f>Input!$OI$12</f>
        <v>0</v>
      </c>
      <c r="M73" s="723">
        <f t="shared" si="12"/>
        <v>2935673</v>
      </c>
      <c r="O73" s="838">
        <f>D73+E73+G73</f>
        <v>2935673</v>
      </c>
      <c r="P73" s="832">
        <f>Input!$TS$12</f>
        <v>0</v>
      </c>
      <c r="Q73" s="839">
        <f>Input!$UC$12</f>
        <v>0</v>
      </c>
      <c r="R73" s="839">
        <f>Input!$UL$12</f>
        <v>0</v>
      </c>
      <c r="S73" s="840">
        <f>O73+P73-Q73-R73</f>
        <v>2935673</v>
      </c>
      <c r="T73" s="841"/>
      <c r="U73" s="834">
        <f t="shared" si="15"/>
        <v>2935673</v>
      </c>
      <c r="V73" s="841"/>
      <c r="W73" s="828" t="s">
        <v>185</v>
      </c>
      <c r="X73" s="835">
        <f>Input!$UW$12</f>
        <v>2935673</v>
      </c>
      <c r="Y73" s="836">
        <f t="shared" si="13"/>
        <v>0</v>
      </c>
      <c r="Z73" s="723"/>
      <c r="AA73" s="723"/>
      <c r="AB73" s="723"/>
    </row>
    <row r="74" spans="1:28" s="752" customFormat="1" ht="13.8" thickTop="1">
      <c r="A74" s="460">
        <v>57</v>
      </c>
      <c r="B74" s="823" t="s">
        <v>472</v>
      </c>
      <c r="C74" s="823"/>
      <c r="D74" s="762">
        <f>Input!$OJ$12</f>
        <v>0</v>
      </c>
      <c r="E74" s="762">
        <f>Input!$OK$12</f>
        <v>0</v>
      </c>
      <c r="F74" s="762">
        <f>Input!$OL$12</f>
        <v>3770625</v>
      </c>
      <c r="G74" s="762">
        <f>Input!$OM$12</f>
        <v>0</v>
      </c>
      <c r="H74" s="762">
        <f>Input!$ON$12</f>
        <v>0</v>
      </c>
      <c r="I74" s="762">
        <f>Input!$OO$12</f>
        <v>0</v>
      </c>
      <c r="J74" s="762">
        <f>Input!$OP$12</f>
        <v>0</v>
      </c>
      <c r="K74" s="762">
        <f>Input!$OQ$12</f>
        <v>0</v>
      </c>
      <c r="L74" s="762">
        <f>Input!$OR$12</f>
        <v>0</v>
      </c>
      <c r="M74" s="723">
        <f t="shared" si="12"/>
        <v>3770625</v>
      </c>
      <c r="O74" s="492"/>
      <c r="P74" s="842">
        <f>Input!$TT$12</f>
        <v>0</v>
      </c>
      <c r="Q74" s="843"/>
      <c r="R74" s="844"/>
      <c r="S74" s="845">
        <f>SUM(S65:S73)</f>
        <v>334148981</v>
      </c>
      <c r="T74" s="844"/>
      <c r="U74" s="834">
        <f t="shared" si="15"/>
        <v>3770625</v>
      </c>
      <c r="V74" s="844"/>
      <c r="W74" s="828" t="s">
        <v>186</v>
      </c>
      <c r="X74" s="835">
        <f>Input!$UX$12</f>
        <v>3770625</v>
      </c>
      <c r="Y74" s="836">
        <f t="shared" si="13"/>
        <v>0</v>
      </c>
      <c r="Z74" s="723"/>
      <c r="AA74" s="723"/>
      <c r="AB74" s="723"/>
    </row>
    <row r="75" spans="1:28" s="752" customFormat="1">
      <c r="A75" s="460">
        <v>58</v>
      </c>
      <c r="B75" s="846" t="s">
        <v>602</v>
      </c>
      <c r="C75" s="846"/>
      <c r="D75" s="762">
        <f>Input!$OS$12</f>
        <v>1197071</v>
      </c>
      <c r="E75" s="762">
        <f>Input!$OT$12</f>
        <v>3156889</v>
      </c>
      <c r="F75" s="762">
        <f>Input!$OU$12</f>
        <v>0</v>
      </c>
      <c r="G75" s="762">
        <f>Input!$OV$12</f>
        <v>2649419</v>
      </c>
      <c r="H75" s="762">
        <f>Input!$OW$12</f>
        <v>0</v>
      </c>
      <c r="I75" s="762">
        <f>Input!$OX$12</f>
        <v>0</v>
      </c>
      <c r="J75" s="762">
        <f>Input!$OY$12</f>
        <v>0</v>
      </c>
      <c r="K75" s="762">
        <f>Input!$OZ$12</f>
        <v>0</v>
      </c>
      <c r="L75" s="762">
        <f>Input!$PA$12</f>
        <v>0</v>
      </c>
      <c r="M75" s="723">
        <f t="shared" si="12"/>
        <v>7003379</v>
      </c>
      <c r="O75" s="492"/>
      <c r="P75" s="492">
        <f>SUM(P65:P74)</f>
        <v>7003379</v>
      </c>
      <c r="Q75" s="843" t="s">
        <v>672</v>
      </c>
      <c r="R75" s="844"/>
      <c r="S75" s="847"/>
      <c r="T75" s="844"/>
      <c r="U75" s="834">
        <f t="shared" si="15"/>
        <v>7003379</v>
      </c>
      <c r="V75" s="844"/>
      <c r="W75" s="828" t="s">
        <v>673</v>
      </c>
      <c r="X75" s="848">
        <f>M93*-1</f>
        <v>32898042</v>
      </c>
      <c r="Y75" s="836">
        <f>X75+M93</f>
        <v>0</v>
      </c>
      <c r="Z75" s="849"/>
      <c r="AA75" s="849"/>
      <c r="AB75" s="849"/>
    </row>
    <row r="76" spans="1:28" s="752" customFormat="1" ht="13.8" thickBot="1">
      <c r="A76" s="460">
        <v>59</v>
      </c>
      <c r="B76" s="850" t="s">
        <v>603</v>
      </c>
      <c r="C76" s="850"/>
      <c r="D76" s="851">
        <f>Input!$PB$12</f>
        <v>138244</v>
      </c>
      <c r="E76" s="851">
        <f>Input!$PC$12</f>
        <v>1181885</v>
      </c>
      <c r="F76" s="851">
        <f>Input!$PD$12</f>
        <v>0</v>
      </c>
      <c r="G76" s="851">
        <f>Input!$PE$12</f>
        <v>0</v>
      </c>
      <c r="H76" s="851">
        <f>Input!$PF$12</f>
        <v>0</v>
      </c>
      <c r="I76" s="851">
        <f>Input!$PG$12</f>
        <v>0</v>
      </c>
      <c r="J76" s="851">
        <f>Input!$PH$12</f>
        <v>0</v>
      </c>
      <c r="K76" s="851">
        <f>Input!$PI$12</f>
        <v>0</v>
      </c>
      <c r="L76" s="851">
        <f>Input!$PJ$12</f>
        <v>2682463</v>
      </c>
      <c r="M76" s="723">
        <f t="shared" si="12"/>
        <v>4002592</v>
      </c>
      <c r="O76" s="492"/>
      <c r="P76" s="852" t="str">
        <f>IF(P75&lt;&gt;M75,"Out of Balance","Balanced")</f>
        <v>Balanced</v>
      </c>
      <c r="Q76" s="1213" t="s">
        <v>674</v>
      </c>
      <c r="R76" s="1214"/>
      <c r="S76" s="853">
        <f>Input!$UM$12</f>
        <v>0</v>
      </c>
      <c r="T76" s="492"/>
      <c r="U76" s="854">
        <f t="shared" si="15"/>
        <v>1320129</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181626356</v>
      </c>
      <c r="E77" s="769">
        <f t="shared" si="17"/>
        <v>74257373</v>
      </c>
      <c r="F77" s="769">
        <f t="shared" si="17"/>
        <v>3770625</v>
      </c>
      <c r="G77" s="769">
        <f t="shared" si="17"/>
        <v>83569746</v>
      </c>
      <c r="H77" s="769">
        <f t="shared" si="17"/>
        <v>7308</v>
      </c>
      <c r="I77" s="769">
        <f t="shared" si="17"/>
        <v>0</v>
      </c>
      <c r="J77" s="769">
        <f t="shared" si="17"/>
        <v>0</v>
      </c>
      <c r="K77" s="769">
        <f t="shared" si="17"/>
        <v>0</v>
      </c>
      <c r="L77" s="769">
        <f t="shared" si="17"/>
        <v>2682463</v>
      </c>
      <c r="M77" s="769">
        <f t="shared" si="12"/>
        <v>345913871</v>
      </c>
      <c r="O77" s="320"/>
      <c r="P77" s="492"/>
      <c r="Q77" s="859" t="s">
        <v>676</v>
      </c>
      <c r="R77" s="860"/>
      <c r="S77" s="861">
        <f>Input!$UN$12</f>
        <v>0</v>
      </c>
      <c r="T77" s="320"/>
      <c r="U77" s="862">
        <f>SUM(U65:U76)</f>
        <v>343224100</v>
      </c>
      <c r="V77" s="320"/>
      <c r="W77" s="320"/>
      <c r="X77" s="863">
        <f>SUM(X65:X76)</f>
        <v>367805942</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334148981</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Input!$PK$12</f>
        <v>0</v>
      </c>
      <c r="E80" s="762">
        <f>Input!$PL$12</f>
        <v>0</v>
      </c>
      <c r="F80" s="762">
        <f>Input!$PM$12</f>
        <v>0</v>
      </c>
      <c r="G80" s="762">
        <f>Input!$PN$12</f>
        <v>0</v>
      </c>
      <c r="H80" s="762">
        <f>Input!$PO$12</f>
        <v>0</v>
      </c>
      <c r="I80" s="762">
        <f>Input!$PP$12</f>
        <v>0</v>
      </c>
      <c r="J80" s="762">
        <f>Input!$PQ$12</f>
        <v>0</v>
      </c>
      <c r="K80" s="762">
        <f>Input!$PR$12</f>
        <v>0</v>
      </c>
      <c r="L80" s="762">
        <f>Input!$PS$12</f>
        <v>0</v>
      </c>
      <c r="M80" s="723">
        <f>D80+E80+F80+G80+H80+I80+J80+K80+L80</f>
        <v>0</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Input!$PT$12</f>
        <v>-4214</v>
      </c>
      <c r="E81" s="762">
        <f>Input!$PU$12</f>
        <v>20557776</v>
      </c>
      <c r="F81" s="762">
        <f>Input!$PV$12</f>
        <v>204499</v>
      </c>
      <c r="G81" s="762">
        <f>Input!$PW$12</f>
        <v>-2155927</v>
      </c>
      <c r="H81" s="762">
        <f>Input!$PX$12</f>
        <v>-21740</v>
      </c>
      <c r="I81" s="762">
        <f>Input!$PY$12</f>
        <v>70452</v>
      </c>
      <c r="J81" s="762">
        <f>Input!$PZ$12</f>
        <v>214414</v>
      </c>
      <c r="K81" s="762">
        <f>Input!$QA$12</f>
        <v>0</v>
      </c>
      <c r="L81" s="762">
        <f>Input!$QB$12</f>
        <v>0</v>
      </c>
      <c r="M81" s="723">
        <f>D81+E81+F81+G81+H81+I81+J81+K81+L81</f>
        <v>18865260</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Input!$QC$12</f>
        <v>0</v>
      </c>
      <c r="E82" s="762">
        <f>Input!$QD$12</f>
        <v>0</v>
      </c>
      <c r="F82" s="762">
        <f>Input!$QE$12</f>
        <v>0</v>
      </c>
      <c r="G82" s="762">
        <f>Input!$QF$12</f>
        <v>0</v>
      </c>
      <c r="H82" s="762">
        <f>Input!$QG$12</f>
        <v>0</v>
      </c>
      <c r="I82" s="762">
        <f>Input!$QH$12</f>
        <v>0</v>
      </c>
      <c r="J82" s="762">
        <f>Input!$QI$12</f>
        <v>0</v>
      </c>
      <c r="K82" s="762">
        <f>Input!$QJ$12</f>
        <v>0</v>
      </c>
      <c r="L82" s="762">
        <f>Input!$QK$12</f>
        <v>0</v>
      </c>
      <c r="M82" s="723">
        <f>D82+E82+F82+G82+H82+I82+J82+K82+L82</f>
        <v>0</v>
      </c>
      <c r="O82" s="492"/>
      <c r="P82" s="1218" t="str">
        <f>IF(M91&lt;0,"Footnote 11 is N/A - No Data Entry Required","Footnote 11")</f>
        <v>Footnote 11</v>
      </c>
      <c r="Q82" s="1219"/>
      <c r="R82" s="1219"/>
      <c r="S82" s="1220"/>
      <c r="T82" s="443"/>
      <c r="U82" s="443"/>
      <c r="V82" s="320"/>
      <c r="W82" s="320"/>
      <c r="X82" s="320"/>
      <c r="Y82" s="320"/>
      <c r="Z82" s="320"/>
      <c r="AA82" s="320"/>
      <c r="AB82" s="320"/>
    </row>
    <row r="83" spans="1:28" s="752" customFormat="1" ht="13.8" thickTop="1">
      <c r="A83" s="460">
        <v>66</v>
      </c>
      <c r="B83" s="752" t="s">
        <v>477</v>
      </c>
      <c r="D83" s="762">
        <f>Input!$QL$12</f>
        <v>-20336641</v>
      </c>
      <c r="E83" s="762">
        <f>Input!$QM$12</f>
        <v>-506952</v>
      </c>
      <c r="F83" s="762">
        <f>Input!$QN$12</f>
        <v>0</v>
      </c>
      <c r="G83" s="762">
        <f>Input!$QO$12</f>
        <v>0</v>
      </c>
      <c r="H83" s="762">
        <f>Input!$QP$12</f>
        <v>0</v>
      </c>
      <c r="I83" s="762">
        <f>Input!$QQ$12</f>
        <v>0</v>
      </c>
      <c r="J83" s="762">
        <f>Input!$QR$12</f>
        <v>0</v>
      </c>
      <c r="K83" s="762">
        <f>Input!$QS$12</f>
        <v>0</v>
      </c>
      <c r="L83" s="762">
        <f>Input!$QT$12</f>
        <v>0</v>
      </c>
      <c r="M83" s="723">
        <f>D83+E83+F83+G83+H83+I83+J83+K83+L83</f>
        <v>-20843593</v>
      </c>
      <c r="O83" s="723"/>
      <c r="P83" s="869" t="s">
        <v>678</v>
      </c>
      <c r="Q83" s="870"/>
      <c r="R83" s="871"/>
      <c r="S83" s="872">
        <f>IF(M91&lt;0,"N/A",M91)</f>
        <v>25878766</v>
      </c>
      <c r="T83" s="492"/>
      <c r="U83" s="443"/>
      <c r="V83" s="320"/>
      <c r="W83" s="320"/>
      <c r="X83" s="443"/>
      <c r="Y83" s="443"/>
      <c r="Z83" s="320"/>
      <c r="AA83" s="320"/>
      <c r="AB83" s="320"/>
    </row>
    <row r="84" spans="1:28" s="752" customFormat="1">
      <c r="A84" s="460">
        <v>67</v>
      </c>
      <c r="B84" s="858" t="s">
        <v>155</v>
      </c>
      <c r="C84" s="858"/>
      <c r="D84" s="769">
        <f t="shared" ref="D84:L84" si="18">SUM(D80:D83)</f>
        <v>-20340855</v>
      </c>
      <c r="E84" s="769">
        <f t="shared" si="18"/>
        <v>20050824</v>
      </c>
      <c r="F84" s="769">
        <f t="shared" si="18"/>
        <v>204499</v>
      </c>
      <c r="G84" s="769">
        <f t="shared" si="18"/>
        <v>-2155927</v>
      </c>
      <c r="H84" s="769">
        <f t="shared" si="18"/>
        <v>-21740</v>
      </c>
      <c r="I84" s="769">
        <f t="shared" si="18"/>
        <v>70452</v>
      </c>
      <c r="J84" s="769">
        <f t="shared" si="18"/>
        <v>214414</v>
      </c>
      <c r="K84" s="769">
        <f t="shared" si="18"/>
        <v>0</v>
      </c>
      <c r="L84" s="769">
        <f t="shared" si="18"/>
        <v>0</v>
      </c>
      <c r="M84" s="769">
        <f>D84+E84+F84+G84+H84+I84+J84+K84+L84</f>
        <v>-1978333</v>
      </c>
      <c r="O84" s="723"/>
      <c r="P84" s="873" t="s">
        <v>679</v>
      </c>
      <c r="Q84" s="492"/>
      <c r="R84" s="492"/>
      <c r="S84" s="874">
        <f>Input!$UY$12</f>
        <v>90648895</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f>IF(M91&lt;0,"",S83-S84)</f>
        <v>-64770129</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Input!$QU$12</f>
        <v>-12287337</v>
      </c>
      <c r="E87" s="762">
        <f>Input!$QV$12</f>
        <v>-40326507</v>
      </c>
      <c r="F87" s="762">
        <f>Input!$QW$12</f>
        <v>0</v>
      </c>
      <c r="G87" s="762">
        <f>Input!$QX$12</f>
        <v>0</v>
      </c>
      <c r="H87" s="762">
        <f>Input!$QY$12</f>
        <v>0</v>
      </c>
      <c r="I87" s="762">
        <f>Input!$QZ$12</f>
        <v>-12222737</v>
      </c>
      <c r="J87" s="762">
        <f>Input!$RA$12</f>
        <v>0</v>
      </c>
      <c r="K87" s="762">
        <f>Input!$RB$12</f>
        <v>0</v>
      </c>
      <c r="L87" s="762">
        <f>Input!$RC$12</f>
        <v>0</v>
      </c>
      <c r="M87" s="723">
        <f>D87+E87+F87+G87+H87+I87+J87+K87+L87</f>
        <v>-64836581</v>
      </c>
      <c r="O87" s="320"/>
      <c r="P87" s="873" t="s">
        <v>681</v>
      </c>
      <c r="Q87" s="320"/>
      <c r="R87" s="492"/>
      <c r="S87" s="878">
        <f>Input!$UZ$12</f>
        <v>-64836581</v>
      </c>
      <c r="T87" s="320"/>
      <c r="U87" s="320"/>
      <c r="V87" s="320"/>
      <c r="W87" s="320"/>
      <c r="X87" s="443"/>
      <c r="Y87" s="443"/>
      <c r="Z87" s="320"/>
      <c r="AA87" s="320"/>
      <c r="AB87" s="320"/>
    </row>
    <row r="88" spans="1:28" s="752" customFormat="1">
      <c r="A88" s="460">
        <v>71</v>
      </c>
      <c r="B88" s="752" t="s">
        <v>480</v>
      </c>
      <c r="D88" s="762">
        <f>Input!$RD$12</f>
        <v>0</v>
      </c>
      <c r="E88" s="762">
        <f>Input!$RE$12</f>
        <v>0</v>
      </c>
      <c r="F88" s="762">
        <f>Input!$RF$12</f>
        <v>0</v>
      </c>
      <c r="G88" s="762">
        <f>Input!$RG$12</f>
        <v>0</v>
      </c>
      <c r="H88" s="762">
        <f>Input!$RH$12</f>
        <v>0</v>
      </c>
      <c r="I88" s="762">
        <f>Input!$RI$12</f>
        <v>66453</v>
      </c>
      <c r="J88" s="762">
        <f>Input!$RJ$12</f>
        <v>0</v>
      </c>
      <c r="K88" s="762">
        <f>Input!$RK$12</f>
        <v>0</v>
      </c>
      <c r="L88" s="762">
        <f>Input!$RL$12</f>
        <v>0</v>
      </c>
      <c r="M88" s="723">
        <f>D88+E88+F88+G88+H88+I88+J88+K88+L88</f>
        <v>66453</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-12287337</v>
      </c>
      <c r="E89" s="769">
        <f t="shared" si="19"/>
        <v>-40326507</v>
      </c>
      <c r="F89" s="769">
        <f t="shared" si="19"/>
        <v>0</v>
      </c>
      <c r="G89" s="769">
        <f t="shared" si="19"/>
        <v>0</v>
      </c>
      <c r="H89" s="769">
        <f t="shared" si="19"/>
        <v>0</v>
      </c>
      <c r="I89" s="769">
        <f t="shared" si="19"/>
        <v>-12156284</v>
      </c>
      <c r="J89" s="769">
        <f t="shared" si="19"/>
        <v>0</v>
      </c>
      <c r="K89" s="769">
        <f t="shared" si="19"/>
        <v>0</v>
      </c>
      <c r="L89" s="769">
        <f t="shared" si="19"/>
        <v>0</v>
      </c>
      <c r="M89" s="769">
        <f>D89+E89+F89+G89+H89+I89+J89+K89+L89</f>
        <v>-64770128</v>
      </c>
      <c r="O89" s="320"/>
      <c r="P89" s="873" t="s">
        <v>683</v>
      </c>
      <c r="Q89" s="320"/>
      <c r="R89" s="320"/>
      <c r="S89" s="875">
        <f>IFERROR(S85-S87,"")</f>
        <v>66452</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-11314451</v>
      </c>
      <c r="E91" s="769">
        <f t="shared" si="20"/>
        <v>58748858</v>
      </c>
      <c r="F91" s="769">
        <f t="shared" si="20"/>
        <v>10682</v>
      </c>
      <c r="G91" s="769">
        <f t="shared" si="20"/>
        <v>2028524</v>
      </c>
      <c r="H91" s="769">
        <f t="shared" si="20"/>
        <v>-9650</v>
      </c>
      <c r="I91" s="769">
        <f t="shared" si="20"/>
        <v>-12879964</v>
      </c>
      <c r="J91" s="769">
        <f t="shared" si="20"/>
        <v>214414</v>
      </c>
      <c r="K91" s="769">
        <f t="shared" si="20"/>
        <v>0</v>
      </c>
      <c r="L91" s="769">
        <f>L63-L77+L84+L89</f>
        <v>-10919647</v>
      </c>
      <c r="M91" s="769">
        <f>D91+E91+F91+G91+H91+I91+J91+K91+L91</f>
        <v>25878766</v>
      </c>
      <c r="O91" s="320"/>
      <c r="P91" s="881" t="s">
        <v>684</v>
      </c>
      <c r="Q91" s="882"/>
      <c r="R91" s="882"/>
      <c r="S91" s="883">
        <f>IFERROR((S89+S87)-S85,"")</f>
        <v>0</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Input!$RM$12</f>
        <v>0</v>
      </c>
      <c r="E93" s="762">
        <f>Input!$RN$12</f>
        <v>0</v>
      </c>
      <c r="F93" s="762">
        <f>Input!$RO$12</f>
        <v>0</v>
      </c>
      <c r="G93" s="762">
        <f>Input!$RP$12</f>
        <v>0</v>
      </c>
      <c r="H93" s="762">
        <f>Input!$RQ$12</f>
        <v>0</v>
      </c>
      <c r="I93" s="762">
        <f>Input!$RR$12</f>
        <v>0</v>
      </c>
      <c r="J93" s="762">
        <f>Input!$RS$12</f>
        <v>0</v>
      </c>
      <c r="K93" s="762">
        <f>Input!$RT$12</f>
        <v>0</v>
      </c>
      <c r="L93" s="762">
        <f>Input!$RU$12</f>
        <v>-32898042</v>
      </c>
      <c r="M93" s="723">
        <f>D93+E93+F93+G93+H93+I93+J93+K93+L93</f>
        <v>-32898042</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Input!$RV$12</f>
        <v>0</v>
      </c>
      <c r="E94" s="762">
        <f>Input!$RW$12</f>
        <v>0</v>
      </c>
      <c r="F94" s="762">
        <f>Input!$RX$12</f>
        <v>0</v>
      </c>
      <c r="G94" s="762">
        <f>Input!$RY$12</f>
        <v>0</v>
      </c>
      <c r="H94" s="762">
        <f>Input!$RZ$12</f>
        <v>0</v>
      </c>
      <c r="I94" s="762">
        <f>Input!$SA$12</f>
        <v>0</v>
      </c>
      <c r="J94" s="762">
        <f>Input!$SB$12</f>
        <v>0</v>
      </c>
      <c r="K94" s="762">
        <f>Input!$SC$12</f>
        <v>0</v>
      </c>
      <c r="L94" s="762">
        <f>Input!$SD$12</f>
        <v>17799267</v>
      </c>
      <c r="M94" s="723">
        <f>D94+E94+F94+G94+H94+I94+J94+K94+L94</f>
        <v>17799267</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Input!$SE$12</f>
        <v>0</v>
      </c>
      <c r="E95" s="762">
        <f>Input!$SF$12</f>
        <v>0</v>
      </c>
      <c r="F95" s="762">
        <f>Input!$SG$12</f>
        <v>0</v>
      </c>
      <c r="G95" s="762">
        <f>Input!$SH$12</f>
        <v>0</v>
      </c>
      <c r="H95" s="762">
        <f>Input!$SI$12</f>
        <v>0</v>
      </c>
      <c r="I95" s="762">
        <f>Input!$SJ$12</f>
        <v>0</v>
      </c>
      <c r="J95" s="762">
        <f>Input!$SK$12</f>
        <v>0</v>
      </c>
      <c r="K95" s="762">
        <f>Input!$SL$12</f>
        <v>0</v>
      </c>
      <c r="L95" s="762">
        <f>Input!$SM$12</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Input!$SN$12</f>
        <v>0</v>
      </c>
      <c r="E96" s="762">
        <f>Input!$SO$12</f>
        <v>0</v>
      </c>
      <c r="F96" s="762">
        <f>Input!$SP$12</f>
        <v>0</v>
      </c>
      <c r="G96" s="762">
        <f>Input!$SQ$12</f>
        <v>0</v>
      </c>
      <c r="H96" s="762">
        <f>Input!$SR$12</f>
        <v>0</v>
      </c>
      <c r="I96" s="762">
        <f>Input!$SS$12</f>
        <v>0</v>
      </c>
      <c r="J96" s="762">
        <f>Input!$ST$12</f>
        <v>0</v>
      </c>
      <c r="K96" s="762">
        <f>Input!$SU$12</f>
        <v>0</v>
      </c>
      <c r="L96" s="762">
        <f>Input!$SV$12</f>
        <v>0</v>
      </c>
      <c r="M96" s="723">
        <f>D96+E96+F96+G96+H96+I96+J96+K96+L96</f>
        <v>0</v>
      </c>
      <c r="O96" s="884"/>
      <c r="P96" s="320"/>
      <c r="Q96" s="320"/>
      <c r="R96" s="320"/>
      <c r="S96" s="320"/>
      <c r="Y96" s="320"/>
      <c r="Z96" s="320"/>
      <c r="AA96" s="320"/>
      <c r="AB96" s="320"/>
    </row>
    <row r="97" spans="1:28" s="752" customFormat="1">
      <c r="A97" s="460">
        <v>79</v>
      </c>
      <c r="B97" s="320" t="s">
        <v>486</v>
      </c>
      <c r="C97" s="320"/>
      <c r="D97" s="762">
        <f>Input!$SW$12</f>
        <v>1197071</v>
      </c>
      <c r="E97" s="762">
        <f>Input!$SX$12</f>
        <v>3156889</v>
      </c>
      <c r="F97" s="762">
        <f>Input!$SY$12</f>
        <v>0</v>
      </c>
      <c r="G97" s="762">
        <f>Input!$SZ$12</f>
        <v>2695116</v>
      </c>
      <c r="H97" s="762">
        <f>Input!$TA$12</f>
        <v>0</v>
      </c>
      <c r="I97" s="762">
        <f>Input!$TB$12</f>
        <v>0</v>
      </c>
      <c r="J97" s="762">
        <f>Input!$TC$12</f>
        <v>0</v>
      </c>
      <c r="K97" s="762">
        <f>Input!$TD$12</f>
        <v>0</v>
      </c>
      <c r="L97" s="762">
        <f>Input!$TE$12</f>
        <v>0</v>
      </c>
      <c r="M97" s="723">
        <f>D97+E97+F97+G97+H97+I97+J97+K97+L97</f>
        <v>7049076</v>
      </c>
      <c r="O97" s="1009"/>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-10117380</v>
      </c>
      <c r="E98" s="886">
        <f t="shared" si="21"/>
        <v>61905747</v>
      </c>
      <c r="F98" s="886">
        <f t="shared" si="21"/>
        <v>10682</v>
      </c>
      <c r="G98" s="886">
        <f t="shared" si="21"/>
        <v>4723640</v>
      </c>
      <c r="H98" s="886">
        <f t="shared" si="21"/>
        <v>-9650</v>
      </c>
      <c r="I98" s="886">
        <f t="shared" si="21"/>
        <v>-12879964</v>
      </c>
      <c r="J98" s="886">
        <f t="shared" si="21"/>
        <v>214414</v>
      </c>
      <c r="K98" s="886">
        <f t="shared" si="21"/>
        <v>0</v>
      </c>
      <c r="L98" s="886">
        <f t="shared" si="21"/>
        <v>-26018422</v>
      </c>
      <c r="M98" s="886">
        <f>SUM(M91:M97)</f>
        <v>17829067</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4" t="str">
        <f>Input!$VC$12</f>
        <v>Tracy Crowley</v>
      </c>
      <c r="Q103" s="1225"/>
      <c r="R103" s="1224" t="str">
        <f>Input!$VD$12</f>
        <v>979-458-6077</v>
      </c>
      <c r="S103" s="1225"/>
      <c r="T103" s="320"/>
      <c r="U103" s="1226" t="str">
        <f>HYPERLINK("Mailto:"&amp;Input!$VE$12,Input!$VE$12)</f>
        <v>tcrowley@tamus.edu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Input!$TF$12</f>
        <v>17829067</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IF($L$123&lt;&gt;Input!$F$12,"Out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350574882</v>
      </c>
      <c r="E110" s="723">
        <f>SUM($E$10:$E$14)+SUM($E$19:$E$28)+SUM($E$50)+$E$53+SUM($E$56:$E$61)+SUM($E$65:$E$76)+SUM($E$80:$E$83)+SUM($E$87:$E$88)+SUM($E$93:$E$97)+SUM($E$32:$E$41)+$E$47</f>
        <v>210420493</v>
      </c>
      <c r="F110" s="723">
        <f>SUM($F$10:$F$14)+SUM($F$19:$F$28)+SUM($F$50)+$F$53+SUM($F$56:$F$61)+SUM($F$65:$F$76)+SUM($F$80:$F$83)+SUM($F$87:$F$88)+SUM($F$93:$F$97)+SUM($F$32:$F$41)+$F$47</f>
        <v>7551932</v>
      </c>
      <c r="G110" s="723">
        <f>SUM($G$10:$G$14)+SUM($G$19:$G$28)+SUM($G$50)+$G$53+SUM($G$56:$G$61)+SUM($G$65:$G$76)+SUM($G$80:$G$83)+SUM($G$87:$G$88)+SUM($G$93:$G$97)+SUM($G$32:$G$41)+$G$47</f>
        <v>171863132</v>
      </c>
      <c r="H110" s="723">
        <f>SUM($H$10:$H$14)+SUM($H$19:$H$28)+SUM($H$50)+$H$53+SUM($H$56:$H$61)+SUM($H$65:$H$76)+SUM($H$80:$H$83)+SUM($H$87:$H$88)+SUM($H$93:$H$97)+SUM($H$32:$H$41)+$H$47</f>
        <v>4966</v>
      </c>
      <c r="I110" s="723">
        <f>SUM($I$10:$I$14)+SUM($I$19:$I$28)+SUM($I$50)+$I$53+SUM($I$56:$I$61)+SUM($I$65:$I$76)+SUM($I$80:$I$83)+SUM($I$87:$I$88)+SUM($I$93:$I$97)+SUM($I$32:$I$41)+$I$47</f>
        <v>-12879964</v>
      </c>
      <c r="J110" s="723">
        <f>SUM($J$10:$J$14)+SUM($J$19:$J$28)+SUM($J$50)+$J$53+SUM($J$56:$J$61)+SUM($J$65:$J$76)+SUM($J$80:$J$83)+SUM($J$87:$J$88)+SUM($J$93:$J$97)+SUM($J$32:$J$41)+$J$47</f>
        <v>214414</v>
      </c>
      <c r="K110" s="723">
        <f>SUM($K$10:$K$14)+SUM($K$19:$K$28)+SUM($K$50)+$K$53+SUM($K$56:$K$61)+SUM($K$65:$K$76)+SUM($K$80:$K$83)+SUM($K$87:$K$88)+SUM($K$93:$K$97)+SUM($K$32:$K$41)+$K$47</f>
        <v>0</v>
      </c>
      <c r="L110" s="723">
        <f>SUM($L$10:$L$14)+SUM($L$19:$L$28)+SUM($L$50)+$L$53+SUM($L$56:$L$61)+SUM($L$65:$L$76)+SUM($L$80:$L$83)+SUM($L$87:$L$88)+SUM($L$93:$L$97)+SUM($L$32:$L$41)+$L$47</f>
        <v>-20653496</v>
      </c>
    </row>
    <row r="111" spans="1:28" s="320" customFormat="1">
      <c r="A111" s="322"/>
      <c r="L111" s="723">
        <f>SUM($D$110:$L$110)</f>
        <v>707096359</v>
      </c>
    </row>
    <row r="112" spans="1:28" s="320" customFormat="1">
      <c r="A112" s="322"/>
      <c r="J112" s="320" t="s">
        <v>690</v>
      </c>
      <c r="L112" s="723">
        <f>$M$105</f>
        <v>17829067</v>
      </c>
    </row>
    <row r="113" spans="1:12" s="320" customFormat="1">
      <c r="A113" s="322"/>
      <c r="J113" s="320" t="s">
        <v>691</v>
      </c>
      <c r="L113" s="492">
        <f>$Q$32</f>
        <v>59158693</v>
      </c>
    </row>
    <row r="114" spans="1:12" s="320" customFormat="1">
      <c r="A114" s="322"/>
      <c r="J114" s="320" t="s">
        <v>691</v>
      </c>
      <c r="L114" s="492">
        <f>$R$34</f>
        <v>-5102910</v>
      </c>
    </row>
    <row r="115" spans="1:12" s="320" customFormat="1">
      <c r="A115" s="322"/>
      <c r="J115" s="320" t="s">
        <v>521</v>
      </c>
      <c r="L115" s="492">
        <f>SUM($P$65:$P$74)</f>
        <v>7003379</v>
      </c>
    </row>
    <row r="116" spans="1:12" s="320" customFormat="1">
      <c r="A116" s="322"/>
      <c r="J116" s="320" t="s">
        <v>692</v>
      </c>
      <c r="L116" s="492">
        <f>$S$76+$S$77</f>
        <v>0</v>
      </c>
    </row>
    <row r="117" spans="1:12" s="320" customFormat="1">
      <c r="A117" s="322"/>
      <c r="J117" s="320" t="s">
        <v>693</v>
      </c>
      <c r="L117" s="492">
        <f>SUM($Q$65:$Q$73)</f>
        <v>3688960</v>
      </c>
    </row>
    <row r="118" spans="1:12" s="320" customFormat="1">
      <c r="A118" s="322"/>
      <c r="J118" s="320" t="s">
        <v>694</v>
      </c>
      <c r="L118" s="492">
        <f>SUM($R$65:$R$73)</f>
        <v>295405</v>
      </c>
    </row>
    <row r="119" spans="1:12" s="320" customFormat="1">
      <c r="A119" s="322"/>
      <c r="J119" s="320" t="s">
        <v>695</v>
      </c>
      <c r="L119" s="492">
        <f>SUM($X$65:$X$74)</f>
        <v>334907900</v>
      </c>
    </row>
    <row r="120" spans="1:12" s="320" customFormat="1">
      <c r="A120" s="322"/>
      <c r="J120" s="320" t="s">
        <v>696</v>
      </c>
      <c r="L120" s="492">
        <f>$S$84</f>
        <v>90648895</v>
      </c>
    </row>
    <row r="121" spans="1:12" s="320" customFormat="1">
      <c r="A121" s="322"/>
      <c r="J121" s="320" t="s">
        <v>696</v>
      </c>
      <c r="L121" s="492">
        <f>$S$87</f>
        <v>-64836581</v>
      </c>
    </row>
    <row r="122" spans="1:12" s="320" customFormat="1">
      <c r="A122" s="322"/>
      <c r="J122" s="320" t="s">
        <v>697</v>
      </c>
      <c r="L122" s="443">
        <f>VLOOKUP(B2,Names!$B$10:$C$90,2,FALSE)</f>
        <v>89</v>
      </c>
    </row>
    <row r="123" spans="1:12">
      <c r="L123" s="898">
        <f>SUM($L$111:$L$122)</f>
        <v>1150689256</v>
      </c>
    </row>
  </sheetData>
  <mergeCells count="27">
    <mergeCell ref="Q76:R76"/>
    <mergeCell ref="O60:S60"/>
    <mergeCell ref="W61:W64"/>
    <mergeCell ref="P105:V106"/>
    <mergeCell ref="P82:S82"/>
    <mergeCell ref="P100:V100"/>
    <mergeCell ref="P103:Q103"/>
    <mergeCell ref="R103:S103"/>
    <mergeCell ref="U103:V103"/>
    <mergeCell ref="R61:R64"/>
    <mergeCell ref="S61:S64"/>
    <mergeCell ref="X61:X64"/>
    <mergeCell ref="Y61:Y64"/>
    <mergeCell ref="U61:U64"/>
    <mergeCell ref="W60:Y60"/>
    <mergeCell ref="U19:Y19"/>
    <mergeCell ref="G64:K64"/>
    <mergeCell ref="P10:P11"/>
    <mergeCell ref="O61:O64"/>
    <mergeCell ref="P61:P64"/>
    <mergeCell ref="Q61:Q64"/>
    <mergeCell ref="O19:S19"/>
    <mergeCell ref="B2:F2"/>
    <mergeCell ref="B3:F3"/>
    <mergeCell ref="B4:F4"/>
    <mergeCell ref="B6:M6"/>
    <mergeCell ref="P4:Q4"/>
  </mergeCells>
  <conditionalFormatting sqref="D98:L98">
    <cfRule type="cellIs" dxfId="259" priority="15" stopIfTrue="1" operator="notEqual">
      <formula>#REF!</formula>
    </cfRule>
  </conditionalFormatting>
  <conditionalFormatting sqref="D99:M99">
    <cfRule type="cellIs" dxfId="258" priority="21" stopIfTrue="1" operator="notEqual">
      <formula>#REF!</formula>
    </cfRule>
  </conditionalFormatting>
  <conditionalFormatting sqref="G64:K64">
    <cfRule type="expression" dxfId="257" priority="14">
      <formula>$R$98&lt;&gt;0</formula>
    </cfRule>
  </conditionalFormatting>
  <conditionalFormatting sqref="M15">
    <cfRule type="cellIs" dxfId="256" priority="16" stopIfTrue="1" operator="notEqual">
      <formula>SUM($M$10:$M$14)</formula>
    </cfRule>
  </conditionalFormatting>
  <conditionalFormatting sqref="M62">
    <cfRule type="cellIs" dxfId="255" priority="17" stopIfTrue="1" operator="notEqual">
      <formula>SUM($M$56:$M$61)</formula>
    </cfRule>
  </conditionalFormatting>
  <conditionalFormatting sqref="M77">
    <cfRule type="cellIs" dxfId="254" priority="20" stopIfTrue="1" operator="notEqual">
      <formula>SUM($M$65:$M$76)</formula>
    </cfRule>
  </conditionalFormatting>
  <conditionalFormatting sqref="M84">
    <cfRule type="cellIs" dxfId="253" priority="18" stopIfTrue="1" operator="notEqual">
      <formula>SUM($M$80:$M$83)</formula>
    </cfRule>
  </conditionalFormatting>
  <conditionalFormatting sqref="M89">
    <cfRule type="cellIs" dxfId="252" priority="19" stopIfTrue="1" operator="notEqual">
      <formula>SUM($M$87:$M$88)</formula>
    </cfRule>
  </conditionalFormatting>
  <conditionalFormatting sqref="O12">
    <cfRule type="expression" dxfId="251" priority="11">
      <formula>$Q$12&lt;&gt;$N$12</formula>
    </cfRule>
  </conditionalFormatting>
  <conditionalFormatting sqref="O13">
    <cfRule type="expression" dxfId="250" priority="12">
      <formula>$Q$13&lt;&gt;$N$13</formula>
    </cfRule>
  </conditionalFormatting>
  <conditionalFormatting sqref="O11:P11">
    <cfRule type="expression" dxfId="249" priority="13">
      <formula>#REF!&lt;&gt;$N$11</formula>
    </cfRule>
  </conditionalFormatting>
  <conditionalFormatting sqref="P76">
    <cfRule type="expression" dxfId="248" priority="5">
      <formula>$P$75&lt;&gt;$M$75</formula>
    </cfRule>
  </conditionalFormatting>
  <conditionalFormatting sqref="P94:P101 Q100:R100 U100:V100 S100:T102 U101 R102 S105:U106">
    <cfRule type="cellIs" dxfId="247" priority="6" stopIfTrue="1" operator="notEqual">
      <formula>#REF!</formula>
    </cfRule>
  </conditionalFormatting>
  <conditionalFormatting sqref="Q35">
    <cfRule type="expression" dxfId="246" priority="1">
      <formula>#REF!&lt;&gt;0</formula>
    </cfRule>
  </conditionalFormatting>
  <conditionalFormatting sqref="Q93:Q100 U93:W100 T95:T102 R99:S102 O93:O100 R95:R97 S95:S98 X95:AB102">
    <cfRule type="cellIs" dxfId="245" priority="47" stopIfTrue="1" operator="notEqual">
      <formula>#REF!</formula>
    </cfRule>
  </conditionalFormatting>
  <conditionalFormatting sqref="Q36:R36">
    <cfRule type="expression" dxfId="244" priority="3">
      <formula>#REF!&lt;&gt;#REF!</formula>
    </cfRule>
  </conditionalFormatting>
  <conditionalFormatting sqref="R35">
    <cfRule type="expression" dxfId="243" priority="2">
      <formula>#REF!&lt;&gt;0</formula>
    </cfRule>
  </conditionalFormatting>
  <conditionalFormatting sqref="S84 S87">
    <cfRule type="expression" dxfId="242" priority="7" stopIfTrue="1">
      <formula>$M$91&gt;=0</formula>
    </cfRule>
    <cfRule type="expression" priority="8">
      <formula>$M$91&lt;0</formula>
    </cfRule>
    <cfRule type="expression" dxfId="241" priority="33" stopIfTrue="1">
      <formula>$M$91&gt;=0</formula>
    </cfRule>
    <cfRule type="expression" priority="34">
      <formula>$M$91&lt;0</formula>
    </cfRule>
  </conditionalFormatting>
  <conditionalFormatting sqref="S91">
    <cfRule type="expression" priority="9" stopIfTrue="1">
      <formula>$N$91&lt;0</formula>
    </cfRule>
    <cfRule type="expression" dxfId="240" priority="10">
      <formula>$T$91&lt;&gt;0</formula>
    </cfRule>
    <cfRule type="expression" priority="35" stopIfTrue="1">
      <formula>$N$91&lt;0</formula>
    </cfRule>
    <cfRule type="expression" dxfId="239" priority="36">
      <formula>$T$91&lt;&gt;0</formula>
    </cfRule>
  </conditionalFormatting>
  <conditionalFormatting sqref="Y78">
    <cfRule type="expression" dxfId="238" priority="4">
      <formula>$Y$77&lt;&gt;0</formula>
    </cfRule>
  </conditionalFormatting>
  <hyperlinks>
    <hyperlink ref="O2" location="Index!A1" display="Return to Index" xr:uid="{00000000-0004-0000-30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2.109375" style="277" customWidth="1"/>
    <col min="11" max="16384" width="9.109375" style="277"/>
  </cols>
  <sheetData>
    <row r="1" spans="1:6">
      <c r="B1" s="742" t="str">
        <f>'TAMHSC Chts'!$A$1</f>
        <v>Texas A&amp;M University System Health Science Center</v>
      </c>
      <c r="D1" s="321" t="s">
        <v>51</v>
      </c>
    </row>
    <row r="2" spans="1:6">
      <c r="B2" s="742" t="str">
        <f>'Smmy Chts'!$A$2</f>
        <v>For the Year Ended August 31, 2022</v>
      </c>
    </row>
    <row r="3" spans="1:6">
      <c r="B3" s="742" t="str">
        <f>'Smmy Chts'!$A$3</f>
        <v>Source: FY 2022 Annual Financial Report</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str">
        <f>IF('TAMHSC FGD'!$S$83="N/A","FN11.  N/A",$B$14&amp;$B$15&amp;$B$16&amp;$B$17&amp;$B$18&amp;$B$19&amp;$B$20&amp;$B$21&amp;$B$22&amp;$B$23&amp;$B$24)</f>
        <v>FN11: Of the net increase of $25,878,766 approximately $90.6 million represents revenues received but not year expended. This income is fully committed to program expenditures and capital disbursements. The remaining $(64.8) million represents non-expendable funds from unrealized gains and additions to permanent endowments of approximately $(64.8) million and $66 thousand respectively. Unrealized gains and additions to permanent endowments do not contribute to the availability of the institution's operating cash as discussed in FN6 and FN7.</v>
      </c>
      <c r="E9" s="669"/>
    </row>
    <row r="14" spans="1:6">
      <c r="B14" s="277" t="s">
        <v>698</v>
      </c>
    </row>
    <row r="15" spans="1:6">
      <c r="A15" s="277">
        <v>75</v>
      </c>
      <c r="B15" s="669" t="str">
        <f>TEXT(IF('TAMHSC FGD'!$M$91&lt;0,"N/A",'TAMHSC FGD'!$M$91),"$* #,##0;$* (#,##0)")</f>
        <v>$25,878,766</v>
      </c>
      <c r="C15" s="282"/>
      <c r="F15" s="282"/>
    </row>
    <row r="16" spans="1:6">
      <c r="B16" s="277" t="s">
        <v>699</v>
      </c>
    </row>
    <row r="17" spans="1:6">
      <c r="A17" s="277">
        <v>68</v>
      </c>
      <c r="B17" s="748" t="str">
        <f>IF(ABS('TAMHSC FGD'!$S$84)&gt;=1000000,TEXT('TAMHSC FGD'!$S$84/1000000,"$* #,##0.0;$* (#,##0.0)")&amp;" million",IF(ABS('TAMHSC FGD'!$S$84)&lt;1000,TEXT('TAMHSC FGD'!$S$84,"$* #,##0;$* (#,##0)"),TEXT('TAMHSC FGD'!$S$84/1000,"$* #,##0;$* (#,##0)")&amp;" thousand"))</f>
        <v>$90.6 million</v>
      </c>
      <c r="C17" s="748"/>
      <c r="F17" s="748"/>
    </row>
    <row r="18" spans="1:6">
      <c r="B18" s="277" t="s">
        <v>700</v>
      </c>
    </row>
    <row r="19" spans="1:6">
      <c r="A19" s="277">
        <v>69</v>
      </c>
      <c r="B19" s="277" t="str">
        <f>IF(ABS('TAMHSC FGD'!$S$85)&gt;=1000000,TEXT('TAMHSC FGD'!$S$85/1000000,"$* #,##0.0;$* (#,##0.0)")&amp;" million",IF(ABS('TAMHSC FGD'!$S$85)&lt;1000,TEXT('TAMHSC FGD'!$S$85,"$* #,##0;$* (#,##0)"),TEXT('TAMHSC FGD'!$S$85/1000,"$* #,##0;$* (#,##0)")&amp;" thousand"))</f>
        <v>$(64.8) million</v>
      </c>
    </row>
    <row r="20" spans="1:6">
      <c r="B20" s="277" t="s">
        <v>701</v>
      </c>
    </row>
    <row r="21" spans="1:6">
      <c r="A21" s="277">
        <v>71</v>
      </c>
      <c r="B21" s="277" t="str">
        <f>IF(ABS('TAMHSC FGD'!$S$87)&gt;=1000000,TEXT('TAMHSC FGD'!$S$87/1000000,"$* #,##0.0;$* (#,##0.0)")&amp;" million",IF(ABS('TAMHSC FGD'!$S$87)&lt;1000,TEXT('TAMHSC FGD'!$S$87,"$* #,##0;$* (#,##0)"),TEXT('TAMHSC FGD'!$S$87/1000,"$* #,##0;$* (#,##0)")&amp;" thousand"))</f>
        <v>$(64.8) million</v>
      </c>
    </row>
    <row r="22" spans="1:6">
      <c r="B22" s="277" t="s">
        <v>702</v>
      </c>
    </row>
    <row r="23" spans="1:6">
      <c r="A23" s="277">
        <v>73</v>
      </c>
      <c r="B23" s="277" t="str">
        <f>IF(ABS('TAMHSC FGD'!$S$89)&gt;=1000000,TEXT('TAMHSC FGD'!$S$89/1000000,"$* #,##0.0;$* (#,##0.0)")&amp;" million",IF(ABS('TAMHSC FGD'!$S$89)&lt;1000,TEXT('TAMHSC FGD'!$S$89,"$* #,##0;$* (#,##0)"),TEXT('TAMHSC FGD'!$S$89/1000,"$* #,##0;$* (#,##0)")&amp;" thousand"))</f>
        <v>$66 thousand</v>
      </c>
    </row>
    <row r="24" spans="1:6">
      <c r="B24" s="277" t="s">
        <v>703</v>
      </c>
    </row>
  </sheetData>
  <hyperlinks>
    <hyperlink ref="D1" location="Index!A1" display="Return to Index" xr:uid="{00000000-0004-0000-3100-000000000000}"/>
  </hyperlinks>
  <pageMargins left="0.25" right="0.25" top="0.5" bottom="0.25" header="0.5" footer="0.5"/>
  <pageSetup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13.6640625" style="277" customWidth="1"/>
    <col min="3" max="3" width="47.109375" style="277" customWidth="1"/>
    <col min="4" max="4" width="20.109375" style="277" customWidth="1"/>
    <col min="5" max="16384" width="9.109375" style="277"/>
  </cols>
  <sheetData>
    <row r="1" spans="1:5" ht="27.75" customHeight="1">
      <c r="A1" s="990" t="s">
        <v>708</v>
      </c>
      <c r="C1" s="321" t="s">
        <v>51</v>
      </c>
    </row>
    <row r="2" spans="1:5" ht="15" customHeight="1">
      <c r="A2" s="279" t="s">
        <v>709</v>
      </c>
    </row>
    <row r="3" spans="1:5" ht="27" customHeight="1">
      <c r="A3" s="990" t="str">
        <f>'Smmy Chts'!$A$2</f>
        <v>For the Year Ended August 31, 2022</v>
      </c>
      <c r="C3" s="991" t="s">
        <v>493</v>
      </c>
    </row>
    <row r="4" spans="1:5" ht="25.5" customHeight="1">
      <c r="A4" s="990" t="str">
        <f>'Smmy Chts'!$A$3</f>
        <v>Source: FY 2022 Annual Financial Report</v>
      </c>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'UNTHS1 Sum'!A9</f>
        <v>State of Texas</v>
      </c>
      <c r="D11" s="994">
        <f>'UNTHS1 Sum'!B15</f>
        <v>129494349</v>
      </c>
      <c r="E11" s="995">
        <f>ROUND(D11/$D$17,3)</f>
        <v>0.41399999999999998</v>
      </c>
    </row>
    <row r="12" spans="1:5" ht="12.9" customHeight="1">
      <c r="C12" s="993" t="str">
        <f>'UNTHS1 Sum'!A17</f>
        <v>Student &amp; Parent</v>
      </c>
      <c r="D12" s="994">
        <f>'UNTHS1 Sum'!B20</f>
        <v>34477812</v>
      </c>
      <c r="E12" s="995">
        <f t="shared" ref="E12:E15" si="0">ROUND(D12/$D$17,3)</f>
        <v>0.11</v>
      </c>
    </row>
    <row r="13" spans="1:5" ht="12.9" customHeight="1">
      <c r="C13" s="993" t="str">
        <f>'UNTHS1 Sum'!A22</f>
        <v>Federal Government</v>
      </c>
      <c r="D13" s="994">
        <f>'UNTHS1 Sum'!B23</f>
        <v>55261728</v>
      </c>
      <c r="E13" s="995">
        <f t="shared" si="0"/>
        <v>0.17699999999999999</v>
      </c>
    </row>
    <row r="14" spans="1:5" ht="12.9" customHeight="1">
      <c r="C14" s="993" t="str">
        <f>'UNTHS1 Sum'!A31</f>
        <v>Institutional Resources</v>
      </c>
      <c r="D14" s="994">
        <f>'UNTHS1 Sum'!B38</f>
        <v>80925325</v>
      </c>
      <c r="E14" s="995">
        <f t="shared" si="0"/>
        <v>0.25900000000000001</v>
      </c>
    </row>
    <row r="15" spans="1:5" ht="12.9" customHeight="1">
      <c r="C15" s="996" t="s">
        <v>497</v>
      </c>
      <c r="D15" s="994">
        <f>'UNTHS1 Sum'!B29+'UNTHS1 Sum'!B26</f>
        <v>12885666</v>
      </c>
      <c r="E15" s="995">
        <f t="shared" si="0"/>
        <v>4.1000000000000002E-2</v>
      </c>
    </row>
    <row r="16" spans="1:5" ht="12.9" customHeight="1">
      <c r="C16" s="991"/>
      <c r="D16" s="992"/>
    </row>
    <row r="17" spans="3:5" ht="12.9" customHeight="1">
      <c r="C17" s="997" t="s">
        <v>201</v>
      </c>
      <c r="D17" s="998">
        <f>SUM(D11:D16)</f>
        <v>313044880</v>
      </c>
      <c r="E17" s="999">
        <f>SUM(E11:E15)</f>
        <v>1.0010000000000001</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$313,044,880</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2.9" customHeight="1">
      <c r="C53" s="993" t="s">
        <v>101</v>
      </c>
      <c r="D53" s="994">
        <f>'UNTHS1 Sum'!B10</f>
        <v>112276178</v>
      </c>
      <c r="E53" s="995">
        <f>ROUND(D53/$D$68,3)</f>
        <v>0.35899999999999999</v>
      </c>
    </row>
    <row r="54" spans="3:5" ht="12.9" customHeight="1">
      <c r="C54" s="993" t="s">
        <v>510</v>
      </c>
      <c r="D54" s="994">
        <f>'UNTHS1 Sum'!B11</f>
        <v>2092669</v>
      </c>
      <c r="E54" s="995">
        <f t="shared" ref="E54:E67" si="1">ROUND(D54/$D$68,3)</f>
        <v>7.0000000000000001E-3</v>
      </c>
    </row>
    <row r="55" spans="3:5" ht="12.9" customHeight="1">
      <c r="C55" s="1001"/>
      <c r="D55" s="994"/>
      <c r="E55" s="995"/>
    </row>
    <row r="56" spans="3:5" ht="12.9" customHeight="1">
      <c r="C56" s="993" t="str">
        <f>'UNTHS1 Sum'!A13</f>
        <v>Higher Education Fund</v>
      </c>
      <c r="D56" s="994">
        <f>'UNTHS1 Sum'!B13</f>
        <v>15125502</v>
      </c>
      <c r="E56" s="995">
        <f t="shared" si="1"/>
        <v>4.8000000000000001E-2</v>
      </c>
    </row>
    <row r="57" spans="3:5" ht="12.9" customHeight="1">
      <c r="C57" s="1001" t="s">
        <v>511</v>
      </c>
      <c r="D57" s="994">
        <f>'UNTHS1 Sum'!B14</f>
        <v>0</v>
      </c>
      <c r="E57" s="995">
        <f t="shared" si="1"/>
        <v>0</v>
      </c>
    </row>
    <row r="58" spans="3:5" ht="12.9" customHeight="1">
      <c r="C58" s="993" t="s">
        <v>460</v>
      </c>
      <c r="D58" s="994">
        <f>'UNTHS1 Sum'!B20</f>
        <v>34477812</v>
      </c>
      <c r="E58" s="995">
        <f t="shared" si="1"/>
        <v>0.11</v>
      </c>
    </row>
    <row r="59" spans="3:5" ht="12.9" customHeight="1">
      <c r="C59" s="993" t="s">
        <v>512</v>
      </c>
      <c r="D59" s="994">
        <f>'UNTHS1 Sum'!B23</f>
        <v>55261728</v>
      </c>
      <c r="E59" s="995">
        <f t="shared" si="1"/>
        <v>0.17699999999999999</v>
      </c>
    </row>
    <row r="60" spans="3:5" ht="12.9" customHeight="1">
      <c r="C60" s="993" t="s">
        <v>513</v>
      </c>
      <c r="D60" s="994">
        <f>'UNTHS1 Sum'!B32</f>
        <v>16617179</v>
      </c>
      <c r="E60" s="995">
        <f t="shared" si="1"/>
        <v>5.2999999999999999E-2</v>
      </c>
    </row>
    <row r="61" spans="3:5" ht="12.9" customHeight="1">
      <c r="C61" s="993" t="s">
        <v>514</v>
      </c>
      <c r="D61" s="994">
        <f>'UNTHS1 Sum'!B33</f>
        <v>1046856</v>
      </c>
      <c r="E61" s="995">
        <f t="shared" si="1"/>
        <v>3.0000000000000001E-3</v>
      </c>
    </row>
    <row r="62" spans="3:5" ht="12.9" customHeight="1">
      <c r="C62" s="993" t="s">
        <v>515</v>
      </c>
      <c r="D62" s="994">
        <f>'UNTHS1 Sum'!B34</f>
        <v>3951843</v>
      </c>
      <c r="E62" s="995">
        <f t="shared" si="1"/>
        <v>1.2999999999999999E-2</v>
      </c>
    </row>
    <row r="63" spans="3:5" ht="12.9" customHeight="1">
      <c r="C63" s="993" t="s">
        <v>516</v>
      </c>
      <c r="D63" s="994">
        <f>'UNTHS1 Sum'!B35</f>
        <v>52490499</v>
      </c>
      <c r="E63" s="995">
        <f t="shared" si="1"/>
        <v>0.16800000000000001</v>
      </c>
    </row>
    <row r="64" spans="3:5" ht="12.9" customHeight="1">
      <c r="C64" s="1001" t="s">
        <v>176</v>
      </c>
      <c r="D64" s="994">
        <f>'UNTHS1 Sum'!B36</f>
        <v>695653</v>
      </c>
      <c r="E64" s="995">
        <f t="shared" si="1"/>
        <v>2E-3</v>
      </c>
    </row>
    <row r="65" spans="3:5" ht="12.9" customHeight="1">
      <c r="C65" s="993" t="s">
        <v>517</v>
      </c>
      <c r="D65" s="994">
        <f>'UNTHS1 Sum'!B37</f>
        <v>6123295</v>
      </c>
      <c r="E65" s="995">
        <f t="shared" si="1"/>
        <v>0.02</v>
      </c>
    </row>
    <row r="66" spans="3:5" ht="12.9" customHeight="1">
      <c r="C66" s="993" t="s">
        <v>163</v>
      </c>
      <c r="D66" s="994">
        <f>'UNTHS1 Sum'!B26</f>
        <v>12885666</v>
      </c>
      <c r="E66" s="995">
        <f t="shared" si="1"/>
        <v>4.1000000000000002E-2</v>
      </c>
    </row>
    <row r="67" spans="3:5" ht="12.9" customHeight="1">
      <c r="C67" s="1002" t="s">
        <v>497</v>
      </c>
      <c r="D67" s="994">
        <f>'UNTHS1 Sum'!B29</f>
        <v>0</v>
      </c>
      <c r="E67" s="995">
        <f t="shared" si="1"/>
        <v>0</v>
      </c>
    </row>
    <row r="68" spans="3:5" ht="12.9" customHeight="1">
      <c r="C68" s="997" t="s">
        <v>201</v>
      </c>
      <c r="D68" s="998">
        <f>SUM(D53:D67)</f>
        <v>313044880</v>
      </c>
      <c r="E68" s="999">
        <f>SUM(E53:E67)</f>
        <v>1.0010000000000001</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$313,044,880</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'UNTHS1 Sum'!B42</f>
        <v>79538736</v>
      </c>
      <c r="E102" s="995">
        <f>ROUND(D102/$D$115,3)</f>
        <v>0.30399999999999999</v>
      </c>
    </row>
    <row r="103" spans="1:5" ht="12.9" customHeight="1">
      <c r="C103" s="1004" t="s">
        <v>179</v>
      </c>
      <c r="D103" s="994">
        <f>'UNTHS1 Sum'!B43</f>
        <v>46416280</v>
      </c>
      <c r="E103" s="995">
        <f t="shared" ref="E103:E113" si="2">ROUND(D103/$D$115,3)</f>
        <v>0.17699999999999999</v>
      </c>
    </row>
    <row r="104" spans="1:5" ht="12.9" customHeight="1">
      <c r="C104" s="1004" t="s">
        <v>180</v>
      </c>
      <c r="D104" s="994">
        <f>'UNTHS1 Sum'!B44</f>
        <v>46516667</v>
      </c>
      <c r="E104" s="995">
        <f t="shared" si="2"/>
        <v>0.17799999999999999</v>
      </c>
    </row>
    <row r="105" spans="1:5" ht="12.9" customHeight="1">
      <c r="C105" s="1004" t="s">
        <v>181</v>
      </c>
      <c r="D105" s="994">
        <f>'UNTHS1 Sum'!B46</f>
        <v>27409658</v>
      </c>
      <c r="E105" s="995">
        <f t="shared" si="2"/>
        <v>0.105</v>
      </c>
    </row>
    <row r="106" spans="1:5" ht="12.9" customHeight="1">
      <c r="C106" s="1004" t="s">
        <v>182</v>
      </c>
      <c r="D106" s="994">
        <f>'UNTHS1 Sum'!B47</f>
        <v>8018588</v>
      </c>
      <c r="E106" s="995">
        <f t="shared" si="2"/>
        <v>3.1E-2</v>
      </c>
    </row>
    <row r="107" spans="1:5" ht="12.9" customHeight="1">
      <c r="C107" s="1004" t="s">
        <v>183</v>
      </c>
      <c r="D107" s="994">
        <f>'UNTHS1 Sum'!B48</f>
        <v>21860807</v>
      </c>
      <c r="E107" s="995">
        <f t="shared" si="2"/>
        <v>8.3000000000000004E-2</v>
      </c>
    </row>
    <row r="108" spans="1:5" ht="12.9" customHeight="1">
      <c r="C108" s="1004" t="s">
        <v>519</v>
      </c>
      <c r="D108" s="994">
        <f>'UNTHS1 Sum'!B49</f>
        <v>17048260</v>
      </c>
      <c r="E108" s="995">
        <f t="shared" si="2"/>
        <v>6.5000000000000002E-2</v>
      </c>
    </row>
    <row r="109" spans="1:5" ht="12.9" customHeight="1">
      <c r="C109" s="1004" t="s">
        <v>520</v>
      </c>
      <c r="D109" s="994">
        <f>'UNTHS1 Sum'!B50</f>
        <v>2612265</v>
      </c>
      <c r="E109" s="995">
        <f t="shared" si="2"/>
        <v>0.01</v>
      </c>
    </row>
    <row r="110" spans="1:5" ht="12.9" customHeight="1">
      <c r="C110" s="1004" t="s">
        <v>186</v>
      </c>
      <c r="D110" s="994">
        <f>'UNTHS1 Sum'!B51</f>
        <v>177508</v>
      </c>
      <c r="E110" s="995">
        <f t="shared" si="2"/>
        <v>1E-3</v>
      </c>
    </row>
    <row r="111" spans="1:5" ht="12.9" customHeight="1">
      <c r="C111" s="996" t="s">
        <v>521</v>
      </c>
      <c r="D111" s="994">
        <f>'UNTHS1 Sum'!B52</f>
        <v>11895376</v>
      </c>
      <c r="E111" s="995">
        <f t="shared" si="2"/>
        <v>4.4999999999999998E-2</v>
      </c>
    </row>
    <row r="112" spans="1:5" ht="12.9" customHeight="1">
      <c r="C112" s="993" t="s">
        <v>522</v>
      </c>
      <c r="D112" s="994">
        <f>'UNTHS1 Sum'!B53</f>
        <v>520360</v>
      </c>
      <c r="E112" s="995">
        <f t="shared" si="2"/>
        <v>2E-3</v>
      </c>
    </row>
    <row r="113" spans="3:5" ht="12.9" customHeight="1">
      <c r="C113" s="1002" t="s">
        <v>523</v>
      </c>
      <c r="D113" s="994">
        <f>'UNTHS1 Sum'!B45</f>
        <v>0</v>
      </c>
      <c r="E113" s="995">
        <f t="shared" si="2"/>
        <v>0</v>
      </c>
    </row>
    <row r="114" spans="3:5" ht="12.9" customHeight="1">
      <c r="C114" s="991"/>
      <c r="D114" s="991"/>
      <c r="E114" s="999"/>
    </row>
    <row r="115" spans="3:5" ht="12.9" customHeight="1">
      <c r="C115" s="1005" t="s">
        <v>189</v>
      </c>
      <c r="D115" s="998">
        <f>SUM(D102:D114)</f>
        <v>262014505</v>
      </c>
      <c r="E115" s="999">
        <f>SUM(E102:E113)</f>
        <v>1.0010000000000001</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$262,014,505</v>
      </c>
    </row>
    <row r="137" spans="1:1" ht="12.9" customHeight="1">
      <c r="A137" s="1136"/>
    </row>
    <row r="138" spans="1:1" ht="12.9" customHeight="1"/>
    <row r="139" spans="1:1" ht="12.9" customHeight="1">
      <c r="A139" s="1006" t="s">
        <v>524</v>
      </c>
    </row>
    <row r="140" spans="1:1" ht="12.9"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C101:D101"/>
    <mergeCell ref="A136:A137"/>
    <mergeCell ref="C9:D9"/>
    <mergeCell ref="A47:A48"/>
    <mergeCell ref="A92:A93"/>
    <mergeCell ref="C100:D100"/>
  </mergeCells>
  <hyperlinks>
    <hyperlink ref="C1" location="Index!A1" display="Return to Index" xr:uid="{00000000-0004-0000-3200-000000000000}"/>
  </hyperlinks>
  <printOptions horizontalCentered="1"/>
  <pageMargins left="0.5" right="0.5" top="0.25" bottom="0.25" header="0.25" footer="0.25"/>
  <pageSetup scale="41"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ransitionEvaluation="1" transitionEntry="1">
    <tabColor indexed="13"/>
  </sheetPr>
  <dimension ref="A1:AD83"/>
  <sheetViews>
    <sheetView showGridLines="0" zoomScale="85" zoomScaleNormal="85"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3" style="277" customWidth="1"/>
    <col min="16" max="16384" width="9.109375" style="277"/>
  </cols>
  <sheetData>
    <row r="1" spans="1:15" ht="16.8" thickTop="1" thickBot="1">
      <c r="A1" s="899" t="str">
        <f>'UNTHSC1 Chts'!$A$1</f>
        <v>University of North Texas Health Science Center at Fort Worth (Public Medical)</v>
      </c>
      <c r="B1" s="754"/>
      <c r="C1" s="754"/>
      <c r="D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1007">
        <f>VLOOKUP(A1,NamesLU,2,FALSE)</f>
        <v>130</v>
      </c>
      <c r="J2" s="901"/>
      <c r="K2" s="901"/>
      <c r="L2" s="901"/>
      <c r="M2" s="901"/>
      <c r="O2" s="320"/>
    </row>
    <row r="3" spans="1:15" ht="15.75" customHeight="1">
      <c r="A3" s="900" t="str">
        <f>'Smmy Chts'!$A$3</f>
        <v>Source: FY 2022 Annual Financial Report</v>
      </c>
      <c r="B3" s="754"/>
      <c r="C3" s="754"/>
      <c r="O3" s="320"/>
    </row>
    <row r="4" spans="1:15" ht="13.5" customHeight="1">
      <c r="A4" s="279" t="s">
        <v>709</v>
      </c>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909"/>
      <c r="C6" s="427">
        <f>VLOOKUP($G$2,FTSELU,10,FALSE)</f>
        <v>2988.4</v>
      </c>
      <c r="J6" s="910"/>
      <c r="O6" s="320"/>
    </row>
    <row r="7" spans="1:15">
      <c r="B7" s="909"/>
      <c r="C7" s="909"/>
      <c r="I7" s="446" t="s">
        <v>533</v>
      </c>
      <c r="J7" s="911"/>
      <c r="O7" s="320"/>
    </row>
    <row r="8" spans="1:15">
      <c r="A8" s="912" t="s">
        <v>151</v>
      </c>
      <c r="B8" s="912"/>
      <c r="C8" s="913"/>
      <c r="I8" s="914">
        <f>VLOOKUP($G$2,FTSELU,11,FALSE)</f>
        <v>309.99</v>
      </c>
      <c r="J8" s="910"/>
      <c r="O8" s="320"/>
    </row>
    <row r="9" spans="1:15" ht="12.75" customHeight="1" thickBot="1">
      <c r="A9" s="279" t="s">
        <v>152</v>
      </c>
      <c r="B9" s="915"/>
      <c r="C9" s="982"/>
      <c r="J9" s="910"/>
      <c r="O9" s="320"/>
    </row>
    <row r="10" spans="1:15" ht="12.75" customHeight="1" thickTop="1">
      <c r="A10" s="277" t="s">
        <v>535</v>
      </c>
      <c r="B10" s="501">
        <f>'UNTHSC1 FGD'!M10</f>
        <v>112276178</v>
      </c>
      <c r="C10" s="669">
        <f>ROUND(B10/$C$6,0)</f>
        <v>37571</v>
      </c>
      <c r="D10" s="492">
        <f>'UNTHSC1 FGD'!F10</f>
        <v>0</v>
      </c>
      <c r="E10" s="492"/>
      <c r="F10" s="916">
        <f>B10-(SUM(D10:E10))</f>
        <v>112276178</v>
      </c>
      <c r="G10" s="917" t="s">
        <v>101</v>
      </c>
      <c r="H10" s="918"/>
      <c r="I10" s="919" t="s">
        <v>536</v>
      </c>
      <c r="J10" s="920">
        <f>ROUND(F10/$C$6,0)</f>
        <v>37571</v>
      </c>
      <c r="O10" s="320"/>
    </row>
    <row r="11" spans="1:15" ht="12.75" customHeight="1" thickBot="1">
      <c r="A11" s="277" t="s">
        <v>134</v>
      </c>
      <c r="B11" s="669">
        <f>'UNTHSC1 FGD'!M11</f>
        <v>2092669</v>
      </c>
      <c r="C11" s="669">
        <f t="shared" ref="C11:C14" si="0">ROUND(B11/$C$6,0)</f>
        <v>700</v>
      </c>
      <c r="D11" s="921">
        <f>'UNTHSC1 FGD'!F11</f>
        <v>0</v>
      </c>
      <c r="E11" s="754"/>
      <c r="F11" s="922">
        <f t="shared" ref="F11:F14" si="1">B11-(SUM(D11:E11))</f>
        <v>2092669</v>
      </c>
      <c r="G11" s="923">
        <f>SUM(F10:F11)</f>
        <v>114368847</v>
      </c>
      <c r="H11" s="924"/>
      <c r="I11" s="925">
        <f>ROUND($G$11/$C$6,0)</f>
        <v>38271</v>
      </c>
      <c r="J11" s="926">
        <f t="shared" ref="J11:J14" si="2">ROUND(F11/$C$6,0)</f>
        <v>700</v>
      </c>
      <c r="O11" s="320"/>
    </row>
    <row r="12" spans="1:15" ht="12.75" hidden="1" customHeight="1" thickTop="1" thickBot="1">
      <c r="A12" s="277" t="s">
        <v>537</v>
      </c>
      <c r="B12" s="669"/>
      <c r="C12" s="669"/>
      <c r="D12" s="921"/>
      <c r="E12" s="754"/>
      <c r="F12" s="927"/>
      <c r="J12" s="926"/>
      <c r="O12" s="928"/>
    </row>
    <row r="13" spans="1:15" ht="12.75" customHeight="1" thickTop="1">
      <c r="A13" s="277" t="s">
        <v>468</v>
      </c>
      <c r="B13" s="669">
        <f>'UNTHSC1 FGD'!M13</f>
        <v>15125502</v>
      </c>
      <c r="C13" s="669">
        <f t="shared" si="0"/>
        <v>5061</v>
      </c>
      <c r="D13" s="921">
        <f>'UNTHSC1 FGD'!F13</f>
        <v>0</v>
      </c>
      <c r="E13" s="754"/>
      <c r="F13" s="929">
        <f t="shared" si="1"/>
        <v>15125502</v>
      </c>
      <c r="G13" s="930" t="s">
        <v>102</v>
      </c>
      <c r="H13" s="931"/>
      <c r="I13" s="417" t="s">
        <v>538</v>
      </c>
      <c r="J13" s="926">
        <f t="shared" si="2"/>
        <v>5061</v>
      </c>
      <c r="O13" s="320"/>
    </row>
    <row r="14" spans="1:15" ht="12.75" customHeight="1" thickBot="1">
      <c r="A14" s="277" t="s">
        <v>135</v>
      </c>
      <c r="B14" s="669">
        <f>'UNTHSC1 FGD'!M14</f>
        <v>0</v>
      </c>
      <c r="C14" s="669">
        <f t="shared" si="0"/>
        <v>0</v>
      </c>
      <c r="D14" s="921">
        <f>'UNTHSC1 FGD'!F14</f>
        <v>0</v>
      </c>
      <c r="E14" s="754"/>
      <c r="F14" s="927">
        <f t="shared" si="1"/>
        <v>0</v>
      </c>
      <c r="G14" s="932">
        <f>SUM(F13:F14)</f>
        <v>15125502</v>
      </c>
      <c r="H14" s="933"/>
      <c r="I14" s="934">
        <f>ROUND($G$11/$I$8,0)</f>
        <v>368944</v>
      </c>
      <c r="J14" s="935">
        <f t="shared" si="2"/>
        <v>0</v>
      </c>
      <c r="O14" s="320"/>
    </row>
    <row r="15" spans="1:15" ht="12.75" customHeight="1" thickTop="1">
      <c r="A15" s="936" t="s">
        <v>155</v>
      </c>
      <c r="B15" s="937">
        <f>SUM(B10:B14)</f>
        <v>129494349</v>
      </c>
      <c r="C15" s="1008">
        <f>SUM(C10:C14)</f>
        <v>43332</v>
      </c>
      <c r="D15" s="937">
        <f>SUM(D10:D14)</f>
        <v>0</v>
      </c>
      <c r="E15" s="937">
        <f>SUM(E10:E14)</f>
        <v>0</v>
      </c>
      <c r="F15" s="938">
        <f>SUM(F10:F14)</f>
        <v>129494349</v>
      </c>
      <c r="I15" s="345"/>
      <c r="J15" s="939">
        <f>SUM(J10:J14)</f>
        <v>43332</v>
      </c>
      <c r="O15" s="320"/>
    </row>
    <row r="16" spans="1:15">
      <c r="C16" s="669"/>
      <c r="J16" s="910"/>
      <c r="O16" s="320"/>
    </row>
    <row r="17" spans="1:15" ht="12.75" customHeight="1">
      <c r="A17" s="279" t="s">
        <v>161</v>
      </c>
      <c r="C17" s="669"/>
      <c r="J17" s="910"/>
      <c r="O17" s="320"/>
    </row>
    <row r="18" spans="1:15">
      <c r="A18" s="277" t="s">
        <v>165</v>
      </c>
      <c r="B18" s="501">
        <f>'UNTHSC1 FGD'!M29</f>
        <v>23170437</v>
      </c>
      <c r="C18" s="669">
        <f t="shared" ref="C18:C19" si="3">ROUND(B18/$C$6,0)</f>
        <v>7753</v>
      </c>
      <c r="D18" s="492">
        <f>'UNTHSC1 FGD'!$F$29</f>
        <v>0</v>
      </c>
      <c r="E18" s="492"/>
      <c r="F18" s="492">
        <f t="shared" ref="F18:F19" si="4">B18-(SUM(D18:E18))</f>
        <v>23170437</v>
      </c>
      <c r="J18" s="920">
        <f>ROUND(F18/$C$6,0)</f>
        <v>7753</v>
      </c>
      <c r="O18" s="320"/>
    </row>
    <row r="19" spans="1:15" ht="13.8" thickBot="1">
      <c r="A19" s="277" t="s">
        <v>166</v>
      </c>
      <c r="B19" s="669">
        <f>'UNTHSC1 FGD'!M42</f>
        <v>11307375</v>
      </c>
      <c r="C19" s="669">
        <f t="shared" si="3"/>
        <v>3784</v>
      </c>
      <c r="D19" s="754">
        <f>'UNTHSC1 FGD'!$F$42</f>
        <v>0</v>
      </c>
      <c r="E19" s="754"/>
      <c r="F19" s="754">
        <f t="shared" si="4"/>
        <v>11307375</v>
      </c>
      <c r="J19" s="926">
        <f>ROUND(F19/$C$6,0)</f>
        <v>3784</v>
      </c>
      <c r="O19" s="320"/>
    </row>
    <row r="20" spans="1:15" ht="14.4" thickTop="1" thickBot="1">
      <c r="A20" s="936" t="s">
        <v>167</v>
      </c>
      <c r="B20" s="937">
        <f>SUM(B18:B19)</f>
        <v>34477812</v>
      </c>
      <c r="C20" s="1008">
        <f>SUM(C18:C19)</f>
        <v>11537</v>
      </c>
      <c r="D20" s="798">
        <f>SUM(D18:D19)</f>
        <v>0</v>
      </c>
      <c r="E20" s="940">
        <f>SUM(E18:E19)</f>
        <v>0</v>
      </c>
      <c r="F20" s="941">
        <f>SUM(F18:F19)</f>
        <v>34477812</v>
      </c>
      <c r="G20" s="942" t="s">
        <v>539</v>
      </c>
      <c r="H20" s="943"/>
      <c r="J20" s="944">
        <f>SUM(J18:J19)</f>
        <v>11537</v>
      </c>
      <c r="O20" s="320"/>
    </row>
    <row r="21" spans="1:15" ht="12.75" customHeight="1" thickTop="1">
      <c r="C21" s="669"/>
      <c r="F21" s="945"/>
      <c r="J21" s="910"/>
      <c r="O21" s="320"/>
    </row>
    <row r="22" spans="1:15" ht="14.25" customHeight="1" thickBot="1">
      <c r="A22" s="279" t="s">
        <v>162</v>
      </c>
      <c r="C22" s="669"/>
      <c r="J22" s="910"/>
      <c r="O22" s="320"/>
    </row>
    <row r="23" spans="1:15" ht="14.4" thickTop="1" thickBot="1">
      <c r="A23" s="936" t="s">
        <v>168</v>
      </c>
      <c r="B23" s="937">
        <f>'UNTHSC1 FGD'!M47</f>
        <v>55261728</v>
      </c>
      <c r="C23" s="937"/>
      <c r="D23" s="798">
        <f>'UNTHSC1 FGD'!F47</f>
        <v>0</v>
      </c>
      <c r="E23" s="940"/>
      <c r="F23" s="941">
        <f>B23-(SUM(D23:E23))</f>
        <v>55261728</v>
      </c>
      <c r="G23" s="946" t="s">
        <v>540</v>
      </c>
      <c r="H23" s="943"/>
      <c r="J23" s="947">
        <f>ROUND(F23/$C$6,0)</f>
        <v>18492</v>
      </c>
      <c r="O23" s="320"/>
    </row>
    <row r="24" spans="1:15" ht="13.8" thickTop="1">
      <c r="C24" s="277"/>
      <c r="J24" s="910"/>
      <c r="O24" s="320"/>
    </row>
    <row r="25" spans="1:15">
      <c r="A25" s="279" t="s">
        <v>163</v>
      </c>
      <c r="C25" s="277"/>
      <c r="D25" s="754"/>
      <c r="J25" s="910"/>
      <c r="O25" s="320"/>
    </row>
    <row r="26" spans="1:15">
      <c r="A26" s="936" t="s">
        <v>200</v>
      </c>
      <c r="B26" s="937">
        <f>'UNTHSC1 FGD'!M50</f>
        <v>12885666</v>
      </c>
      <c r="C26" s="937"/>
      <c r="D26" s="937">
        <f>'UNTHSC1 FGD'!F50</f>
        <v>0</v>
      </c>
      <c r="E26" s="937">
        <f>B26-D26</f>
        <v>12885666</v>
      </c>
      <c r="F26" s="937">
        <f t="shared" ref="F26" si="5">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'UNTHSC1 FGD'!M53</f>
        <v>0</v>
      </c>
      <c r="C29" s="937"/>
      <c r="D29" s="937">
        <f>'UNTHSC1 FGD'!F53</f>
        <v>0</v>
      </c>
      <c r="E29" s="937">
        <f>B29-D29</f>
        <v>0</v>
      </c>
      <c r="F29" s="937">
        <f t="shared" ref="F29" si="6">B29-(SUM(D29:E29))</f>
        <v>0</v>
      </c>
      <c r="J29" s="926"/>
      <c r="O29" s="320"/>
    </row>
    <row r="30" spans="1:15">
      <c r="C30" s="277"/>
      <c r="E30" s="754"/>
      <c r="F30" s="754"/>
      <c r="J30" s="926"/>
      <c r="O30" s="320"/>
    </row>
    <row r="31" spans="1:15" ht="12" customHeight="1">
      <c r="A31" s="279" t="s">
        <v>171</v>
      </c>
      <c r="C31" s="277"/>
      <c r="E31" s="754"/>
      <c r="F31" s="754"/>
      <c r="G31" s="400"/>
      <c r="H31" s="400"/>
      <c r="I31" s="400"/>
      <c r="J31" s="926"/>
      <c r="O31" s="320"/>
    </row>
    <row r="32" spans="1:15">
      <c r="A32" s="277" t="s">
        <v>172</v>
      </c>
      <c r="B32" s="501">
        <f>'UNTHSC1 FGD'!M56</f>
        <v>16617179</v>
      </c>
      <c r="C32" s="501"/>
      <c r="D32" s="492">
        <f>'UNTHSC1 FGD'!F56</f>
        <v>0</v>
      </c>
      <c r="E32" s="492"/>
      <c r="F32" s="492">
        <f t="shared" ref="F32:F37" si="7">B32-(SUM(D32:E32))</f>
        <v>16617179</v>
      </c>
      <c r="J32" s="920">
        <f>ROUND(F32/$C$6,0)</f>
        <v>5561</v>
      </c>
      <c r="O32" s="320"/>
    </row>
    <row r="33" spans="1:30">
      <c r="A33" s="277" t="s">
        <v>173</v>
      </c>
      <c r="B33" s="669">
        <f>'UNTHSC1 FGD'!M57</f>
        <v>1046856</v>
      </c>
      <c r="C33" s="669"/>
      <c r="D33" s="921">
        <f>'UNTHSC1 FGD'!F57</f>
        <v>0</v>
      </c>
      <c r="E33" s="754"/>
      <c r="F33" s="754">
        <f t="shared" si="7"/>
        <v>1046856</v>
      </c>
      <c r="J33" s="926">
        <f t="shared" ref="J33:J37" si="8">ROUND(F33/$C$6,0)</f>
        <v>350</v>
      </c>
      <c r="O33" s="320"/>
    </row>
    <row r="34" spans="1:30" ht="13.8" thickBot="1">
      <c r="A34" s="277" t="s">
        <v>174</v>
      </c>
      <c r="B34" s="669">
        <f>'UNTHSC1 FGD'!M58</f>
        <v>3951843</v>
      </c>
      <c r="C34" s="669"/>
      <c r="D34" s="921">
        <f>'UNTHSC1 FGD'!F58</f>
        <v>0</v>
      </c>
      <c r="E34" s="754"/>
      <c r="F34" s="754">
        <f t="shared" si="7"/>
        <v>3951843</v>
      </c>
      <c r="J34" s="926">
        <f t="shared" si="8"/>
        <v>1322</v>
      </c>
      <c r="O34" s="320"/>
    </row>
    <row r="35" spans="1:30" ht="13.8" thickBot="1">
      <c r="A35" s="277" t="s">
        <v>175</v>
      </c>
      <c r="B35" s="669">
        <f>'UNTHSC1 FGD'!M59</f>
        <v>52490499</v>
      </c>
      <c r="C35" s="669"/>
      <c r="D35" s="921">
        <f>'UNTHSC1 FGD'!F59</f>
        <v>0</v>
      </c>
      <c r="E35" s="754"/>
      <c r="F35" s="754">
        <f t="shared" si="7"/>
        <v>52490499</v>
      </c>
      <c r="J35" s="926">
        <f t="shared" si="8"/>
        <v>17565</v>
      </c>
      <c r="K35" s="1157"/>
      <c r="L35" s="1140"/>
      <c r="M35" s="1140"/>
      <c r="N35" s="1140"/>
      <c r="O35" s="1141"/>
    </row>
    <row r="36" spans="1:30" ht="13.8" thickBot="1">
      <c r="A36" s="277" t="s">
        <v>471</v>
      </c>
      <c r="B36" s="669">
        <f>'UNTHSC1 FGD'!M60</f>
        <v>695653</v>
      </c>
      <c r="C36" s="669"/>
      <c r="D36" s="921">
        <f>'UNTHSC1 FGD'!F60</f>
        <v>695653</v>
      </c>
      <c r="E36" s="754"/>
      <c r="F36" s="754">
        <f t="shared" si="7"/>
        <v>0</v>
      </c>
      <c r="J36" s="926">
        <f t="shared" si="8"/>
        <v>0</v>
      </c>
      <c r="K36" s="1157" t="s">
        <v>268</v>
      </c>
      <c r="L36" s="1140"/>
      <c r="M36" s="1140"/>
      <c r="N36" s="1140"/>
      <c r="O36" s="1141"/>
    </row>
    <row r="37" spans="1:30" ht="13.5" customHeight="1" thickBot="1">
      <c r="A37" s="538" t="s">
        <v>177</v>
      </c>
      <c r="B37" s="669">
        <f>'UNTHSC1 FGD'!M61</f>
        <v>6123295</v>
      </c>
      <c r="C37" s="669"/>
      <c r="D37" s="921">
        <f>'UNTHSC1 FGD'!F61</f>
        <v>0</v>
      </c>
      <c r="E37" s="754"/>
      <c r="F37" s="754">
        <f t="shared" si="7"/>
        <v>6123295</v>
      </c>
      <c r="G37" s="400"/>
      <c r="H37" s="400"/>
      <c r="I37" s="400"/>
      <c r="J37" s="926">
        <f t="shared" si="8"/>
        <v>2049</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80925325</v>
      </c>
      <c r="C38" s="937"/>
      <c r="D38" s="949">
        <f>SUM(D32:D37)</f>
        <v>695653</v>
      </c>
      <c r="E38" s="949">
        <f>SUM(E32:E37)</f>
        <v>0</v>
      </c>
      <c r="F38" s="950">
        <f>SUM(F32:F37)</f>
        <v>80229672</v>
      </c>
      <c r="G38" s="1154" t="s">
        <v>171</v>
      </c>
      <c r="H38" s="1155"/>
      <c r="I38" s="951" t="s">
        <v>542</v>
      </c>
      <c r="J38" s="952">
        <f>SUM(J32:J37)</f>
        <v>26847</v>
      </c>
      <c r="K38" s="1159"/>
      <c r="L38" s="1159"/>
      <c r="M38" s="1159"/>
      <c r="N38" s="1159" t="s">
        <v>543</v>
      </c>
      <c r="O38" s="1159" t="s">
        <v>280</v>
      </c>
    </row>
    <row r="39" spans="1:30" ht="13.8" thickTop="1">
      <c r="A39" s="953" t="s">
        <v>201</v>
      </c>
      <c r="B39" s="954">
        <f>B15+B20+B23+B26+B29+B38</f>
        <v>313044880</v>
      </c>
      <c r="C39" s="955"/>
      <c r="D39" s="954">
        <f>D15+D20+D23+D26+D29+D38</f>
        <v>695653</v>
      </c>
      <c r="E39" s="954">
        <f>E15+E20+E23+E26+E29+E38</f>
        <v>12885666</v>
      </c>
      <c r="F39" s="956">
        <f>F38+F23+F20+F15</f>
        <v>299463561</v>
      </c>
      <c r="G39" s="1156" t="s">
        <v>271</v>
      </c>
      <c r="H39" s="1156"/>
      <c r="I39" s="957">
        <f>ROUND($G$41/$C$6,0)</f>
        <v>95147</v>
      </c>
      <c r="J39" s="958">
        <f>J15+J20+J23+J38</f>
        <v>100208</v>
      </c>
      <c r="K39" s="1159"/>
      <c r="L39" s="1159"/>
      <c r="M39" s="1159"/>
      <c r="N39" s="1159"/>
      <c r="O39" s="1159"/>
    </row>
    <row r="40" spans="1:30" ht="13.8" thickBot="1">
      <c r="C40" s="277"/>
      <c r="F40" s="320" t="s">
        <v>544</v>
      </c>
      <c r="G40" s="959">
        <f>G14*-1</f>
        <v>-15125502</v>
      </c>
      <c r="I40" s="951" t="s">
        <v>545</v>
      </c>
      <c r="J40" s="960"/>
      <c r="K40" s="1160"/>
      <c r="L40" s="1160"/>
      <c r="M40" s="1160"/>
      <c r="N40" s="1160"/>
      <c r="O40" s="1160"/>
    </row>
    <row r="41" spans="1:30" ht="14.4" thickTop="1" thickBot="1">
      <c r="A41" s="912" t="s">
        <v>178</v>
      </c>
      <c r="B41" s="912"/>
      <c r="C41" s="912"/>
      <c r="D41" s="344"/>
      <c r="E41" s="344"/>
      <c r="F41" s="961" t="s">
        <v>546</v>
      </c>
      <c r="G41" s="962">
        <f>F39+G40</f>
        <v>284338059</v>
      </c>
      <c r="I41" s="963">
        <f>ROUND($G$41/$I$8,0)</f>
        <v>917249</v>
      </c>
      <c r="K41" s="964"/>
      <c r="L41" s="964"/>
      <c r="M41" s="964"/>
      <c r="N41" s="964"/>
      <c r="O41" s="964"/>
    </row>
    <row r="42" spans="1:30" ht="13.8" thickTop="1">
      <c r="A42" s="490" t="s">
        <v>92</v>
      </c>
      <c r="B42" s="501">
        <f>'UNTHSC1 FGD'!M65</f>
        <v>79538736</v>
      </c>
      <c r="C42" s="501">
        <f t="shared" ref="C42:C52" si="9">ROUND(B42/$C$6,0)</f>
        <v>26616</v>
      </c>
      <c r="D42" s="492">
        <f>'UNTHSC1 FGD'!F65</f>
        <v>0</v>
      </c>
      <c r="E42" s="492"/>
      <c r="F42" s="492">
        <f t="shared" ref="F42" si="10">B42-(SUM(D42:E42))</f>
        <v>79538736</v>
      </c>
      <c r="H42" s="965" t="s">
        <v>547</v>
      </c>
      <c r="I42" s="966">
        <f>ROUND(F42/$C$6,0)</f>
        <v>26616</v>
      </c>
      <c r="J42" s="320" t="s">
        <v>548</v>
      </c>
      <c r="K42" s="492">
        <f>F42</f>
        <v>79538736</v>
      </c>
      <c r="L42" s="492">
        <f>K42</f>
        <v>79538736</v>
      </c>
      <c r="M42" s="492"/>
      <c r="N42" s="492"/>
      <c r="O42" s="492"/>
    </row>
    <row r="43" spans="1:30">
      <c r="A43" s="490" t="s">
        <v>179</v>
      </c>
      <c r="B43" s="669">
        <f>'UNTHSC1 FGD'!M66</f>
        <v>46416280</v>
      </c>
      <c r="C43" s="669">
        <f t="shared" si="9"/>
        <v>15532</v>
      </c>
      <c r="D43" s="723">
        <f>'UNTHSC1 FGD'!F66</f>
        <v>0</v>
      </c>
      <c r="E43" s="754"/>
      <c r="F43" s="754">
        <f t="shared" ref="F43:F44" si="11">B43-(SUM(D43:E43))</f>
        <v>46416280</v>
      </c>
      <c r="J43" s="320" t="s">
        <v>549</v>
      </c>
      <c r="K43" s="723">
        <f>F43</f>
        <v>46416280</v>
      </c>
      <c r="L43" s="723">
        <f>K43</f>
        <v>46416280</v>
      </c>
      <c r="M43" s="723"/>
      <c r="N43" s="723"/>
      <c r="O43" s="723"/>
    </row>
    <row r="44" spans="1:30">
      <c r="A44" s="490" t="s">
        <v>180</v>
      </c>
      <c r="B44" s="669">
        <f>'UNTHSC1 FGD'!M67</f>
        <v>46516667</v>
      </c>
      <c r="C44" s="669"/>
      <c r="D44" s="723">
        <f>'UNTHSC1 FGD'!F67</f>
        <v>0</v>
      </c>
      <c r="E44" s="921">
        <f>B44-D44</f>
        <v>46516667</v>
      </c>
      <c r="F44" s="754">
        <f t="shared" si="11"/>
        <v>0</v>
      </c>
      <c r="J44" s="320" t="s">
        <v>550</v>
      </c>
      <c r="K44" s="967"/>
      <c r="L44" s="769"/>
      <c r="M44" s="769" t="s">
        <v>551</v>
      </c>
      <c r="N44" s="769"/>
      <c r="O44" s="968"/>
    </row>
    <row r="45" spans="1:30">
      <c r="A45" s="300" t="s">
        <v>164</v>
      </c>
      <c r="B45" s="669">
        <f>'UNTHSC1 FGD'!M68</f>
        <v>0</v>
      </c>
      <c r="C45" s="669"/>
      <c r="D45" s="723">
        <f>'UNTHSC1 FGD'!F68</f>
        <v>0</v>
      </c>
      <c r="E45" s="921">
        <f>B45-D45</f>
        <v>0</v>
      </c>
      <c r="F45" s="754">
        <f t="shared" ref="F45" si="12">B45-(SUM(D45:E45))</f>
        <v>0</v>
      </c>
      <c r="G45" s="492"/>
      <c r="J45" s="320" t="s">
        <v>552</v>
      </c>
      <c r="K45" s="1161" t="s">
        <v>551</v>
      </c>
      <c r="L45" s="1162"/>
      <c r="M45" s="1162"/>
      <c r="N45" s="1162"/>
      <c r="O45" s="1163"/>
    </row>
    <row r="46" spans="1:30">
      <c r="A46" s="490" t="s">
        <v>181</v>
      </c>
      <c r="B46" s="669">
        <f>'UNTHSC1 FGD'!M69</f>
        <v>27409658</v>
      </c>
      <c r="C46" s="669">
        <f t="shared" si="9"/>
        <v>9172</v>
      </c>
      <c r="D46" s="723">
        <f>'UNTHSC1 FGD'!F69</f>
        <v>0</v>
      </c>
      <c r="E46" s="754"/>
      <c r="F46" s="754">
        <f t="shared" ref="F46:F53" si="13">B46-(SUM(D46:E46))</f>
        <v>27409658</v>
      </c>
      <c r="H46" s="965" t="s">
        <v>553</v>
      </c>
      <c r="I46" s="966">
        <f>ROUND(F46/$C$6,0)</f>
        <v>9172</v>
      </c>
      <c r="J46" s="320" t="s">
        <v>554</v>
      </c>
      <c r="K46" s="723">
        <f t="shared" ref="K46:K50" si="14">F46</f>
        <v>27409658</v>
      </c>
      <c r="L46" s="723">
        <f>K46</f>
        <v>27409658</v>
      </c>
      <c r="M46" s="723"/>
      <c r="N46" s="723"/>
      <c r="O46" s="723"/>
    </row>
    <row r="47" spans="1:30">
      <c r="A47" s="490" t="s">
        <v>182</v>
      </c>
      <c r="B47" s="669">
        <f>'UNTHSC1 FGD'!M70</f>
        <v>8018588</v>
      </c>
      <c r="C47" s="669">
        <f t="shared" si="9"/>
        <v>2683</v>
      </c>
      <c r="D47" s="723">
        <f>'UNTHSC1 FGD'!F70</f>
        <v>0</v>
      </c>
      <c r="E47" s="754"/>
      <c r="F47" s="754">
        <f t="shared" si="13"/>
        <v>8018588</v>
      </c>
      <c r="J47" s="320" t="s">
        <v>555</v>
      </c>
      <c r="K47" s="723">
        <f t="shared" si="14"/>
        <v>8018588</v>
      </c>
      <c r="L47" s="723"/>
      <c r="M47" s="723">
        <f>K47</f>
        <v>8018588</v>
      </c>
      <c r="N47" s="723"/>
      <c r="O47" s="723"/>
    </row>
    <row r="48" spans="1:30">
      <c r="A48" s="490" t="s">
        <v>183</v>
      </c>
      <c r="B48" s="669">
        <f>'UNTHSC1 FGD'!M71</f>
        <v>21860807</v>
      </c>
      <c r="C48" s="669">
        <f t="shared" si="9"/>
        <v>7315</v>
      </c>
      <c r="D48" s="723">
        <f>'UNTHSC1 FGD'!F71</f>
        <v>0</v>
      </c>
      <c r="E48" s="754"/>
      <c r="F48" s="754">
        <f t="shared" si="13"/>
        <v>21860807</v>
      </c>
      <c r="H48" s="965" t="s">
        <v>556</v>
      </c>
      <c r="I48" s="966">
        <f>ROUND(F48/$C$6,0)</f>
        <v>7315</v>
      </c>
      <c r="J48" s="320" t="s">
        <v>557</v>
      </c>
      <c r="K48" s="723">
        <f t="shared" si="14"/>
        <v>21860807</v>
      </c>
      <c r="L48" s="723"/>
      <c r="M48" s="723"/>
      <c r="N48" s="723">
        <f>K48</f>
        <v>21860807</v>
      </c>
      <c r="O48" s="723"/>
    </row>
    <row r="49" spans="1:30">
      <c r="A49" s="490" t="s">
        <v>184</v>
      </c>
      <c r="B49" s="669">
        <f>'UNTHSC1 FGD'!M72</f>
        <v>17048260</v>
      </c>
      <c r="C49" s="669"/>
      <c r="D49" s="723">
        <f>'UNTHSC1 FGD'!F72</f>
        <v>0</v>
      </c>
      <c r="E49" s="754"/>
      <c r="F49" s="754">
        <f t="shared" si="13"/>
        <v>17048260</v>
      </c>
      <c r="J49" s="320" t="s">
        <v>558</v>
      </c>
      <c r="K49" s="723">
        <f t="shared" si="14"/>
        <v>17048260</v>
      </c>
      <c r="L49" s="723"/>
      <c r="M49" s="723"/>
      <c r="N49" s="723">
        <f>K49</f>
        <v>17048260</v>
      </c>
      <c r="O49" s="723"/>
    </row>
    <row r="50" spans="1:30">
      <c r="A50" s="490" t="s">
        <v>185</v>
      </c>
      <c r="B50" s="669">
        <f>'UNTHSC1 FGD'!M73</f>
        <v>2612265</v>
      </c>
      <c r="C50" s="669">
        <f t="shared" si="9"/>
        <v>874</v>
      </c>
      <c r="D50" s="723">
        <f>'UNTHSC1 FGD'!F73</f>
        <v>0</v>
      </c>
      <c r="E50" s="754"/>
      <c r="F50" s="754">
        <f t="shared" si="13"/>
        <v>2612265</v>
      </c>
      <c r="J50" s="320" t="s">
        <v>559</v>
      </c>
      <c r="K50" s="723">
        <f t="shared" si="14"/>
        <v>2612265</v>
      </c>
      <c r="L50" s="723"/>
      <c r="M50" s="723">
        <f>K50</f>
        <v>2612265</v>
      </c>
      <c r="N50" s="723"/>
      <c r="O50" s="723"/>
    </row>
    <row r="51" spans="1:30">
      <c r="A51" s="490" t="s">
        <v>472</v>
      </c>
      <c r="B51" s="669">
        <f>'UNTHSC1 FGD'!M74</f>
        <v>177508</v>
      </c>
      <c r="C51" s="669"/>
      <c r="D51" s="969">
        <f>B51</f>
        <v>177508</v>
      </c>
      <c r="E51" s="754"/>
      <c r="F51" s="754">
        <f t="shared" si="13"/>
        <v>0</v>
      </c>
      <c r="J51" s="320" t="s">
        <v>560</v>
      </c>
      <c r="K51" s="967"/>
      <c r="L51" s="769"/>
      <c r="M51" s="769" t="s">
        <v>551</v>
      </c>
      <c r="N51" s="769"/>
      <c r="O51" s="968"/>
    </row>
    <row r="52" spans="1:30">
      <c r="A52" s="490" t="s">
        <v>187</v>
      </c>
      <c r="B52" s="669">
        <f>'UNTHSC1 FGD'!M75</f>
        <v>11895376</v>
      </c>
      <c r="C52" s="669">
        <f t="shared" si="9"/>
        <v>3981</v>
      </c>
      <c r="D52" s="723">
        <f>'UNTHSC1 FGD'!F75</f>
        <v>14600</v>
      </c>
      <c r="E52" s="754"/>
      <c r="F52" s="754">
        <f t="shared" si="13"/>
        <v>11880776</v>
      </c>
      <c r="J52" s="320" t="s">
        <v>561</v>
      </c>
      <c r="K52" s="723">
        <f t="shared" ref="K52:K53" si="15">F52</f>
        <v>11880776</v>
      </c>
      <c r="L52" s="723"/>
      <c r="M52" s="723"/>
      <c r="N52" s="723"/>
      <c r="O52" s="723">
        <f>K52</f>
        <v>11880776</v>
      </c>
    </row>
    <row r="53" spans="1:30" ht="13.8" thickBot="1">
      <c r="A53" s="277" t="s">
        <v>1713</v>
      </c>
      <c r="B53" s="669">
        <f>'UNTHSC1 FGD'!M76</f>
        <v>520360</v>
      </c>
      <c r="C53" s="669"/>
      <c r="D53" s="723">
        <f>'UNTHSC1 FGD'!F76</f>
        <v>0</v>
      </c>
      <c r="E53" s="754"/>
      <c r="F53" s="754">
        <f t="shared" si="13"/>
        <v>520360</v>
      </c>
      <c r="G53" s="400"/>
      <c r="H53" s="965" t="s">
        <v>562</v>
      </c>
      <c r="I53" s="966">
        <f>ROUND(SUM(F43+F47+F49+F50+F52+F53)/$C$6,0)</f>
        <v>28944</v>
      </c>
      <c r="J53" s="400" t="s">
        <v>280</v>
      </c>
      <c r="K53" s="723">
        <f t="shared" si="15"/>
        <v>520360</v>
      </c>
      <c r="L53" s="970"/>
      <c r="M53" s="970"/>
      <c r="N53" s="970"/>
      <c r="O53" s="723">
        <f>K53</f>
        <v>520360</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262014505</v>
      </c>
      <c r="C54" s="972">
        <f>SUM(C42:C53)</f>
        <v>66173</v>
      </c>
      <c r="D54" s="972">
        <f>SUM(D42:D53)</f>
        <v>192108</v>
      </c>
      <c r="E54" s="973">
        <f>SUM(E43:E53)</f>
        <v>46516667</v>
      </c>
      <c r="F54" s="974">
        <f>SUM(F42:F53)</f>
        <v>215305730</v>
      </c>
      <c r="G54" s="1174" t="s">
        <v>563</v>
      </c>
      <c r="H54" s="1175"/>
      <c r="I54" s="975" t="s">
        <v>623</v>
      </c>
      <c r="J54" s="400" t="s">
        <v>564</v>
      </c>
      <c r="K54" s="976">
        <f>SUM(K42:K53)</f>
        <v>215305730</v>
      </c>
      <c r="L54" s="976">
        <f t="shared" ref="L54:O54" si="16">SUM(L42:L53)</f>
        <v>153364674</v>
      </c>
      <c r="M54" s="976">
        <f t="shared" si="16"/>
        <v>10630853</v>
      </c>
      <c r="N54" s="976">
        <f t="shared" si="16"/>
        <v>38909067</v>
      </c>
      <c r="O54" s="976">
        <f t="shared" si="16"/>
        <v>12401136</v>
      </c>
    </row>
    <row r="55" spans="1:30" ht="14.25" customHeight="1" thickTop="1" thickBot="1">
      <c r="C55" s="277"/>
      <c r="F55" s="931"/>
      <c r="G55" s="1176"/>
      <c r="H55" s="1177"/>
      <c r="I55" s="977">
        <f>ROUND(F54/C6,0)</f>
        <v>72047</v>
      </c>
      <c r="J55" s="1153" t="s">
        <v>565</v>
      </c>
      <c r="K55" s="970"/>
      <c r="L55" s="970"/>
      <c r="M55" s="970"/>
      <c r="N55" s="970"/>
      <c r="O55" s="970"/>
    </row>
    <row r="56" spans="1:30" ht="16.5" customHeight="1" thickBot="1">
      <c r="A56" s="279" t="s">
        <v>473</v>
      </c>
      <c r="C56" s="277"/>
      <c r="F56" s="978"/>
      <c r="G56" s="1178"/>
      <c r="H56" s="1179"/>
      <c r="I56" s="951" t="s">
        <v>624</v>
      </c>
      <c r="J56" s="1153"/>
      <c r="K56" s="979">
        <f>ROUND(K54/$C$6,2)</f>
        <v>72047.16</v>
      </c>
      <c r="L56" s="979">
        <f t="shared" ref="L56:O56" si="17">ROUND(L54/$C$6,2)</f>
        <v>51320</v>
      </c>
      <c r="M56" s="979">
        <f t="shared" si="17"/>
        <v>3557.37</v>
      </c>
      <c r="N56" s="979">
        <f t="shared" si="17"/>
        <v>13020.03</v>
      </c>
      <c r="O56" s="979">
        <f t="shared" si="17"/>
        <v>4149.76</v>
      </c>
      <c r="P56" s="333"/>
      <c r="Q56" s="333"/>
      <c r="R56" s="333"/>
      <c r="S56" s="333"/>
      <c r="T56" s="333"/>
      <c r="U56" s="333"/>
      <c r="V56" s="333"/>
      <c r="W56" s="333"/>
      <c r="X56" s="333"/>
      <c r="Y56" s="333"/>
      <c r="Z56" s="333"/>
      <c r="AA56" s="333"/>
      <c r="AB56" s="333"/>
      <c r="AC56" s="333"/>
      <c r="AD56" s="333"/>
    </row>
    <row r="57" spans="1:30" ht="13.8" thickTop="1">
      <c r="A57" s="277" t="s">
        <v>474</v>
      </c>
      <c r="B57" s="669">
        <f>'UNTHSC1 FGD'!M80</f>
        <v>-14506248</v>
      </c>
      <c r="C57" s="669"/>
      <c r="D57" s="492">
        <f>'UNTHSC1 FGD'!F80</f>
        <v>0</v>
      </c>
      <c r="E57" s="492"/>
      <c r="F57" s="980">
        <f t="shared" ref="F57:F60" si="18">B57-(SUM(D57:E57))</f>
        <v>-14506248</v>
      </c>
      <c r="G57" s="930"/>
      <c r="I57" s="981">
        <f>ROUND($F$54/$I$8,0)</f>
        <v>694557</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'UNTHSC1 FGD'!M81</f>
        <v>-19510962</v>
      </c>
      <c r="C58" s="669"/>
      <c r="D58" s="982">
        <f>'UNTHSC1 FGD'!F81</f>
        <v>-173040</v>
      </c>
      <c r="E58" s="915"/>
      <c r="F58" s="754">
        <f t="shared" si="18"/>
        <v>-19337922</v>
      </c>
      <c r="K58" s="980"/>
      <c r="L58" s="980"/>
      <c r="M58" s="980"/>
      <c r="N58" s="980"/>
      <c r="O58" s="980"/>
    </row>
    <row r="59" spans="1:30">
      <c r="A59" s="983" t="s">
        <v>567</v>
      </c>
      <c r="B59" s="669">
        <f>'UNTHSC1 FGD'!M82</f>
        <v>0</v>
      </c>
      <c r="C59" s="669"/>
      <c r="D59" s="982">
        <f>'UNTHSC1 FGD'!F82</f>
        <v>0</v>
      </c>
      <c r="E59" s="915"/>
      <c r="F59" s="754">
        <f t="shared" si="18"/>
        <v>0</v>
      </c>
      <c r="G59" s="400"/>
      <c r="J59" s="400"/>
      <c r="K59" s="400"/>
      <c r="L59" s="400"/>
      <c r="M59" s="400"/>
      <c r="N59" s="400"/>
      <c r="O59" s="400"/>
    </row>
    <row r="60" spans="1:30" ht="12" customHeight="1">
      <c r="A60" s="277" t="s">
        <v>477</v>
      </c>
      <c r="B60" s="669">
        <f>'UNTHSC1 FGD'!M83</f>
        <v>-866</v>
      </c>
      <c r="C60" s="669"/>
      <c r="D60" s="982">
        <f>'UNTHSC1 FGD'!F83</f>
        <v>0</v>
      </c>
      <c r="E60" s="915"/>
      <c r="F60" s="754">
        <f t="shared" si="18"/>
        <v>-866</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-34018076</v>
      </c>
      <c r="C61" s="937"/>
      <c r="D61" s="937">
        <f>SUM(D57:D60)</f>
        <v>-173040</v>
      </c>
      <c r="E61" s="937">
        <f>SUM(E57:E60)</f>
        <v>0</v>
      </c>
      <c r="F61" s="984">
        <f>SUM(F57:F60)</f>
        <v>-33845036</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'UNTHSC1 FGD'!M87</f>
        <v>-33979933</v>
      </c>
      <c r="C64" s="669"/>
      <c r="D64" s="492">
        <f>'UNTHSC1 FGD'!F87</f>
        <v>0</v>
      </c>
      <c r="E64" s="492"/>
      <c r="F64" s="492">
        <f t="shared" ref="F64:F65" si="19">B64-(SUM(D64:E64))</f>
        <v>-33979933</v>
      </c>
      <c r="O64" s="320"/>
    </row>
    <row r="65" spans="1:30">
      <c r="A65" s="277" t="s">
        <v>480</v>
      </c>
      <c r="B65" s="669">
        <f>'UNTHSC1 FGD'!M88</f>
        <v>0</v>
      </c>
      <c r="C65" s="669"/>
      <c r="D65" s="982">
        <f>'UNTHSC1 FGD'!F88</f>
        <v>0</v>
      </c>
      <c r="E65" s="915"/>
      <c r="F65" s="754">
        <f t="shared" si="19"/>
        <v>0</v>
      </c>
      <c r="O65" s="320"/>
      <c r="P65" s="333"/>
      <c r="Q65" s="333"/>
      <c r="R65" s="333"/>
      <c r="S65" s="333"/>
      <c r="T65" s="333"/>
      <c r="U65" s="333"/>
      <c r="V65" s="333"/>
      <c r="W65" s="333"/>
      <c r="X65" s="333"/>
      <c r="Y65" s="333"/>
      <c r="Z65" s="333"/>
      <c r="AA65" s="333"/>
      <c r="AB65" s="333"/>
      <c r="AC65" s="333"/>
      <c r="AD65" s="333"/>
    </row>
    <row r="66" spans="1:30">
      <c r="A66" s="936" t="s">
        <v>155</v>
      </c>
      <c r="B66" s="937">
        <f>SUM(B64:B65)</f>
        <v>-33979933</v>
      </c>
      <c r="C66" s="937"/>
      <c r="D66" s="937">
        <f>SUM(D64:D65)</f>
        <v>0</v>
      </c>
      <c r="E66" s="937">
        <f>SUM(E64:E65)</f>
        <v>0</v>
      </c>
      <c r="F66" s="937">
        <f>SUM(F64:F65)</f>
        <v>-33979933</v>
      </c>
      <c r="O66" s="320"/>
    </row>
    <row r="67" spans="1:30">
      <c r="C67" s="277"/>
      <c r="O67" s="320"/>
    </row>
    <row r="68" spans="1:30" ht="13.8" thickBot="1">
      <c r="A68" s="985" t="s">
        <v>572</v>
      </c>
      <c r="B68" s="590">
        <f>B39-B54+B61+B66</f>
        <v>-16967634</v>
      </c>
      <c r="C68" s="590"/>
      <c r="D68" s="590">
        <f>D39-D54+D61+D66</f>
        <v>330505</v>
      </c>
      <c r="E68" s="590">
        <f>E39-E54+E61+E66</f>
        <v>-33631001</v>
      </c>
      <c r="F68" s="590">
        <f>F39-F54+F61+F66</f>
        <v>16332862</v>
      </c>
      <c r="O68" s="320"/>
    </row>
    <row r="69" spans="1:30" ht="13.8" thickTop="1">
      <c r="C69" s="723"/>
    </row>
    <row r="70" spans="1:30">
      <c r="A70" s="320" t="s">
        <v>573</v>
      </c>
      <c r="C70" s="723"/>
      <c r="D70" s="492"/>
    </row>
    <row r="71" spans="1:30">
      <c r="A71" s="277" t="s">
        <v>7</v>
      </c>
      <c r="C71" s="723"/>
    </row>
    <row r="72" spans="1:30">
      <c r="B72" s="986">
        <f>'UNTHSC1 FGD'!$M$91</f>
        <v>-16967634</v>
      </c>
      <c r="C72" s="277"/>
      <c r="D72" s="986">
        <f>'UNTHSC1 FGD'!F91</f>
        <v>330505</v>
      </c>
      <c r="E72" s="986">
        <f>'UNTHSC1 FGD'!M50</f>
        <v>12885666</v>
      </c>
      <c r="F72" s="277"/>
    </row>
    <row r="73" spans="1:30">
      <c r="B73" s="986"/>
      <c r="C73" s="277"/>
      <c r="D73" s="986">
        <f>'UNTHSC1 FGD'!F74</f>
        <v>177508</v>
      </c>
      <c r="E73" s="986">
        <f>'UNTHSC1 FGD'!M53</f>
        <v>0</v>
      </c>
      <c r="F73" s="986"/>
    </row>
    <row r="74" spans="1:30">
      <c r="B74" s="986"/>
      <c r="C74" s="277"/>
      <c r="D74" s="986">
        <f>-'UNTHSC1 FGD'!M74</f>
        <v>-177508</v>
      </c>
      <c r="E74" s="986">
        <f>-'UNTHSC1 FGD'!M68</f>
        <v>0</v>
      </c>
      <c r="F74" s="986"/>
    </row>
    <row r="75" spans="1:30">
      <c r="B75" s="986"/>
      <c r="C75" s="277"/>
      <c r="D75" s="986"/>
      <c r="E75" s="986">
        <f>-'UNTHSC1 FGD'!M67</f>
        <v>-46516667</v>
      </c>
      <c r="F75" s="986"/>
    </row>
    <row r="76" spans="1:30" ht="12.75" customHeight="1">
      <c r="B76" s="987"/>
      <c r="C76" s="277"/>
      <c r="D76" s="987"/>
      <c r="E76" s="987">
        <f>-D26</f>
        <v>0</v>
      </c>
      <c r="F76" s="986"/>
    </row>
    <row r="77" spans="1:30" ht="12.75" customHeight="1">
      <c r="B77" s="986">
        <f>SUM(B72:B76)</f>
        <v>-16967634</v>
      </c>
      <c r="C77" s="277"/>
      <c r="D77" s="986">
        <f>SUM(D72:D76)</f>
        <v>330505</v>
      </c>
      <c r="E77" s="986">
        <f>SUM(E72:E76)</f>
        <v>-33631001</v>
      </c>
      <c r="F77" s="986">
        <f>B77-D77-E77</f>
        <v>16332862</v>
      </c>
    </row>
    <row r="78" spans="1:30" ht="12.75" customHeight="1">
      <c r="B78" s="986"/>
      <c r="C78" s="277"/>
      <c r="D78" s="986"/>
      <c r="E78" s="986"/>
      <c r="F78" s="986"/>
    </row>
    <row r="79" spans="1:30" ht="12.75" customHeight="1">
      <c r="B79" s="987"/>
      <c r="C79" s="538"/>
      <c r="D79" s="987"/>
      <c r="E79" s="987"/>
      <c r="F79" s="987"/>
    </row>
    <row r="80" spans="1:30" ht="12.75" customHeight="1">
      <c r="B80" s="986">
        <f>SUM(B77:B79)</f>
        <v>-16967634</v>
      </c>
      <c r="C80" s="277"/>
      <c r="D80" s="986">
        <f>SUM(D77:D79)</f>
        <v>330505</v>
      </c>
      <c r="E80" s="986">
        <f>SUM(E77:E79)</f>
        <v>-33631001</v>
      </c>
      <c r="F80" s="986">
        <f>SUM(F77:F79)</f>
        <v>16332862</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33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indexed="11"/>
    <pageSetUpPr fitToPage="1"/>
  </sheetPr>
  <dimension ref="A1:AB123"/>
  <sheetViews>
    <sheetView showGridLines="0" topLeftCell="B2" zoomScale="75" zoomScaleNormal="75" workbookViewId="0">
      <pane xSplit="1" ySplit="7" topLeftCell="C9"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5.5546875" style="751" customWidth="1"/>
    <col min="13" max="13" width="17.109375" style="751" customWidth="1"/>
    <col min="14" max="14" width="5.44140625" style="751" customWidth="1"/>
    <col min="15" max="15" width="14.4414062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t="12.75" hidden="1" customHeight="1">
      <c r="A1" s="656">
        <v>0</v>
      </c>
      <c r="B1" s="656">
        <v>1</v>
      </c>
      <c r="D1" s="656">
        <v>2</v>
      </c>
      <c r="E1" s="656">
        <v>3</v>
      </c>
      <c r="F1" s="656">
        <v>4</v>
      </c>
      <c r="G1" s="656">
        <v>5</v>
      </c>
      <c r="H1" s="656">
        <v>6</v>
      </c>
      <c r="I1" s="656">
        <v>7</v>
      </c>
      <c r="J1" s="656">
        <v>8</v>
      </c>
      <c r="K1" s="656">
        <v>9</v>
      </c>
      <c r="L1" s="656">
        <v>10</v>
      </c>
      <c r="M1" s="656">
        <v>11</v>
      </c>
      <c r="N1" s="656">
        <v>12</v>
      </c>
      <c r="O1" s="322"/>
      <c r="P1" s="322"/>
      <c r="Q1" s="322"/>
      <c r="R1" s="322"/>
      <c r="S1" s="322"/>
      <c r="T1" s="322"/>
      <c r="U1" s="322"/>
      <c r="V1" s="322"/>
      <c r="W1" s="322"/>
      <c r="X1" s="322"/>
      <c r="Y1" s="322"/>
      <c r="Z1" s="322"/>
      <c r="AA1" s="322"/>
      <c r="AB1" s="322"/>
    </row>
    <row r="2" spans="1:28" ht="21">
      <c r="A2" s="656">
        <v>1</v>
      </c>
      <c r="B2" s="1168" t="str">
        <f>'UNTHSC1 Chts'!$A$1</f>
        <v>University of North Texas Health Science Center at Fort Worth (Public Medical)</v>
      </c>
      <c r="C2" s="1168"/>
      <c r="D2" s="1168"/>
      <c r="E2" s="1168"/>
      <c r="F2" s="1168"/>
      <c r="G2" s="1168"/>
      <c r="H2" s="750"/>
      <c r="I2" s="752" t="str">
        <f>IF($B$2&lt;&gt;Input!$H$13,"Name Mismatch","")</f>
        <v/>
      </c>
      <c r="K2" s="750"/>
      <c r="L2" s="750"/>
      <c r="M2" s="672"/>
      <c r="O2" s="321" t="s">
        <v>51</v>
      </c>
      <c r="P2" s="334"/>
    </row>
    <row r="3" spans="1:28">
      <c r="A3" s="656">
        <v>4</v>
      </c>
      <c r="B3" s="279" t="s">
        <v>709</v>
      </c>
      <c r="M3" s="656"/>
      <c r="O3" s="322"/>
    </row>
    <row r="4" spans="1:28" ht="21">
      <c r="A4" s="656">
        <v>2</v>
      </c>
      <c r="B4" s="1168" t="str">
        <f>'Smmy Chts'!$A$2</f>
        <v>For the Year Ended August 31, 2022</v>
      </c>
      <c r="C4" s="1168"/>
      <c r="D4" s="1168"/>
      <c r="E4" s="1168"/>
      <c r="F4" s="1168"/>
      <c r="H4" s="750"/>
      <c r="K4" s="750"/>
      <c r="L4" s="750"/>
      <c r="M4" s="672"/>
      <c r="O4" s="754"/>
    </row>
    <row r="5" spans="1:28" ht="21">
      <c r="A5" s="656">
        <v>3</v>
      </c>
      <c r="B5" s="1168" t="str">
        <f>'Smmy Chts'!$A$3</f>
        <v>Source: FY 2022 Annual Financial Report</v>
      </c>
      <c r="C5" s="1168"/>
      <c r="D5" s="1168"/>
      <c r="E5" s="1168"/>
      <c r="F5" s="1168"/>
      <c r="H5" s="750"/>
      <c r="K5" s="750"/>
      <c r="L5" s="750"/>
      <c r="M5" s="672"/>
      <c r="O5" s="754"/>
      <c r="P5" s="1204" t="s">
        <v>625</v>
      </c>
      <c r="Q5" s="1205"/>
      <c r="S5" s="334" t="s">
        <v>626</v>
      </c>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Input!$M$13</f>
        <v>112276178</v>
      </c>
      <c r="E10" s="762">
        <f>Input!$N$13</f>
        <v>0</v>
      </c>
      <c r="F10" s="762">
        <f>Input!$O$13</f>
        <v>0</v>
      </c>
      <c r="G10" s="762">
        <f>Input!$P$13</f>
        <v>0</v>
      </c>
      <c r="H10" s="762">
        <f>Input!$Q$13</f>
        <v>0</v>
      </c>
      <c r="I10" s="762">
        <f>Input!$R$13</f>
        <v>0</v>
      </c>
      <c r="J10" s="762">
        <f>Input!$S$13</f>
        <v>0</v>
      </c>
      <c r="K10" s="762">
        <f>Input!$T$13</f>
        <v>0</v>
      </c>
      <c r="L10" s="762">
        <f>Input!$U$13</f>
        <v>0</v>
      </c>
      <c r="M10" s="723">
        <f t="shared" ref="M10:M15" si="0">D10+E10+F10+G10+H10+I10+J10+K10+L10</f>
        <v>112276178</v>
      </c>
      <c r="O10" s="763"/>
      <c r="P10" s="1200" t="s">
        <v>627</v>
      </c>
      <c r="Q10" s="320"/>
      <c r="R10" s="320"/>
      <c r="S10" s="320"/>
      <c r="V10" s="320"/>
      <c r="W10" s="320"/>
      <c r="X10" s="320"/>
      <c r="Y10" s="320"/>
      <c r="Z10" s="320"/>
      <c r="AA10" s="320"/>
      <c r="AB10" s="320"/>
    </row>
    <row r="11" spans="1:28" s="752" customFormat="1">
      <c r="A11" s="460">
        <v>10</v>
      </c>
      <c r="B11" s="752" t="s">
        <v>134</v>
      </c>
      <c r="D11" s="762">
        <f>Input!$V$13</f>
        <v>900772</v>
      </c>
      <c r="E11" s="762">
        <f>Input!$W$13</f>
        <v>0</v>
      </c>
      <c r="F11" s="762">
        <f>Input!$X$13</f>
        <v>0</v>
      </c>
      <c r="G11" s="762">
        <f>Input!$Y$13</f>
        <v>1191897</v>
      </c>
      <c r="H11" s="762">
        <f>Input!$Z$13</f>
        <v>0</v>
      </c>
      <c r="I11" s="762">
        <f>Input!$AA$13</f>
        <v>0</v>
      </c>
      <c r="J11" s="762">
        <f>Input!$AB$13</f>
        <v>0</v>
      </c>
      <c r="K11" s="762">
        <f>Input!$AC$13</f>
        <v>0</v>
      </c>
      <c r="L11" s="762">
        <f>Input!$AD$13</f>
        <v>0</v>
      </c>
      <c r="M11" s="723">
        <f t="shared" si="0"/>
        <v>2092669</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Input!$AN$13</f>
        <v>15125502</v>
      </c>
      <c r="E13" s="762">
        <f>Input!$AO$13</f>
        <v>0</v>
      </c>
      <c r="F13" s="762">
        <f>Input!$AP$13</f>
        <v>0</v>
      </c>
      <c r="G13" s="762">
        <f>Input!$AQ$13</f>
        <v>0</v>
      </c>
      <c r="H13" s="762">
        <f>Input!$AR$13</f>
        <v>0</v>
      </c>
      <c r="I13" s="762">
        <f>Input!$AS$13</f>
        <v>0</v>
      </c>
      <c r="J13" s="762">
        <f>Input!$AT$13</f>
        <v>0</v>
      </c>
      <c r="K13" s="762">
        <f>Input!$AU$13</f>
        <v>0</v>
      </c>
      <c r="L13" s="762">
        <f>Input!$AV$13</f>
        <v>0</v>
      </c>
      <c r="M13" s="723">
        <f t="shared" si="0"/>
        <v>15125502</v>
      </c>
      <c r="O13" s="764" t="str">
        <f>IF(P13&lt;&gt;M13,"Out of Balance","Balanced")</f>
        <v>Out of Balance</v>
      </c>
      <c r="P13" s="767">
        <f>IFERROR(VLOOKUP($B$2,AMTLU,6,FALSE),0)</f>
        <v>0</v>
      </c>
      <c r="Q13" s="320"/>
      <c r="R13" s="320"/>
      <c r="S13" s="320"/>
      <c r="V13" s="320"/>
      <c r="W13" s="320"/>
      <c r="X13" s="320"/>
      <c r="Y13" s="320"/>
      <c r="Z13" s="320"/>
      <c r="AA13" s="320"/>
      <c r="AB13" s="320"/>
    </row>
    <row r="14" spans="1:28" s="752" customFormat="1" ht="15">
      <c r="A14" s="460">
        <v>13</v>
      </c>
      <c r="B14" s="752" t="s">
        <v>135</v>
      </c>
      <c r="D14" s="762">
        <f>Input!$AW$13</f>
        <v>0</v>
      </c>
      <c r="E14" s="762">
        <f>Input!$AX$13</f>
        <v>0</v>
      </c>
      <c r="F14" s="762">
        <f>Input!$AY$13</f>
        <v>0</v>
      </c>
      <c r="G14" s="762">
        <f>Input!$AZ$13</f>
        <v>0</v>
      </c>
      <c r="H14" s="762">
        <f>Input!$BA$13</f>
        <v>0</v>
      </c>
      <c r="I14" s="762">
        <f>Input!$BB$13</f>
        <v>0</v>
      </c>
      <c r="J14" s="762">
        <f>Input!$BC$13</f>
        <v>0</v>
      </c>
      <c r="K14" s="762">
        <f>Input!$BD$13</f>
        <v>0</v>
      </c>
      <c r="L14" s="762">
        <f>Input!$BE$13</f>
        <v>0</v>
      </c>
      <c r="M14" s="723">
        <f t="shared" si="0"/>
        <v>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128302452</v>
      </c>
      <c r="E15" s="769">
        <f t="shared" ref="E15:L15" si="1">SUM(E10:E14)</f>
        <v>0</v>
      </c>
      <c r="F15" s="769">
        <f t="shared" si="1"/>
        <v>0</v>
      </c>
      <c r="G15" s="769">
        <f t="shared" si="1"/>
        <v>1191897</v>
      </c>
      <c r="H15" s="769">
        <f t="shared" si="1"/>
        <v>0</v>
      </c>
      <c r="I15" s="769">
        <f t="shared" si="1"/>
        <v>0</v>
      </c>
      <c r="J15" s="769">
        <f t="shared" si="1"/>
        <v>0</v>
      </c>
      <c r="K15" s="769">
        <f t="shared" si="1"/>
        <v>0</v>
      </c>
      <c r="L15" s="769">
        <f t="shared" si="1"/>
        <v>0</v>
      </c>
      <c r="M15" s="769">
        <f t="shared" si="0"/>
        <v>129494349</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14265302</v>
      </c>
      <c r="E18" s="769">
        <f t="shared" si="2"/>
        <v>13377771</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27643073</v>
      </c>
      <c r="V18" s="723"/>
      <c r="X18" s="492"/>
    </row>
    <row r="19" spans="1:26" s="320" customFormat="1" ht="12.75" customHeight="1" thickTop="1" thickBot="1">
      <c r="A19" s="322"/>
      <c r="B19" s="320" t="s">
        <v>592</v>
      </c>
      <c r="D19" s="762">
        <f>Input!$BF$13</f>
        <v>0</v>
      </c>
      <c r="E19" s="762">
        <f>Input!$BG$13</f>
        <v>0</v>
      </c>
      <c r="F19" s="762">
        <f>Input!$BH$13</f>
        <v>0</v>
      </c>
      <c r="G19" s="762">
        <f>Input!$BI$13</f>
        <v>0</v>
      </c>
      <c r="H19" s="762">
        <f>Input!$BJ$13</f>
        <v>0</v>
      </c>
      <c r="I19" s="762">
        <f>Input!BK6</f>
        <v>0</v>
      </c>
      <c r="J19" s="762">
        <f>Input!$BL$13</f>
        <v>0</v>
      </c>
      <c r="K19" s="762">
        <f>Input!BM6</f>
        <v>0</v>
      </c>
      <c r="L19" s="762">
        <f>Input!BN6</f>
        <v>0</v>
      </c>
      <c r="M19" s="723">
        <f t="shared" si="3"/>
        <v>0</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Input!$BO$13</f>
        <v>-1658001</v>
      </c>
      <c r="E20" s="762">
        <f>Input!$BP$13</f>
        <v>-546181</v>
      </c>
      <c r="F20" s="762">
        <f>Input!$BQ$13</f>
        <v>0</v>
      </c>
      <c r="G20" s="762">
        <f>Input!$BR$13</f>
        <v>0</v>
      </c>
      <c r="H20" s="762">
        <f>Input!$BS$13</f>
        <v>0</v>
      </c>
      <c r="I20" s="762">
        <f>Input!$BT$13</f>
        <v>0</v>
      </c>
      <c r="J20" s="762">
        <f>Input!BU6</f>
        <v>0</v>
      </c>
      <c r="K20" s="762">
        <f>Input!BV6</f>
        <v>0</v>
      </c>
      <c r="L20" s="762">
        <f>Input!$BW$13</f>
        <v>0</v>
      </c>
      <c r="M20" s="723">
        <f t="shared" si="3"/>
        <v>-2204182</v>
      </c>
      <c r="O20" s="773" t="s">
        <v>631</v>
      </c>
      <c r="P20" s="774"/>
      <c r="Q20" s="774"/>
      <c r="R20" s="774"/>
      <c r="S20" s="775"/>
      <c r="U20" s="776" t="s">
        <v>252</v>
      </c>
      <c r="Y20" s="777"/>
    </row>
    <row r="21" spans="1:26" s="320" customFormat="1">
      <c r="A21" s="322"/>
      <c r="B21" s="320" t="s">
        <v>594</v>
      </c>
      <c r="D21" s="762">
        <f>Input!$BX$13</f>
        <v>0</v>
      </c>
      <c r="E21" s="762">
        <f>Input!$BY$13</f>
        <v>0</v>
      </c>
      <c r="F21" s="762">
        <f>Input!$BZ$13</f>
        <v>0</v>
      </c>
      <c r="G21" s="762">
        <f>Input!$CA$13</f>
        <v>0</v>
      </c>
      <c r="H21" s="762">
        <f>Input!$CB$13</f>
        <v>0</v>
      </c>
      <c r="I21" s="762">
        <f>Input!$CC$13</f>
        <v>0</v>
      </c>
      <c r="J21" s="762">
        <f>Input!$CD$13</f>
        <v>0</v>
      </c>
      <c r="K21" s="762">
        <f>Input!$CE$13</f>
        <v>0</v>
      </c>
      <c r="L21" s="762">
        <f>Input!$CF$13</f>
        <v>0</v>
      </c>
      <c r="M21" s="723">
        <f t="shared" si="3"/>
        <v>0</v>
      </c>
      <c r="O21" s="778"/>
      <c r="R21" s="492"/>
      <c r="S21" s="779"/>
      <c r="U21" s="780" t="s">
        <v>632</v>
      </c>
      <c r="X21" s="781">
        <f>M44</f>
        <v>34477812</v>
      </c>
      <c r="Y21" s="777"/>
      <c r="Z21" s="492"/>
    </row>
    <row r="22" spans="1:26" s="320" customFormat="1">
      <c r="A22" s="322"/>
      <c r="B22" s="320" t="s">
        <v>595</v>
      </c>
      <c r="D22" s="762">
        <f>Input!$CG$13</f>
        <v>0</v>
      </c>
      <c r="E22" s="762">
        <f>Input!$CH$13</f>
        <v>0</v>
      </c>
      <c r="F22" s="762">
        <f>Input!$CI$13</f>
        <v>0</v>
      </c>
      <c r="G22" s="762">
        <f>Input!$CJ$13</f>
        <v>0</v>
      </c>
      <c r="H22" s="762">
        <f>Input!$CK$13</f>
        <v>0</v>
      </c>
      <c r="I22" s="762">
        <f>Input!$CL$13</f>
        <v>0</v>
      </c>
      <c r="J22" s="762">
        <f>Input!$CM$13</f>
        <v>0</v>
      </c>
      <c r="K22" s="762">
        <f>Input!$CN$13</f>
        <v>0</v>
      </c>
      <c r="L22" s="762">
        <f>Input!$CO$13</f>
        <v>0</v>
      </c>
      <c r="M22" s="723">
        <f t="shared" si="3"/>
        <v>0</v>
      </c>
      <c r="N22" s="406"/>
      <c r="O22" s="778" t="s">
        <v>633</v>
      </c>
      <c r="Q22" s="492">
        <f>M23</f>
        <v>25438891</v>
      </c>
      <c r="S22" s="782"/>
      <c r="U22" s="780" t="s">
        <v>634</v>
      </c>
      <c r="X22" s="783">
        <f>R30*-1</f>
        <v>2857286</v>
      </c>
      <c r="Y22" s="777"/>
    </row>
    <row r="23" spans="1:26" s="320" customFormat="1" ht="12.75" customHeight="1">
      <c r="A23" s="322"/>
      <c r="B23" s="772" t="s">
        <v>233</v>
      </c>
      <c r="C23" s="784"/>
      <c r="D23" s="785">
        <f>Input!$CP$13</f>
        <v>12607301</v>
      </c>
      <c r="E23" s="785">
        <f>Input!$CQ$13</f>
        <v>12831590</v>
      </c>
      <c r="F23" s="785">
        <f>Input!$CR$13</f>
        <v>0</v>
      </c>
      <c r="G23" s="785">
        <f>Input!$CS$13</f>
        <v>0</v>
      </c>
      <c r="H23" s="785">
        <f>Input!$CT$13</f>
        <v>0</v>
      </c>
      <c r="I23" s="785">
        <f>Input!$CU$13</f>
        <v>0</v>
      </c>
      <c r="J23" s="785">
        <f>Input!$CV$13</f>
        <v>0</v>
      </c>
      <c r="K23" s="785">
        <f>Input!$CW$13</f>
        <v>0</v>
      </c>
      <c r="L23" s="785">
        <f>Input!$CX$13</f>
        <v>0</v>
      </c>
      <c r="M23" s="786">
        <f t="shared" si="3"/>
        <v>25438891</v>
      </c>
      <c r="O23" s="778"/>
      <c r="Q23" s="492"/>
      <c r="S23" s="782"/>
      <c r="U23" s="776" t="s">
        <v>635</v>
      </c>
      <c r="Y23" s="777">
        <f>SUM(X21:X22)</f>
        <v>37335098</v>
      </c>
      <c r="Z23" s="492"/>
    </row>
    <row r="24" spans="1:26" s="320" customFormat="1" ht="12.75" customHeight="1">
      <c r="A24" s="322"/>
      <c r="B24" s="320" t="s">
        <v>596</v>
      </c>
      <c r="C24" s="751"/>
      <c r="D24" s="762">
        <f>Input!$CY$13</f>
        <v>0</v>
      </c>
      <c r="E24" s="762">
        <f>Input!$CZ$13</f>
        <v>0</v>
      </c>
      <c r="F24" s="762">
        <f>Input!$DA$13</f>
        <v>0</v>
      </c>
      <c r="G24" s="762">
        <f>Input!$DB$13</f>
        <v>0</v>
      </c>
      <c r="H24" s="762">
        <f>Input!$DC$13</f>
        <v>0</v>
      </c>
      <c r="I24" s="762">
        <f>Input!$DD$13</f>
        <v>0</v>
      </c>
      <c r="J24" s="762">
        <f>Input!$DE$13</f>
        <v>0</v>
      </c>
      <c r="K24" s="762">
        <f>Input!$DF$13</f>
        <v>0</v>
      </c>
      <c r="L24" s="762">
        <f>Input!$DG$13</f>
        <v>0</v>
      </c>
      <c r="M24" s="650">
        <f t="shared" si="3"/>
        <v>0</v>
      </c>
      <c r="O24" s="787" t="s">
        <v>636</v>
      </c>
      <c r="Q24" s="723"/>
      <c r="R24" s="723">
        <f>SUM(M24:M28)</f>
        <v>-2268454</v>
      </c>
      <c r="S24" s="782"/>
      <c r="U24" s="776"/>
      <c r="Y24" s="777"/>
      <c r="Z24" s="492"/>
    </row>
    <row r="25" spans="1:26" s="320" customFormat="1" ht="12.75" customHeight="1">
      <c r="A25" s="322"/>
      <c r="B25" s="320" t="s">
        <v>597</v>
      </c>
      <c r="C25" s="751"/>
      <c r="D25" s="762">
        <f>Input!$DH$13</f>
        <v>0</v>
      </c>
      <c r="E25" s="762">
        <f>Input!$DI$13</f>
        <v>0</v>
      </c>
      <c r="F25" s="762">
        <f>Input!$DJ$13</f>
        <v>0</v>
      </c>
      <c r="G25" s="762">
        <f>Input!$DK$13</f>
        <v>0</v>
      </c>
      <c r="H25" s="762">
        <f>Input!$DL$13</f>
        <v>0</v>
      </c>
      <c r="I25" s="762">
        <f>Input!$DM$13</f>
        <v>0</v>
      </c>
      <c r="J25" s="762">
        <f>Input!$DN$13</f>
        <v>0</v>
      </c>
      <c r="K25" s="762">
        <f>Input!$DO$13</f>
        <v>0</v>
      </c>
      <c r="L25" s="762">
        <f>Input!$DP$13</f>
        <v>0</v>
      </c>
      <c r="M25" s="650">
        <f t="shared" si="3"/>
        <v>0</v>
      </c>
      <c r="O25" s="778"/>
      <c r="Q25" s="723"/>
      <c r="R25" s="723"/>
      <c r="S25" s="782"/>
      <c r="U25" s="788" t="s">
        <v>637</v>
      </c>
      <c r="V25" s="789"/>
      <c r="W25" s="789"/>
      <c r="X25" s="790">
        <f>(M26+M39)*-1</f>
        <v>0</v>
      </c>
      <c r="Y25" s="777"/>
      <c r="Z25" s="492"/>
    </row>
    <row r="26" spans="1:26" s="320" customFormat="1" ht="12.75" customHeight="1">
      <c r="A26" s="322"/>
      <c r="B26" s="320" t="s">
        <v>598</v>
      </c>
      <c r="C26" s="751"/>
      <c r="D26" s="762">
        <f>Input!$DQ$13</f>
        <v>0</v>
      </c>
      <c r="E26" s="762">
        <f>Input!$DR$13</f>
        <v>0</v>
      </c>
      <c r="F26" s="762">
        <f>Input!$DS$13</f>
        <v>0</v>
      </c>
      <c r="G26" s="762">
        <f>Input!$DT$13</f>
        <v>0</v>
      </c>
      <c r="H26" s="762">
        <f>Input!$DU$13</f>
        <v>0</v>
      </c>
      <c r="I26" s="762">
        <f>Input!$DV$13</f>
        <v>0</v>
      </c>
      <c r="J26" s="762">
        <f>Input!$DW$13</f>
        <v>0</v>
      </c>
      <c r="K26" s="762">
        <f>Input!$DX$13</f>
        <v>0</v>
      </c>
      <c r="L26" s="762">
        <f>Input!$DY$13</f>
        <v>0</v>
      </c>
      <c r="M26" s="650">
        <f t="shared" si="3"/>
        <v>0</v>
      </c>
      <c r="O26" s="778" t="s">
        <v>638</v>
      </c>
      <c r="Q26" s="723">
        <f>M36</f>
        <v>11896207</v>
      </c>
      <c r="R26" s="791"/>
      <c r="S26" s="792"/>
      <c r="U26" s="776" t="s">
        <v>639</v>
      </c>
      <c r="X26" s="793">
        <f>(M21+M34)*-1</f>
        <v>0</v>
      </c>
      <c r="Y26" s="777"/>
      <c r="Z26" s="492"/>
    </row>
    <row r="27" spans="1:26" s="320" customFormat="1">
      <c r="A27" s="322"/>
      <c r="B27" s="320" t="s">
        <v>599</v>
      </c>
      <c r="C27" s="751"/>
      <c r="D27" s="762">
        <f>Input!$DZ$13</f>
        <v>0</v>
      </c>
      <c r="E27" s="762">
        <f>Input!$EA$13</f>
        <v>0</v>
      </c>
      <c r="F27" s="762">
        <f>Input!$EB$13</f>
        <v>0</v>
      </c>
      <c r="G27" s="762">
        <f>Input!$EC$13</f>
        <v>0</v>
      </c>
      <c r="H27" s="762">
        <f>Input!$ED$13</f>
        <v>0</v>
      </c>
      <c r="I27" s="762">
        <f>Input!$EE$13</f>
        <v>0</v>
      </c>
      <c r="J27" s="762">
        <f>Input!$EF$13</f>
        <v>0</v>
      </c>
      <c r="K27" s="762">
        <f>Input!$EG$13</f>
        <v>0</v>
      </c>
      <c r="L27" s="762">
        <f>Input!$EH$13</f>
        <v>0</v>
      </c>
      <c r="M27" s="650">
        <f t="shared" si="3"/>
        <v>0</v>
      </c>
      <c r="O27" s="778"/>
      <c r="Q27" s="723"/>
      <c r="R27" s="791"/>
      <c r="S27" s="792"/>
      <c r="U27" s="780" t="s">
        <v>640</v>
      </c>
      <c r="V27" s="314"/>
      <c r="W27" s="314"/>
      <c r="X27" s="794">
        <f>SUM(X25:X26)</f>
        <v>0</v>
      </c>
      <c r="Y27" s="721"/>
    </row>
    <row r="28" spans="1:26" s="320" customFormat="1">
      <c r="A28" s="322"/>
      <c r="B28" s="320" t="s">
        <v>600</v>
      </c>
      <c r="C28" s="751"/>
      <c r="D28" s="762">
        <f>Input!$EI$13</f>
        <v>-894513</v>
      </c>
      <c r="E28" s="762">
        <f>Input!$EJ$13</f>
        <v>-1373941</v>
      </c>
      <c r="F28" s="762">
        <f>Input!$EK$13</f>
        <v>0</v>
      </c>
      <c r="G28" s="762">
        <f>Input!$EL$13</f>
        <v>0</v>
      </c>
      <c r="H28" s="762">
        <f>Input!$EM$13</f>
        <v>0</v>
      </c>
      <c r="I28" s="762">
        <f>Input!$EN$13</f>
        <v>0</v>
      </c>
      <c r="J28" s="762">
        <f>Input!$EO$13</f>
        <v>0</v>
      </c>
      <c r="K28" s="762">
        <f>Input!$EP$13</f>
        <v>0</v>
      </c>
      <c r="L28" s="762">
        <f>Input!$EQ$13</f>
        <v>0</v>
      </c>
      <c r="M28" s="650">
        <f t="shared" si="3"/>
        <v>-2268454</v>
      </c>
      <c r="O28" s="787" t="s">
        <v>641</v>
      </c>
      <c r="Q28" s="723"/>
      <c r="R28" s="723">
        <f>SUM(M37:M41)</f>
        <v>-588832</v>
      </c>
      <c r="S28" s="782"/>
      <c r="U28" s="776" t="s">
        <v>642</v>
      </c>
      <c r="X28" s="777">
        <f>(M27+M40)*-1</f>
        <v>0</v>
      </c>
      <c r="Y28" s="721"/>
      <c r="Z28" s="492"/>
    </row>
    <row r="29" spans="1:26" s="320" customFormat="1" ht="12" customHeight="1">
      <c r="A29" s="322"/>
      <c r="B29" s="795" t="s">
        <v>165</v>
      </c>
      <c r="C29" s="784"/>
      <c r="D29" s="769">
        <f t="shared" ref="D29:L29" si="4">SUM(D23:D28)</f>
        <v>11712788</v>
      </c>
      <c r="E29" s="769">
        <f t="shared" si="4"/>
        <v>11457649</v>
      </c>
      <c r="F29" s="769">
        <f t="shared" si="4"/>
        <v>0</v>
      </c>
      <c r="G29" s="769">
        <f t="shared" si="4"/>
        <v>0</v>
      </c>
      <c r="H29" s="769">
        <f t="shared" si="4"/>
        <v>0</v>
      </c>
      <c r="I29" s="769">
        <f t="shared" si="4"/>
        <v>0</v>
      </c>
      <c r="J29" s="769">
        <f t="shared" si="4"/>
        <v>0</v>
      </c>
      <c r="K29" s="769">
        <f t="shared" si="4"/>
        <v>0</v>
      </c>
      <c r="L29" s="769">
        <f t="shared" si="4"/>
        <v>0</v>
      </c>
      <c r="M29" s="769">
        <f t="shared" si="3"/>
        <v>23170437</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37335098</v>
      </c>
      <c r="R30" s="798">
        <f>R28+R24</f>
        <v>-2857286</v>
      </c>
      <c r="S30" s="799"/>
      <c r="U30" s="780" t="s">
        <v>645</v>
      </c>
      <c r="V30" s="314"/>
      <c r="W30" s="314"/>
      <c r="X30" s="794">
        <f>SUM(X28:X29)</f>
        <v>0</v>
      </c>
      <c r="Y30" s="721"/>
    </row>
    <row r="31" spans="1:26" s="320" customFormat="1" ht="12.75" customHeight="1">
      <c r="A31" s="322"/>
      <c r="B31" s="772" t="s">
        <v>238</v>
      </c>
      <c r="C31" s="772"/>
      <c r="D31" s="769">
        <f t="shared" ref="D31:L31" si="5">D36-SUM(D32:D35)</f>
        <v>24149</v>
      </c>
      <c r="E31" s="769">
        <f t="shared" si="5"/>
        <v>11872058</v>
      </c>
      <c r="F31" s="769">
        <f t="shared" si="5"/>
        <v>0</v>
      </c>
      <c r="G31" s="769">
        <f t="shared" si="5"/>
        <v>0</v>
      </c>
      <c r="H31" s="769">
        <f t="shared" si="5"/>
        <v>0</v>
      </c>
      <c r="I31" s="769">
        <f t="shared" si="5"/>
        <v>0</v>
      </c>
      <c r="J31" s="769">
        <f t="shared" si="5"/>
        <v>0</v>
      </c>
      <c r="K31" s="769">
        <f t="shared" si="5"/>
        <v>0</v>
      </c>
      <c r="L31" s="769">
        <f t="shared" si="5"/>
        <v>0</v>
      </c>
      <c r="M31" s="769">
        <f t="shared" ref="M31:M42" si="6">D31+E31+F31+G31+H31+I31+J31+K31+L31</f>
        <v>11896207</v>
      </c>
      <c r="O31" s="778" t="s">
        <v>646</v>
      </c>
      <c r="Q31" s="406"/>
      <c r="S31" s="782"/>
      <c r="U31" s="800" t="s">
        <v>647</v>
      </c>
      <c r="V31" s="801"/>
      <c r="W31" s="801"/>
      <c r="X31" s="802">
        <f>X27+X30</f>
        <v>0</v>
      </c>
      <c r="Y31" s="777"/>
      <c r="Z31" s="492"/>
    </row>
    <row r="32" spans="1:26" s="320" customFormat="1" ht="12.75" customHeight="1">
      <c r="A32" s="322"/>
      <c r="B32" s="320" t="s">
        <v>592</v>
      </c>
      <c r="D32" s="762">
        <f>Input!$ER$13</f>
        <v>0</v>
      </c>
      <c r="E32" s="762">
        <f>Input!$ES$13</f>
        <v>0</v>
      </c>
      <c r="F32" s="762">
        <f>Input!$ET$13</f>
        <v>0</v>
      </c>
      <c r="G32" s="762">
        <f>Input!$EU$13</f>
        <v>0</v>
      </c>
      <c r="H32" s="762">
        <f>Input!$EV$13</f>
        <v>0</v>
      </c>
      <c r="I32" s="762">
        <f>Input!$EW$13</f>
        <v>0</v>
      </c>
      <c r="J32" s="762">
        <f>Input!$EX$13</f>
        <v>0</v>
      </c>
      <c r="K32" s="762">
        <f>Input!$EY$13</f>
        <v>0</v>
      </c>
      <c r="L32" s="762">
        <f>Input!$EZ$13</f>
        <v>0</v>
      </c>
      <c r="M32" s="650">
        <f t="shared" si="6"/>
        <v>0</v>
      </c>
      <c r="O32" s="803" t="s">
        <v>648</v>
      </c>
      <c r="P32" s="804"/>
      <c r="Q32" s="805">
        <f>Input!$TI$13</f>
        <v>37335098</v>
      </c>
      <c r="R32" s="804"/>
      <c r="S32" s="806"/>
      <c r="U32" s="776"/>
      <c r="Y32" s="777"/>
      <c r="Z32" s="492"/>
    </row>
    <row r="33" spans="1:28" s="320" customFormat="1">
      <c r="A33" s="322"/>
      <c r="B33" s="320" t="s">
        <v>593</v>
      </c>
      <c r="D33" s="762">
        <f>Input!$FA$13</f>
        <v>0</v>
      </c>
      <c r="E33" s="762">
        <f>Input!$FB$13</f>
        <v>0</v>
      </c>
      <c r="F33" s="762">
        <f>Input!$FC$13</f>
        <v>0</v>
      </c>
      <c r="G33" s="762">
        <f>Input!$FD$13</f>
        <v>0</v>
      </c>
      <c r="H33" s="762">
        <f>Input!$FE$13</f>
        <v>0</v>
      </c>
      <c r="I33" s="762">
        <f>Input!$FF$13</f>
        <v>0</v>
      </c>
      <c r="J33" s="762">
        <f>Input!$FG$13</f>
        <v>0</v>
      </c>
      <c r="K33" s="762">
        <f>Input!$FH$13</f>
        <v>0</v>
      </c>
      <c r="L33" s="762">
        <f>Input!$FI$13</f>
        <v>0</v>
      </c>
      <c r="M33" s="650">
        <f t="shared" si="6"/>
        <v>0</v>
      </c>
      <c r="O33" s="803"/>
      <c r="P33" s="804"/>
      <c r="Q33" s="723"/>
      <c r="R33" s="804"/>
      <c r="S33" s="806"/>
      <c r="U33" s="776" t="s">
        <v>649</v>
      </c>
      <c r="X33" s="492">
        <f>(M19+M32)*-1</f>
        <v>0</v>
      </c>
      <c r="Y33" s="777"/>
    </row>
    <row r="34" spans="1:28" s="320" customFormat="1">
      <c r="A34" s="322"/>
      <c r="B34" s="320" t="s">
        <v>594</v>
      </c>
      <c r="D34" s="762">
        <f>Input!$FJ$13</f>
        <v>0</v>
      </c>
      <c r="E34" s="762">
        <f>Input!$FK$13</f>
        <v>0</v>
      </c>
      <c r="F34" s="762">
        <f>Input!$FL$13</f>
        <v>0</v>
      </c>
      <c r="G34" s="762">
        <f>Input!$FM$13</f>
        <v>0</v>
      </c>
      <c r="H34" s="762">
        <f>Input!$FN$13</f>
        <v>0</v>
      </c>
      <c r="I34" s="762">
        <f>Input!$FO$13</f>
        <v>0</v>
      </c>
      <c r="J34" s="762">
        <f>Input!$FP$13</f>
        <v>0</v>
      </c>
      <c r="K34" s="762">
        <f>Input!$FQ$13</f>
        <v>0</v>
      </c>
      <c r="L34" s="762">
        <f>Input!$FR$13</f>
        <v>0</v>
      </c>
      <c r="M34" s="650">
        <f t="shared" si="6"/>
        <v>0</v>
      </c>
      <c r="O34" s="807" t="s">
        <v>650</v>
      </c>
      <c r="P34" s="808"/>
      <c r="Q34" s="320" t="s">
        <v>651</v>
      </c>
      <c r="R34" s="805">
        <f>Input!$TJ$13</f>
        <v>-2857286</v>
      </c>
      <c r="S34" s="809"/>
      <c r="U34" s="776" t="s">
        <v>652</v>
      </c>
      <c r="X34" s="739">
        <f>(M24+M37)*-1</f>
        <v>0</v>
      </c>
      <c r="Y34" s="777"/>
    </row>
    <row r="35" spans="1:28" s="320" customFormat="1" ht="13.8" thickBot="1">
      <c r="A35" s="322"/>
      <c r="B35" s="320" t="s">
        <v>595</v>
      </c>
      <c r="D35" s="762">
        <f>Input!$FS$13</f>
        <v>0</v>
      </c>
      <c r="E35" s="762">
        <f>Input!$FT$13</f>
        <v>0</v>
      </c>
      <c r="F35" s="762">
        <f>Input!$FU$13</f>
        <v>0</v>
      </c>
      <c r="G35" s="762">
        <f>Input!$FV$13</f>
        <v>0</v>
      </c>
      <c r="H35" s="762">
        <f>Input!$FW$13</f>
        <v>0</v>
      </c>
      <c r="I35" s="762">
        <f>Input!$FX$13</f>
        <v>0</v>
      </c>
      <c r="J35" s="762">
        <f>Input!$FY$13</f>
        <v>0</v>
      </c>
      <c r="K35" s="762">
        <f>Input!$FZ$13</f>
        <v>0</v>
      </c>
      <c r="L35" s="762">
        <f>Input!$GA$13</f>
        <v>0</v>
      </c>
      <c r="M35" s="650">
        <f t="shared" si="6"/>
        <v>0</v>
      </c>
      <c r="O35" s="810" t="s">
        <v>653</v>
      </c>
      <c r="P35" s="811"/>
      <c r="Q35" s="812">
        <f>Q30-Q32</f>
        <v>0</v>
      </c>
      <c r="R35" s="813">
        <f>R30-R34</f>
        <v>0</v>
      </c>
      <c r="S35" s="814"/>
      <c r="U35" s="780" t="s">
        <v>654</v>
      </c>
      <c r="V35" s="314"/>
      <c r="W35" s="314"/>
      <c r="X35" s="781">
        <f>SUM(X33:X34)</f>
        <v>0</v>
      </c>
      <c r="Y35" s="721"/>
    </row>
    <row r="36" spans="1:28" s="320" customFormat="1" ht="13.8" thickTop="1">
      <c r="A36" s="322"/>
      <c r="B36" s="772" t="s">
        <v>239</v>
      </c>
      <c r="C36" s="784"/>
      <c r="D36" s="785">
        <f>Input!$GB$13</f>
        <v>24149</v>
      </c>
      <c r="E36" s="785">
        <f>Input!$GC$13</f>
        <v>11872058</v>
      </c>
      <c r="F36" s="785">
        <f>Input!$GD$13</f>
        <v>0</v>
      </c>
      <c r="G36" s="785">
        <f>Input!$GE$13</f>
        <v>0</v>
      </c>
      <c r="H36" s="785">
        <f>Input!$GF$13</f>
        <v>0</v>
      </c>
      <c r="I36" s="785">
        <f>Input!$GG$13</f>
        <v>0</v>
      </c>
      <c r="J36" s="785">
        <f>Input!$GH$13</f>
        <v>0</v>
      </c>
      <c r="K36" s="785">
        <f>Input!$GI$13</f>
        <v>0</v>
      </c>
      <c r="L36" s="785">
        <f>Input!$GJ$13</f>
        <v>0</v>
      </c>
      <c r="M36" s="786">
        <f t="shared" si="6"/>
        <v>11896207</v>
      </c>
      <c r="Q36" s="344" t="str">
        <f>IF(Q30&lt;&gt;Q32,"Out of Balance","Balanced")</f>
        <v>Balanced</v>
      </c>
      <c r="R36" s="344" t="str">
        <f>IF(R30&lt;&gt;R34,"Out of Balance","Balanced")</f>
        <v>Balanced</v>
      </c>
      <c r="U36" s="776" t="s">
        <v>655</v>
      </c>
      <c r="X36" s="492">
        <f>(M20+M33)*-1</f>
        <v>2204182</v>
      </c>
      <c r="Y36" s="777"/>
    </row>
    <row r="37" spans="1:28" s="320" customFormat="1">
      <c r="A37" s="322"/>
      <c r="B37" s="320" t="s">
        <v>596</v>
      </c>
      <c r="C37" s="751"/>
      <c r="D37" s="762">
        <f>Input!$GK$13</f>
        <v>0</v>
      </c>
      <c r="E37" s="762">
        <f>Input!$GL$13</f>
        <v>0</v>
      </c>
      <c r="F37" s="762">
        <f>Input!$GM$13</f>
        <v>0</v>
      </c>
      <c r="G37" s="762">
        <f>Input!$GN$13</f>
        <v>0</v>
      </c>
      <c r="H37" s="762">
        <f>Input!$GO$13</f>
        <v>0</v>
      </c>
      <c r="I37" s="762">
        <f>Input!$GP$13</f>
        <v>0</v>
      </c>
      <c r="J37" s="762">
        <f>Input!$GQ$13</f>
        <v>0</v>
      </c>
      <c r="K37" s="762">
        <f>Input!$GR$13</f>
        <v>0</v>
      </c>
      <c r="L37" s="762">
        <f>Input!$GS$13</f>
        <v>0</v>
      </c>
      <c r="M37" s="650">
        <f t="shared" si="6"/>
        <v>0</v>
      </c>
      <c r="U37" s="776" t="s">
        <v>656</v>
      </c>
      <c r="X37" s="739">
        <f>(M25+M38)*-1</f>
        <v>0</v>
      </c>
      <c r="Y37" s="721"/>
    </row>
    <row r="38" spans="1:28" s="320" customFormat="1">
      <c r="A38" s="322"/>
      <c r="B38" s="320" t="s">
        <v>597</v>
      </c>
      <c r="C38" s="751"/>
      <c r="D38" s="762">
        <f>Input!$GT$13</f>
        <v>0</v>
      </c>
      <c r="E38" s="762">
        <f>Input!$GU$13</f>
        <v>0</v>
      </c>
      <c r="F38" s="762">
        <f>Input!$GV$13</f>
        <v>0</v>
      </c>
      <c r="G38" s="762">
        <f>Input!$GW$13</f>
        <v>0</v>
      </c>
      <c r="H38" s="762">
        <f>Input!$GX$13</f>
        <v>0</v>
      </c>
      <c r="I38" s="762">
        <f>Input!$GY$13</f>
        <v>0</v>
      </c>
      <c r="J38" s="762">
        <f>Input!$GZ$13</f>
        <v>0</v>
      </c>
      <c r="K38" s="762">
        <f>Input!$HA$13</f>
        <v>0</v>
      </c>
      <c r="L38" s="762">
        <f>Input!$HB$13</f>
        <v>0</v>
      </c>
      <c r="M38" s="650">
        <f t="shared" si="6"/>
        <v>0</v>
      </c>
      <c r="U38" s="780" t="s">
        <v>657</v>
      </c>
      <c r="V38" s="314"/>
      <c r="W38" s="314"/>
      <c r="X38" s="781">
        <f>SUM(X36:X37)</f>
        <v>2204182</v>
      </c>
      <c r="Y38" s="777"/>
    </row>
    <row r="39" spans="1:28" s="320" customFormat="1">
      <c r="A39" s="322"/>
      <c r="B39" s="320" t="s">
        <v>598</v>
      </c>
      <c r="C39" s="751"/>
      <c r="D39" s="762">
        <f>Input!$HC$13</f>
        <v>0</v>
      </c>
      <c r="E39" s="762">
        <f>Input!$HD$13</f>
        <v>0</v>
      </c>
      <c r="F39" s="762">
        <f>Input!$HE$13</f>
        <v>0</v>
      </c>
      <c r="G39" s="762">
        <f>Input!$HF$13</f>
        <v>0</v>
      </c>
      <c r="H39" s="762">
        <f>Input!$HG$13</f>
        <v>0</v>
      </c>
      <c r="I39" s="762">
        <f>Input!$HH$13</f>
        <v>0</v>
      </c>
      <c r="J39" s="762">
        <f>Input!$HI$13</f>
        <v>0</v>
      </c>
      <c r="K39" s="762">
        <f>Input!$HJ$13</f>
        <v>0</v>
      </c>
      <c r="L39" s="762">
        <f>Input!$HK$13</f>
        <v>0</v>
      </c>
      <c r="M39" s="650">
        <f t="shared" si="6"/>
        <v>0</v>
      </c>
      <c r="U39" s="776" t="s">
        <v>658</v>
      </c>
      <c r="X39" s="492"/>
      <c r="Y39" s="777">
        <f>X38+X35</f>
        <v>2204182</v>
      </c>
    </row>
    <row r="40" spans="1:28" s="320" customFormat="1">
      <c r="A40" s="322"/>
      <c r="B40" s="320" t="s">
        <v>599</v>
      </c>
      <c r="C40" s="751"/>
      <c r="D40" s="762">
        <f>Input!$HL$13</f>
        <v>0</v>
      </c>
      <c r="E40" s="762">
        <f>Input!$HM$13</f>
        <v>0</v>
      </c>
      <c r="F40" s="762">
        <f>Input!$HN$13</f>
        <v>0</v>
      </c>
      <c r="G40" s="762">
        <f>Input!$HO$13</f>
        <v>0</v>
      </c>
      <c r="H40" s="762">
        <f>Input!$HP$13</f>
        <v>0</v>
      </c>
      <c r="I40" s="762">
        <f>Input!$HQ$13</f>
        <v>0</v>
      </c>
      <c r="J40" s="762">
        <f>Input!$HR$13</f>
        <v>0</v>
      </c>
      <c r="K40" s="762">
        <f>Input!$HS$13</f>
        <v>0</v>
      </c>
      <c r="L40" s="762">
        <f>Input!$HT$13</f>
        <v>0</v>
      </c>
      <c r="M40" s="650">
        <f t="shared" si="6"/>
        <v>0</v>
      </c>
      <c r="U40" s="776"/>
      <c r="Y40" s="721"/>
    </row>
    <row r="41" spans="1:28" s="320" customFormat="1">
      <c r="A41" s="322"/>
      <c r="B41" s="320" t="s">
        <v>600</v>
      </c>
      <c r="C41" s="751"/>
      <c r="D41" s="762">
        <f>Input!$HU$13</f>
        <v>0</v>
      </c>
      <c r="E41" s="762">
        <f>Input!$HV$13</f>
        <v>-588832</v>
      </c>
      <c r="F41" s="762">
        <f>Input!$HW$13</f>
        <v>0</v>
      </c>
      <c r="G41" s="762">
        <f>Input!$HX$13</f>
        <v>0</v>
      </c>
      <c r="H41" s="762">
        <f>Input!$HY$13</f>
        <v>0</v>
      </c>
      <c r="I41" s="762">
        <f>Input!$HZ$13</f>
        <v>0</v>
      </c>
      <c r="J41" s="762">
        <f>Input!$IA$13</f>
        <v>0</v>
      </c>
      <c r="K41" s="762">
        <f>Input!$IB$13</f>
        <v>0</v>
      </c>
      <c r="L41" s="762">
        <f>Input!$IC$13</f>
        <v>0</v>
      </c>
      <c r="M41" s="650">
        <f t="shared" si="6"/>
        <v>-588832</v>
      </c>
      <c r="U41" s="776" t="s">
        <v>639</v>
      </c>
      <c r="X41" s="492">
        <f>(M21+M34)*-1</f>
        <v>0</v>
      </c>
      <c r="Y41" s="777"/>
    </row>
    <row r="42" spans="1:28" s="320" customFormat="1">
      <c r="A42" s="322"/>
      <c r="B42" s="795" t="s">
        <v>166</v>
      </c>
      <c r="C42" s="784"/>
      <c r="D42" s="769">
        <f t="shared" ref="D42:L42" si="7">SUM(D36:D41)</f>
        <v>24149</v>
      </c>
      <c r="E42" s="769">
        <f t="shared" si="7"/>
        <v>11283226</v>
      </c>
      <c r="F42" s="769">
        <f t="shared" si="7"/>
        <v>0</v>
      </c>
      <c r="G42" s="769">
        <f t="shared" si="7"/>
        <v>0</v>
      </c>
      <c r="H42" s="769">
        <f t="shared" si="7"/>
        <v>0</v>
      </c>
      <c r="I42" s="769">
        <f t="shared" si="7"/>
        <v>0</v>
      </c>
      <c r="J42" s="769">
        <f t="shared" si="7"/>
        <v>0</v>
      </c>
      <c r="K42" s="769">
        <f t="shared" si="7"/>
        <v>0</v>
      </c>
      <c r="L42" s="769">
        <f t="shared" si="7"/>
        <v>0</v>
      </c>
      <c r="M42" s="769">
        <f t="shared" si="6"/>
        <v>11307375</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11736937</v>
      </c>
      <c r="E44" s="769">
        <f t="shared" si="8"/>
        <v>22740875</v>
      </c>
      <c r="F44" s="769">
        <f t="shared" si="8"/>
        <v>0</v>
      </c>
      <c r="G44" s="769">
        <f t="shared" si="8"/>
        <v>0</v>
      </c>
      <c r="H44" s="769">
        <f t="shared" si="8"/>
        <v>0</v>
      </c>
      <c r="I44" s="769">
        <f t="shared" si="8"/>
        <v>0</v>
      </c>
      <c r="J44" s="769">
        <f t="shared" si="8"/>
        <v>0</v>
      </c>
      <c r="K44" s="769">
        <f t="shared" si="8"/>
        <v>0</v>
      </c>
      <c r="L44" s="769">
        <f t="shared" si="8"/>
        <v>0</v>
      </c>
      <c r="M44" s="769">
        <f>D44+E44+F44+G44+H44+I44+J44+K44+L44</f>
        <v>34477812</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Input!$ID$13</f>
        <v>0</v>
      </c>
      <c r="E47" s="815">
        <f>Input!$IE$13</f>
        <v>5131698</v>
      </c>
      <c r="F47" s="815">
        <f>Input!$IF$13</f>
        <v>0</v>
      </c>
      <c r="G47" s="815">
        <f>Input!$IG$13</f>
        <v>50130030</v>
      </c>
      <c r="H47" s="815">
        <f>Input!$IH$13</f>
        <v>0</v>
      </c>
      <c r="I47" s="815">
        <f>Input!$II$13</f>
        <v>0</v>
      </c>
      <c r="J47" s="815">
        <f>Input!$IJ$13</f>
        <v>0</v>
      </c>
      <c r="K47" s="815">
        <f>Input!$IK$13</f>
        <v>0</v>
      </c>
      <c r="L47" s="815">
        <f>Input!$IL$13</f>
        <v>0</v>
      </c>
      <c r="M47" s="769">
        <f>D47+E47+F47+G47+H47+I47+J47+K47+L47</f>
        <v>55261728</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39539280</v>
      </c>
      <c r="Z49" s="320"/>
      <c r="AA49" s="320"/>
      <c r="AB49" s="320"/>
    </row>
    <row r="50" spans="1:28" s="752" customFormat="1">
      <c r="A50" s="460">
        <v>33</v>
      </c>
      <c r="B50" s="768" t="s">
        <v>200</v>
      </c>
      <c r="C50" s="768"/>
      <c r="D50" s="815">
        <f>Input!$IM$13</f>
        <v>0</v>
      </c>
      <c r="E50" s="815">
        <f>Input!$IN$13</f>
        <v>12885666</v>
      </c>
      <c r="F50" s="815">
        <f>Input!$IO$13</f>
        <v>0</v>
      </c>
      <c r="G50" s="815">
        <f>Input!$IP$13</f>
        <v>0</v>
      </c>
      <c r="H50" s="815">
        <f>Input!$IQ$13</f>
        <v>0</v>
      </c>
      <c r="I50" s="815">
        <f>Input!$IR$13</f>
        <v>0</v>
      </c>
      <c r="J50" s="815">
        <f>Input!$IS$13</f>
        <v>0</v>
      </c>
      <c r="K50" s="815">
        <f>Input!$IT$13</f>
        <v>0</v>
      </c>
      <c r="L50" s="815">
        <f>Input!$IU$13</f>
        <v>0</v>
      </c>
      <c r="M50" s="769">
        <f>D50+E50+F50+G50+H50+I50+J50+K50+L50</f>
        <v>12885666</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Input!$IV$13</f>
        <v>0</v>
      </c>
      <c r="E53" s="815">
        <f>Input!$IW$13</f>
        <v>0</v>
      </c>
      <c r="F53" s="815">
        <f>Input!$IX$13</f>
        <v>0</v>
      </c>
      <c r="G53" s="815">
        <f>Input!$IY$13</f>
        <v>0</v>
      </c>
      <c r="H53" s="815">
        <f>Input!$IZ$13</f>
        <v>0</v>
      </c>
      <c r="I53" s="815">
        <f>Input!$JA$13</f>
        <v>0</v>
      </c>
      <c r="J53" s="815">
        <f>Input!$JB$13</f>
        <v>0</v>
      </c>
      <c r="K53" s="815">
        <f>Input!$JC$13</f>
        <v>0</v>
      </c>
      <c r="L53" s="815">
        <f>Input!$JD$13</f>
        <v>0</v>
      </c>
      <c r="M53" s="769">
        <f>D53+E53+F53+G53+H53+I53+J53+K53+L53</f>
        <v>0</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Input!$JE$13</f>
        <v>20398</v>
      </c>
      <c r="E56" s="762">
        <f>Input!$JF$13</f>
        <v>12506165</v>
      </c>
      <c r="F56" s="762">
        <f>Input!$JG$13</f>
        <v>0</v>
      </c>
      <c r="G56" s="762">
        <f>Input!$JH$13</f>
        <v>2634087</v>
      </c>
      <c r="H56" s="762">
        <f>Input!$JI$13</f>
        <v>-4949</v>
      </c>
      <c r="I56" s="762">
        <f>Input!$JJ$13</f>
        <v>1461478</v>
      </c>
      <c r="J56" s="762">
        <f>Input!$JK$13</f>
        <v>0</v>
      </c>
      <c r="K56" s="762">
        <f>Input!$JL$13</f>
        <v>0</v>
      </c>
      <c r="L56" s="762">
        <f>Input!$JM$13</f>
        <v>0</v>
      </c>
      <c r="M56" s="723">
        <f t="shared" ref="M56:M62" si="9">D56+E56+F56+G56+H56+I56+J56+K56+L56</f>
        <v>16617179</v>
      </c>
      <c r="O56" s="320"/>
      <c r="P56" s="320"/>
      <c r="Q56" s="320"/>
      <c r="R56" s="320"/>
      <c r="S56" s="320"/>
      <c r="T56" s="320"/>
      <c r="U56" s="320"/>
      <c r="V56" s="320"/>
      <c r="W56" s="320"/>
      <c r="X56" s="322"/>
      <c r="Y56" s="320"/>
      <c r="Z56" s="320"/>
      <c r="AA56" s="320"/>
      <c r="AB56" s="320"/>
    </row>
    <row r="57" spans="1:28" s="752" customFormat="1">
      <c r="A57" s="460">
        <v>40</v>
      </c>
      <c r="B57" s="752" t="s">
        <v>173</v>
      </c>
      <c r="D57" s="762">
        <f>Input!$JN$13</f>
        <v>0</v>
      </c>
      <c r="E57" s="762">
        <f>Input!$JO$13</f>
        <v>389369</v>
      </c>
      <c r="F57" s="762">
        <f>Input!$JP$13</f>
        <v>0</v>
      </c>
      <c r="G57" s="762">
        <f>Input!$JQ$13</f>
        <v>657487</v>
      </c>
      <c r="H57" s="762">
        <f>Input!$JR$13</f>
        <v>0</v>
      </c>
      <c r="I57" s="762">
        <f>Input!$JS$13</f>
        <v>0</v>
      </c>
      <c r="J57" s="762">
        <f>Input!$JT$13</f>
        <v>0</v>
      </c>
      <c r="K57" s="762">
        <f>Input!$JU$13</f>
        <v>0</v>
      </c>
      <c r="L57" s="762">
        <f>Input!$JV$13</f>
        <v>0</v>
      </c>
      <c r="M57" s="723">
        <f t="shared" si="9"/>
        <v>1046856</v>
      </c>
      <c r="O57" s="320"/>
      <c r="P57" s="819"/>
      <c r="Q57" s="320"/>
      <c r="R57" s="320"/>
      <c r="S57" s="320"/>
      <c r="T57" s="320"/>
      <c r="U57" s="320"/>
      <c r="V57" s="320"/>
      <c r="W57" s="320"/>
      <c r="X57" s="320"/>
      <c r="Y57" s="320"/>
      <c r="Z57" s="320"/>
      <c r="AA57" s="320"/>
      <c r="AB57" s="320"/>
    </row>
    <row r="58" spans="1:28" s="752" customFormat="1">
      <c r="A58" s="460">
        <v>41</v>
      </c>
      <c r="B58" s="752" t="s">
        <v>174</v>
      </c>
      <c r="D58" s="762">
        <f>Input!$JW$13</f>
        <v>0</v>
      </c>
      <c r="E58" s="762">
        <f>Input!$JX$13</f>
        <v>2071497</v>
      </c>
      <c r="F58" s="762">
        <f>Input!$JY$13</f>
        <v>0</v>
      </c>
      <c r="G58" s="762">
        <f>Input!$JZ$13</f>
        <v>1880346</v>
      </c>
      <c r="H58" s="762">
        <f>Input!$KA$13</f>
        <v>0</v>
      </c>
      <c r="I58" s="762">
        <f>Input!$KB$13</f>
        <v>0</v>
      </c>
      <c r="J58" s="762">
        <f>Input!$KC$13</f>
        <v>0</v>
      </c>
      <c r="K58" s="762">
        <f>Input!$KD$13</f>
        <v>0</v>
      </c>
      <c r="L58" s="762">
        <f>Input!$KE$13</f>
        <v>0</v>
      </c>
      <c r="M58" s="723">
        <f t="shared" si="9"/>
        <v>3951843</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Input!$KF$13</f>
        <v>0</v>
      </c>
      <c r="E59" s="762">
        <f>Input!$KG$13</f>
        <v>52433326</v>
      </c>
      <c r="F59" s="762">
        <f>Input!$KH$13</f>
        <v>0</v>
      </c>
      <c r="G59" s="762">
        <f>Input!$KI$13</f>
        <v>56851</v>
      </c>
      <c r="H59" s="762">
        <f>Input!$KJ$13</f>
        <v>322</v>
      </c>
      <c r="I59" s="762">
        <f>Input!$KK$13</f>
        <v>0</v>
      </c>
      <c r="J59" s="762">
        <f>Input!$KL$13</f>
        <v>0</v>
      </c>
      <c r="K59" s="762">
        <f>Input!$KM$13</f>
        <v>0</v>
      </c>
      <c r="L59" s="762">
        <f>Input!$KN$13</f>
        <v>0</v>
      </c>
      <c r="M59" s="723">
        <f t="shared" si="9"/>
        <v>52490499</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Input!$KO$13</f>
        <v>0</v>
      </c>
      <c r="E60" s="762">
        <f>Input!$KP$13</f>
        <v>0</v>
      </c>
      <c r="F60" s="762">
        <f>Input!$KQ$13</f>
        <v>695653</v>
      </c>
      <c r="G60" s="762">
        <f>Input!$KR$13</f>
        <v>0</v>
      </c>
      <c r="H60" s="762">
        <f>Input!$KS$13</f>
        <v>0</v>
      </c>
      <c r="I60" s="762">
        <f>Input!$KT$13</f>
        <v>0</v>
      </c>
      <c r="J60" s="762">
        <f>Input!$KU$13</f>
        <v>0</v>
      </c>
      <c r="K60" s="762">
        <f>Input!$KV$13</f>
        <v>0</v>
      </c>
      <c r="L60" s="762">
        <f>Input!$KW$13</f>
        <v>0</v>
      </c>
      <c r="M60" s="723">
        <f t="shared" si="9"/>
        <v>695653</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Input!$KX$13</f>
        <v>275</v>
      </c>
      <c r="E61" s="762">
        <f>Input!$KY$13</f>
        <v>6681558</v>
      </c>
      <c r="F61" s="762">
        <f>Input!$KZ$13</f>
        <v>0</v>
      </c>
      <c r="G61" s="762">
        <f>Input!$LA$13</f>
        <v>143011</v>
      </c>
      <c r="H61" s="762">
        <f>Input!$LB$13</f>
        <v>30590</v>
      </c>
      <c r="I61" s="762">
        <f>Input!$LC$13</f>
        <v>0</v>
      </c>
      <c r="J61" s="762">
        <f>Input!$LD$13</f>
        <v>0</v>
      </c>
      <c r="K61" s="762">
        <f>Input!$LE$13</f>
        <v>0</v>
      </c>
      <c r="L61" s="762">
        <f>Input!$LF$13</f>
        <v>-732139</v>
      </c>
      <c r="M61" s="723">
        <f t="shared" si="9"/>
        <v>6123295</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20673</v>
      </c>
      <c r="E62" s="769">
        <f t="shared" si="10"/>
        <v>74081915</v>
      </c>
      <c r="F62" s="769">
        <f t="shared" si="10"/>
        <v>695653</v>
      </c>
      <c r="G62" s="769">
        <f t="shared" si="10"/>
        <v>5371782</v>
      </c>
      <c r="H62" s="769">
        <f t="shared" si="10"/>
        <v>25963</v>
      </c>
      <c r="I62" s="769">
        <f t="shared" si="10"/>
        <v>1461478</v>
      </c>
      <c r="J62" s="769">
        <f t="shared" si="10"/>
        <v>0</v>
      </c>
      <c r="K62" s="769">
        <f t="shared" si="10"/>
        <v>0</v>
      </c>
      <c r="L62" s="769">
        <f t="shared" si="10"/>
        <v>-732139</v>
      </c>
      <c r="M62" s="769">
        <f t="shared" si="9"/>
        <v>80925325</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140060062</v>
      </c>
      <c r="E63" s="769">
        <f t="shared" ref="E63:M63" si="11">E15+E44+E47+E50+E53+E62</f>
        <v>114840154</v>
      </c>
      <c r="F63" s="769">
        <f t="shared" si="11"/>
        <v>695653</v>
      </c>
      <c r="G63" s="769">
        <f t="shared" si="11"/>
        <v>56693709</v>
      </c>
      <c r="H63" s="769">
        <f t="shared" si="11"/>
        <v>25963</v>
      </c>
      <c r="I63" s="769">
        <f t="shared" si="11"/>
        <v>1461478</v>
      </c>
      <c r="J63" s="769">
        <f t="shared" si="11"/>
        <v>0</v>
      </c>
      <c r="K63" s="769">
        <f t="shared" si="11"/>
        <v>0</v>
      </c>
      <c r="L63" s="769">
        <f t="shared" si="11"/>
        <v>-732139</v>
      </c>
      <c r="M63" s="769">
        <f t="shared" si="11"/>
        <v>313044880</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Input!$LG$13</f>
        <v>46750586</v>
      </c>
      <c r="E65" s="762">
        <f>Input!$LH$13</f>
        <v>30487973</v>
      </c>
      <c r="F65" s="762">
        <f>Input!$LI$13</f>
        <v>0</v>
      </c>
      <c r="G65" s="762">
        <f>Input!$LJ$13</f>
        <v>2300177</v>
      </c>
      <c r="H65" s="762">
        <f>Input!$LK$13</f>
        <v>0</v>
      </c>
      <c r="I65" s="762">
        <f>Input!$LL$13</f>
        <v>0</v>
      </c>
      <c r="J65" s="762">
        <f>Input!$LM$13</f>
        <v>0</v>
      </c>
      <c r="K65" s="762">
        <f>Input!$LN$13</f>
        <v>0</v>
      </c>
      <c r="L65" s="762">
        <f>Input!$LO$13</f>
        <v>0</v>
      </c>
      <c r="M65" s="723">
        <f t="shared" ref="M65:M77" si="12">D65+E65+F65+G65+H65+I65+J65+K65+L65</f>
        <v>79538736</v>
      </c>
      <c r="O65" s="824">
        <f>D65+E65+G65</f>
        <v>79538736</v>
      </c>
      <c r="P65" s="825">
        <f>Input!$TK$13</f>
        <v>1679009</v>
      </c>
      <c r="Q65" s="825">
        <f>Input!$TU$13</f>
        <v>0</v>
      </c>
      <c r="R65" s="825">
        <f>Input!$UD$13</f>
        <v>0</v>
      </c>
      <c r="S65" s="826">
        <f>O65+P65-Q65-R65</f>
        <v>81217745</v>
      </c>
      <c r="T65" s="492"/>
      <c r="U65" s="827">
        <f>D65+E65+F65+G65+J65</f>
        <v>79538736</v>
      </c>
      <c r="V65" s="492"/>
      <c r="W65" s="828" t="s">
        <v>92</v>
      </c>
      <c r="X65" s="829">
        <f>Input!$UO$13</f>
        <v>79538736</v>
      </c>
      <c r="Y65" s="830">
        <f t="shared" ref="Y65:Y74" si="13">X65-M65</f>
        <v>0</v>
      </c>
      <c r="Z65" s="492"/>
      <c r="AA65" s="492"/>
      <c r="AB65" s="492"/>
    </row>
    <row r="66" spans="1:28" s="752" customFormat="1" ht="14.4" thickTop="1" thickBot="1">
      <c r="A66" s="460">
        <v>49</v>
      </c>
      <c r="B66" s="823" t="s">
        <v>179</v>
      </c>
      <c r="C66" s="823"/>
      <c r="D66" s="762">
        <f>Input!$LP$13</f>
        <v>2993099</v>
      </c>
      <c r="E66" s="762">
        <f>Input!$LQ$13</f>
        <v>8129319</v>
      </c>
      <c r="F66" s="762">
        <f>Input!$LR$13</f>
        <v>0</v>
      </c>
      <c r="G66" s="762">
        <f>Input!$LS$13</f>
        <v>35293862</v>
      </c>
      <c r="H66" s="762">
        <f>Input!$LT$13</f>
        <v>0</v>
      </c>
      <c r="I66" s="762">
        <f>Input!$LU$13</f>
        <v>0</v>
      </c>
      <c r="J66" s="762">
        <f>Input!$LV$13</f>
        <v>0</v>
      </c>
      <c r="K66" s="762">
        <f>Input!$LW$13</f>
        <v>0</v>
      </c>
      <c r="L66" s="762">
        <f>Input!$LX$13</f>
        <v>0</v>
      </c>
      <c r="M66" s="723">
        <f t="shared" si="12"/>
        <v>46416280</v>
      </c>
      <c r="O66" s="831">
        <f t="shared" ref="O66:O72" si="14">D66+E66+G66</f>
        <v>46416280</v>
      </c>
      <c r="P66" s="832">
        <f>Input!$TL$13</f>
        <v>2114316</v>
      </c>
      <c r="Q66" s="832">
        <f>Input!$TV$13</f>
        <v>865949</v>
      </c>
      <c r="R66" s="832">
        <f>Input!$UE$13</f>
        <v>0</v>
      </c>
      <c r="S66" s="833">
        <f>O66+P66-Q66-R66</f>
        <v>47664647</v>
      </c>
      <c r="T66" s="492"/>
      <c r="U66" s="834">
        <f t="shared" ref="U66:U76" si="15">D66+E66+F66+G66+J66</f>
        <v>46416280</v>
      </c>
      <c r="V66" s="492"/>
      <c r="W66" s="828" t="s">
        <v>179</v>
      </c>
      <c r="X66" s="835">
        <f>Input!$UP$13</f>
        <v>46416280</v>
      </c>
      <c r="Y66" s="836">
        <f t="shared" si="13"/>
        <v>0</v>
      </c>
      <c r="Z66" s="723"/>
      <c r="AA66" s="723"/>
      <c r="AB66" s="723"/>
    </row>
    <row r="67" spans="1:28" s="752" customFormat="1" ht="13.8" thickTop="1">
      <c r="A67" s="460">
        <v>50</v>
      </c>
      <c r="B67" s="823" t="s">
        <v>180</v>
      </c>
      <c r="C67" s="823"/>
      <c r="D67" s="762">
        <f>Input!$LY$13</f>
        <v>19194062</v>
      </c>
      <c r="E67" s="762">
        <f>Input!$LZ$13</f>
        <v>21050906</v>
      </c>
      <c r="F67" s="762">
        <f>Input!$MA$13</f>
        <v>0</v>
      </c>
      <c r="G67" s="762">
        <f>Input!$MB$13</f>
        <v>6271699</v>
      </c>
      <c r="H67" s="762">
        <f>Input!$MC$13</f>
        <v>0</v>
      </c>
      <c r="I67" s="762">
        <f>Input!$MD$13</f>
        <v>0</v>
      </c>
      <c r="J67" s="762">
        <f>Input!$ME$13</f>
        <v>0</v>
      </c>
      <c r="K67" s="762">
        <f>Input!$MF$13</f>
        <v>0</v>
      </c>
      <c r="L67" s="762">
        <f>Input!$MG$13</f>
        <v>0</v>
      </c>
      <c r="M67" s="723">
        <f t="shared" si="12"/>
        <v>46516667</v>
      </c>
      <c r="O67" s="831">
        <f t="shared" si="14"/>
        <v>46516667</v>
      </c>
      <c r="P67" s="832">
        <f>Input!$TM$13</f>
        <v>2193117</v>
      </c>
      <c r="Q67" s="832">
        <f>Input!$TW$13</f>
        <v>0</v>
      </c>
      <c r="R67" s="832">
        <f>Input!$UF$13</f>
        <v>0</v>
      </c>
      <c r="S67" s="837">
        <f t="shared" ref="S67:S72" si="16">O67+P67-Q67-R67</f>
        <v>48709784</v>
      </c>
      <c r="T67" s="723"/>
      <c r="U67" s="834">
        <f t="shared" si="15"/>
        <v>46516667</v>
      </c>
      <c r="V67" s="723"/>
      <c r="W67" s="828" t="s">
        <v>180</v>
      </c>
      <c r="X67" s="835">
        <f>Input!$UQ$13</f>
        <v>46516667</v>
      </c>
      <c r="Y67" s="836">
        <f t="shared" si="13"/>
        <v>0</v>
      </c>
      <c r="Z67" s="723"/>
      <c r="AA67" s="723"/>
      <c r="AB67" s="723"/>
    </row>
    <row r="68" spans="1:28" s="752" customFormat="1">
      <c r="A68" s="460">
        <v>51</v>
      </c>
      <c r="B68" s="823" t="s">
        <v>164</v>
      </c>
      <c r="C68" s="823"/>
      <c r="D68" s="762">
        <f>Input!$MH$13</f>
        <v>0</v>
      </c>
      <c r="E68" s="762">
        <f>Input!$MI$13</f>
        <v>0</v>
      </c>
      <c r="F68" s="762">
        <f>Input!$MJ$13</f>
        <v>0</v>
      </c>
      <c r="G68" s="762">
        <f>Input!$MK$13</f>
        <v>0</v>
      </c>
      <c r="H68" s="762">
        <f>Input!$ML$13</f>
        <v>0</v>
      </c>
      <c r="I68" s="762">
        <f>Input!$MM$13</f>
        <v>0</v>
      </c>
      <c r="J68" s="762">
        <f>Input!$MN$13</f>
        <v>0</v>
      </c>
      <c r="K68" s="762">
        <f>Input!$MO$13</f>
        <v>0</v>
      </c>
      <c r="L68" s="762">
        <f>Input!$MP$13</f>
        <v>0</v>
      </c>
      <c r="M68" s="723">
        <f t="shared" si="12"/>
        <v>0</v>
      </c>
      <c r="O68" s="831">
        <f t="shared" si="14"/>
        <v>0</v>
      </c>
      <c r="P68" s="832">
        <f>Input!$TN$13</f>
        <v>0</v>
      </c>
      <c r="Q68" s="832">
        <f>Input!$TX$13</f>
        <v>0</v>
      </c>
      <c r="R68" s="832">
        <f>Input!$UG$13</f>
        <v>0</v>
      </c>
      <c r="S68" s="837">
        <f t="shared" si="16"/>
        <v>0</v>
      </c>
      <c r="T68" s="723"/>
      <c r="U68" s="834">
        <f t="shared" si="15"/>
        <v>0</v>
      </c>
      <c r="V68" s="723"/>
      <c r="W68" s="828" t="s">
        <v>164</v>
      </c>
      <c r="X68" s="835">
        <f>Input!$UR$13</f>
        <v>0</v>
      </c>
      <c r="Y68" s="836">
        <f t="shared" si="13"/>
        <v>0</v>
      </c>
      <c r="Z68" s="723"/>
      <c r="AA68" s="723"/>
      <c r="AB68" s="723"/>
    </row>
    <row r="69" spans="1:28" s="752" customFormat="1">
      <c r="A69" s="460">
        <v>52</v>
      </c>
      <c r="B69" s="823" t="s">
        <v>181</v>
      </c>
      <c r="C69" s="823"/>
      <c r="D69" s="762">
        <f>Input!$MQ$13</f>
        <v>16043698</v>
      </c>
      <c r="E69" s="762">
        <f>Input!$MR$13</f>
        <v>11036464</v>
      </c>
      <c r="F69" s="762">
        <f>Input!$MS$13</f>
        <v>0</v>
      </c>
      <c r="G69" s="762">
        <f>Input!$MT$13</f>
        <v>329496</v>
      </c>
      <c r="H69" s="762">
        <f>Input!$MU$13</f>
        <v>0</v>
      </c>
      <c r="I69" s="762">
        <f>Input!$MV$13</f>
        <v>0</v>
      </c>
      <c r="J69" s="762">
        <f>Input!$MW$13</f>
        <v>0</v>
      </c>
      <c r="K69" s="762">
        <f>Input!$MX$13</f>
        <v>0</v>
      </c>
      <c r="L69" s="762">
        <f>Input!$MY$13</f>
        <v>0</v>
      </c>
      <c r="M69" s="723">
        <f t="shared" si="12"/>
        <v>27409658</v>
      </c>
      <c r="O69" s="831">
        <f t="shared" si="14"/>
        <v>27409658</v>
      </c>
      <c r="P69" s="832">
        <f>Input!$TO$13</f>
        <v>2483801</v>
      </c>
      <c r="Q69" s="832">
        <f>Input!$TY$13</f>
        <v>0</v>
      </c>
      <c r="R69" s="832">
        <f>Input!$UH$13</f>
        <v>0</v>
      </c>
      <c r="S69" s="837">
        <f t="shared" si="16"/>
        <v>29893459</v>
      </c>
      <c r="T69" s="723"/>
      <c r="U69" s="834">
        <f t="shared" si="15"/>
        <v>27409658</v>
      </c>
      <c r="V69" s="723"/>
      <c r="W69" s="828" t="s">
        <v>181</v>
      </c>
      <c r="X69" s="835">
        <f>Input!$US$13</f>
        <v>27409658</v>
      </c>
      <c r="Y69" s="836">
        <f t="shared" si="13"/>
        <v>0</v>
      </c>
      <c r="Z69" s="723"/>
      <c r="AA69" s="723"/>
      <c r="AB69" s="723"/>
    </row>
    <row r="70" spans="1:28" s="752" customFormat="1">
      <c r="A70" s="460">
        <v>53</v>
      </c>
      <c r="B70" s="823" t="s">
        <v>182</v>
      </c>
      <c r="C70" s="823"/>
      <c r="D70" s="762">
        <f>Input!$MZ$13</f>
        <v>4205952</v>
      </c>
      <c r="E70" s="762">
        <f>Input!$NA$13</f>
        <v>3762476</v>
      </c>
      <c r="F70" s="762">
        <f>Input!$NB$13</f>
        <v>0</v>
      </c>
      <c r="G70" s="762">
        <f>Input!$NC$13</f>
        <v>40525</v>
      </c>
      <c r="H70" s="762">
        <f>Input!$ND$13</f>
        <v>9635</v>
      </c>
      <c r="I70" s="762">
        <f>Input!$NE$13</f>
        <v>0</v>
      </c>
      <c r="J70" s="762">
        <f>Input!$NF$13</f>
        <v>0</v>
      </c>
      <c r="K70" s="762">
        <f>Input!$NG$13</f>
        <v>0</v>
      </c>
      <c r="L70" s="762">
        <f>Input!$NH$13</f>
        <v>0</v>
      </c>
      <c r="M70" s="723">
        <f t="shared" si="12"/>
        <v>8018588</v>
      </c>
      <c r="O70" s="831">
        <f t="shared" si="14"/>
        <v>8008953</v>
      </c>
      <c r="P70" s="832">
        <f>Input!$TP$13</f>
        <v>9059</v>
      </c>
      <c r="Q70" s="832">
        <f>Input!$TZ$13</f>
        <v>0</v>
      </c>
      <c r="R70" s="832">
        <f>Input!$UI$13</f>
        <v>0</v>
      </c>
      <c r="S70" s="837">
        <f t="shared" si="16"/>
        <v>8018012</v>
      </c>
      <c r="T70" s="723"/>
      <c r="U70" s="834">
        <f t="shared" si="15"/>
        <v>8008953</v>
      </c>
      <c r="V70" s="723"/>
      <c r="W70" s="828" t="s">
        <v>182</v>
      </c>
      <c r="X70" s="835">
        <f>Input!$UT$13</f>
        <v>8018588</v>
      </c>
      <c r="Y70" s="836">
        <f t="shared" si="13"/>
        <v>0</v>
      </c>
      <c r="Z70" s="723"/>
      <c r="AA70" s="723"/>
      <c r="AB70" s="723"/>
    </row>
    <row r="71" spans="1:28" s="752" customFormat="1">
      <c r="A71" s="460">
        <v>54</v>
      </c>
      <c r="B71" s="823" t="s">
        <v>183</v>
      </c>
      <c r="C71" s="823"/>
      <c r="D71" s="762">
        <f>Input!$NI$13</f>
        <v>14630723</v>
      </c>
      <c r="E71" s="762">
        <f>Input!$NJ$13</f>
        <v>6741642</v>
      </c>
      <c r="F71" s="762">
        <f>Input!$NK$13</f>
        <v>0</v>
      </c>
      <c r="G71" s="762">
        <f>Input!$NL$13</f>
        <v>380580</v>
      </c>
      <c r="H71" s="762">
        <f>Input!$NM$13</f>
        <v>0</v>
      </c>
      <c r="I71" s="762">
        <f>Input!$NN$13</f>
        <v>107653</v>
      </c>
      <c r="J71" s="762">
        <f>Input!$NO$13</f>
        <v>209</v>
      </c>
      <c r="K71" s="762">
        <f>Input!$NP$13</f>
        <v>0</v>
      </c>
      <c r="L71" s="762">
        <f>Input!$NQ$13</f>
        <v>0</v>
      </c>
      <c r="M71" s="723">
        <f t="shared" si="12"/>
        <v>21860807</v>
      </c>
      <c r="O71" s="831">
        <f t="shared" si="14"/>
        <v>21752945</v>
      </c>
      <c r="P71" s="832">
        <f>Input!$TQ$13</f>
        <v>11006</v>
      </c>
      <c r="Q71" s="832">
        <f>Input!$UA$13</f>
        <v>0</v>
      </c>
      <c r="R71" s="832">
        <f>Input!$UJ$13</f>
        <v>0</v>
      </c>
      <c r="S71" s="837">
        <f t="shared" si="16"/>
        <v>21763951</v>
      </c>
      <c r="T71" s="723"/>
      <c r="U71" s="834">
        <f t="shared" si="15"/>
        <v>21753154</v>
      </c>
      <c r="V71" s="723"/>
      <c r="W71" s="828" t="s">
        <v>183</v>
      </c>
      <c r="X71" s="835">
        <f>Input!$UU$13</f>
        <v>21860807</v>
      </c>
      <c r="Y71" s="836">
        <f t="shared" si="13"/>
        <v>0</v>
      </c>
      <c r="Z71" s="723"/>
      <c r="AA71" s="723"/>
      <c r="AB71" s="723"/>
    </row>
    <row r="72" spans="1:28" s="752" customFormat="1">
      <c r="A72" s="460">
        <v>55</v>
      </c>
      <c r="B72" s="823" t="s">
        <v>184</v>
      </c>
      <c r="C72" s="823"/>
      <c r="D72" s="762">
        <f>Input!$NR$13</f>
        <v>13474790</v>
      </c>
      <c r="E72" s="762">
        <f>Input!$NS$13</f>
        <v>3431219</v>
      </c>
      <c r="F72" s="762">
        <f>Input!$NT$13</f>
        <v>0</v>
      </c>
      <c r="G72" s="762">
        <f>Input!$NU$13</f>
        <v>23591</v>
      </c>
      <c r="H72" s="762">
        <f>Input!$NV$13</f>
        <v>0</v>
      </c>
      <c r="I72" s="762">
        <f>Input!$NW$13</f>
        <v>0</v>
      </c>
      <c r="J72" s="762">
        <f>Input!$NX$13</f>
        <v>0</v>
      </c>
      <c r="K72" s="762">
        <f>Input!$NY$13</f>
        <v>0</v>
      </c>
      <c r="L72" s="762">
        <f>Input!$NZ$13</f>
        <v>118660</v>
      </c>
      <c r="M72" s="723">
        <f t="shared" si="12"/>
        <v>17048260</v>
      </c>
      <c r="O72" s="831">
        <f t="shared" si="14"/>
        <v>16929600</v>
      </c>
      <c r="P72" s="832">
        <f>Input!$TR$13</f>
        <v>3390468</v>
      </c>
      <c r="Q72" s="832">
        <f>Input!$UB$13</f>
        <v>0</v>
      </c>
      <c r="R72" s="832">
        <f>Input!$UK$13</f>
        <v>0</v>
      </c>
      <c r="S72" s="837">
        <f t="shared" si="16"/>
        <v>20320068</v>
      </c>
      <c r="T72" s="723"/>
      <c r="U72" s="834">
        <f t="shared" si="15"/>
        <v>16929600</v>
      </c>
      <c r="V72" s="723"/>
      <c r="W72" s="828" t="s">
        <v>671</v>
      </c>
      <c r="X72" s="835">
        <f>Input!$UV$13</f>
        <v>17048260</v>
      </c>
      <c r="Y72" s="836">
        <f t="shared" si="13"/>
        <v>0</v>
      </c>
      <c r="Z72" s="723"/>
      <c r="AA72" s="723"/>
      <c r="AB72" s="723"/>
    </row>
    <row r="73" spans="1:28" s="752" customFormat="1" ht="13.8" thickBot="1">
      <c r="A73" s="460">
        <v>56</v>
      </c>
      <c r="B73" s="823" t="s">
        <v>185</v>
      </c>
      <c r="C73" s="823"/>
      <c r="D73" s="762">
        <f>Input!$OA$13</f>
        <v>386100</v>
      </c>
      <c r="E73" s="762">
        <f>Input!$OB$13</f>
        <v>691790</v>
      </c>
      <c r="F73" s="762">
        <f>Input!$OC$13</f>
        <v>0</v>
      </c>
      <c r="G73" s="762">
        <f>Input!$OD$13</f>
        <v>1409775</v>
      </c>
      <c r="H73" s="762">
        <f>Input!$OE$13</f>
        <v>124600</v>
      </c>
      <c r="I73" s="762">
        <f>Input!$OF$13</f>
        <v>0</v>
      </c>
      <c r="J73" s="762">
        <f>Input!$OG$13</f>
        <v>0</v>
      </c>
      <c r="K73" s="762">
        <f>Input!$OH$13</f>
        <v>0</v>
      </c>
      <c r="L73" s="762">
        <f>Input!$OI$13</f>
        <v>0</v>
      </c>
      <c r="M73" s="723">
        <f t="shared" si="12"/>
        <v>2612265</v>
      </c>
      <c r="O73" s="838">
        <f>D73+E73+G73</f>
        <v>2487665</v>
      </c>
      <c r="P73" s="832">
        <f>Input!$TS$13</f>
        <v>14600</v>
      </c>
      <c r="Q73" s="839">
        <f>Input!$UC$13</f>
        <v>0</v>
      </c>
      <c r="R73" s="839">
        <f>Input!$UL$13</f>
        <v>0</v>
      </c>
      <c r="S73" s="840">
        <f>O73+P73-Q73-R73</f>
        <v>2502265</v>
      </c>
      <c r="T73" s="841"/>
      <c r="U73" s="834">
        <f t="shared" si="15"/>
        <v>2487665</v>
      </c>
      <c r="V73" s="841"/>
      <c r="W73" s="828" t="s">
        <v>185</v>
      </c>
      <c r="X73" s="835">
        <f>Input!$UW$13</f>
        <v>2612265</v>
      </c>
      <c r="Y73" s="836">
        <f t="shared" si="13"/>
        <v>0</v>
      </c>
      <c r="Z73" s="723"/>
      <c r="AA73" s="723"/>
      <c r="AB73" s="723"/>
    </row>
    <row r="74" spans="1:28" s="752" customFormat="1" ht="13.8" thickTop="1">
      <c r="A74" s="460">
        <v>57</v>
      </c>
      <c r="B74" s="823" t="s">
        <v>472</v>
      </c>
      <c r="C74" s="823"/>
      <c r="D74" s="762">
        <f>Input!$OJ$13</f>
        <v>0</v>
      </c>
      <c r="E74" s="762">
        <f>Input!$OK$13</f>
        <v>0</v>
      </c>
      <c r="F74" s="762">
        <f>Input!$OL$13</f>
        <v>177508</v>
      </c>
      <c r="G74" s="762">
        <f>Input!$OM$13</f>
        <v>0</v>
      </c>
      <c r="H74" s="762">
        <f>Input!$ON$13</f>
        <v>0</v>
      </c>
      <c r="I74" s="762">
        <f>Input!$OO$13</f>
        <v>0</v>
      </c>
      <c r="J74" s="762">
        <f>Input!$OP$13</f>
        <v>0</v>
      </c>
      <c r="K74" s="762">
        <f>Input!$OQ$13</f>
        <v>0</v>
      </c>
      <c r="L74" s="762">
        <f>Input!$OR$13</f>
        <v>0</v>
      </c>
      <c r="M74" s="723">
        <f t="shared" si="12"/>
        <v>177508</v>
      </c>
      <c r="O74" s="492"/>
      <c r="P74" s="842">
        <f>Input!$TT$13</f>
        <v>0</v>
      </c>
      <c r="Q74" s="843"/>
      <c r="R74" s="844"/>
      <c r="S74" s="845">
        <f>SUM(S65:S73)</f>
        <v>260089931</v>
      </c>
      <c r="T74" s="844"/>
      <c r="U74" s="834">
        <f t="shared" si="15"/>
        <v>177508</v>
      </c>
      <c r="V74" s="844"/>
      <c r="W74" s="828" t="s">
        <v>186</v>
      </c>
      <c r="X74" s="835">
        <f>Input!$UX$13</f>
        <v>177508</v>
      </c>
      <c r="Y74" s="836">
        <f t="shared" si="13"/>
        <v>0</v>
      </c>
      <c r="Z74" s="723"/>
      <c r="AA74" s="723"/>
      <c r="AB74" s="723"/>
    </row>
    <row r="75" spans="1:28" s="752" customFormat="1">
      <c r="A75" s="460">
        <v>58</v>
      </c>
      <c r="B75" s="846" t="s">
        <v>602</v>
      </c>
      <c r="C75" s="846"/>
      <c r="D75" s="762">
        <f>Input!$OS$13</f>
        <v>7174829</v>
      </c>
      <c r="E75" s="762">
        <f>Input!$OT$13</f>
        <v>4517492</v>
      </c>
      <c r="F75" s="762">
        <f>Input!$OU$13</f>
        <v>14600</v>
      </c>
      <c r="G75" s="762">
        <f>Input!$OV$13</f>
        <v>188455</v>
      </c>
      <c r="H75" s="762">
        <f>Input!$OW$13</f>
        <v>0</v>
      </c>
      <c r="I75" s="762">
        <f>Input!$OX$13</f>
        <v>0</v>
      </c>
      <c r="J75" s="762">
        <f>Input!$OY$13</f>
        <v>0</v>
      </c>
      <c r="K75" s="762">
        <f>Input!$OZ$13</f>
        <v>0</v>
      </c>
      <c r="L75" s="762">
        <f>Input!$PA$13</f>
        <v>0</v>
      </c>
      <c r="M75" s="723">
        <f t="shared" si="12"/>
        <v>11895376</v>
      </c>
      <c r="O75" s="492"/>
      <c r="P75" s="492">
        <f>SUM(P65:P74)</f>
        <v>11895376</v>
      </c>
      <c r="Q75" s="843" t="s">
        <v>672</v>
      </c>
      <c r="R75" s="844"/>
      <c r="S75" s="847"/>
      <c r="T75" s="844"/>
      <c r="U75" s="834">
        <f t="shared" si="15"/>
        <v>11895376</v>
      </c>
      <c r="V75" s="844"/>
      <c r="W75" s="828" t="s">
        <v>673</v>
      </c>
      <c r="X75" s="848">
        <f>M93*-1</f>
        <v>20848813</v>
      </c>
      <c r="Y75" s="836">
        <f>X75+M93</f>
        <v>0</v>
      </c>
      <c r="Z75" s="849"/>
      <c r="AA75" s="849"/>
      <c r="AB75" s="849"/>
    </row>
    <row r="76" spans="1:28" s="752" customFormat="1" ht="13.8" thickBot="1">
      <c r="A76" s="460">
        <v>59</v>
      </c>
      <c r="B76" s="850" t="s">
        <v>603</v>
      </c>
      <c r="C76" s="850"/>
      <c r="D76" s="851">
        <f>Input!$PB$13</f>
        <v>-6574</v>
      </c>
      <c r="E76" s="851">
        <f>Input!$PC$13</f>
        <v>171648</v>
      </c>
      <c r="F76" s="851">
        <f>Input!$PD$13</f>
        <v>0</v>
      </c>
      <c r="G76" s="851">
        <f>Input!$PE$13</f>
        <v>691263</v>
      </c>
      <c r="H76" s="851">
        <f>Input!$PF$13</f>
        <v>-209852</v>
      </c>
      <c r="I76" s="851">
        <f>Input!$PG$13</f>
        <v>0</v>
      </c>
      <c r="J76" s="851">
        <f>Input!$PH$13</f>
        <v>0</v>
      </c>
      <c r="K76" s="851">
        <f>Input!$PI$13</f>
        <v>0</v>
      </c>
      <c r="L76" s="851">
        <f>Input!$PJ$13</f>
        <v>-126125</v>
      </c>
      <c r="M76" s="723">
        <f t="shared" si="12"/>
        <v>520360</v>
      </c>
      <c r="O76" s="492"/>
      <c r="P76" s="852" t="str">
        <f>IF(P75&lt;&gt;M75,"Out of Balance","Balanced")</f>
        <v>Balanced</v>
      </c>
      <c r="Q76" s="1213" t="s">
        <v>674</v>
      </c>
      <c r="R76" s="1214"/>
      <c r="S76" s="853">
        <f>Input!$UM$13</f>
        <v>0</v>
      </c>
      <c r="T76" s="492"/>
      <c r="U76" s="854">
        <f t="shared" si="15"/>
        <v>856337</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124847265</v>
      </c>
      <c r="E77" s="769">
        <f t="shared" si="17"/>
        <v>90020929</v>
      </c>
      <c r="F77" s="769">
        <f t="shared" si="17"/>
        <v>192108</v>
      </c>
      <c r="G77" s="769">
        <f t="shared" si="17"/>
        <v>46929423</v>
      </c>
      <c r="H77" s="769">
        <f t="shared" si="17"/>
        <v>-75617</v>
      </c>
      <c r="I77" s="769">
        <f t="shared" si="17"/>
        <v>107653</v>
      </c>
      <c r="J77" s="769">
        <f t="shared" si="17"/>
        <v>209</v>
      </c>
      <c r="K77" s="769">
        <f t="shared" si="17"/>
        <v>0</v>
      </c>
      <c r="L77" s="769">
        <f t="shared" si="17"/>
        <v>-7465</v>
      </c>
      <c r="M77" s="769">
        <f t="shared" si="12"/>
        <v>262014505</v>
      </c>
      <c r="O77" s="320"/>
      <c r="P77" s="492"/>
      <c r="Q77" s="859" t="s">
        <v>676</v>
      </c>
      <c r="R77" s="860"/>
      <c r="S77" s="861">
        <f>Input!$UN$13</f>
        <v>0</v>
      </c>
      <c r="T77" s="320"/>
      <c r="U77" s="862">
        <f>SUM(U65:U76)</f>
        <v>261989934</v>
      </c>
      <c r="V77" s="320"/>
      <c r="W77" s="320"/>
      <c r="X77" s="863">
        <f>SUM(X65:X76)</f>
        <v>270447582</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260089931</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t="s">
        <v>710</v>
      </c>
      <c r="R79" s="320"/>
      <c r="S79" s="443"/>
      <c r="T79" s="492"/>
      <c r="U79" s="492"/>
      <c r="V79" s="320"/>
      <c r="W79" s="320"/>
      <c r="X79" s="320"/>
      <c r="Y79" s="320"/>
      <c r="Z79" s="320"/>
      <c r="AA79" s="320"/>
      <c r="AB79" s="320"/>
    </row>
    <row r="80" spans="1:28" s="752" customFormat="1">
      <c r="A80" s="460">
        <v>63</v>
      </c>
      <c r="B80" s="752" t="s">
        <v>604</v>
      </c>
      <c r="D80" s="762">
        <f>Input!$PK$13</f>
        <v>0</v>
      </c>
      <c r="E80" s="762">
        <f>Input!$PL$13</f>
        <v>0</v>
      </c>
      <c r="F80" s="762">
        <f>Input!$PM$13</f>
        <v>0</v>
      </c>
      <c r="G80" s="762">
        <f>Input!$PN$13</f>
        <v>0</v>
      </c>
      <c r="H80" s="762">
        <f>Input!$PO$13</f>
        <v>0</v>
      </c>
      <c r="I80" s="762">
        <f>Input!$PP$13</f>
        <v>0</v>
      </c>
      <c r="J80" s="762">
        <f>Input!$PQ$13</f>
        <v>0</v>
      </c>
      <c r="K80" s="762">
        <f>Input!$PR$13</f>
        <v>0</v>
      </c>
      <c r="L80" s="762">
        <f>Input!$PS$13</f>
        <v>-14506248</v>
      </c>
      <c r="M80" s="723">
        <f>D80+E80+F80+G80+H80+I80+J80+K80+L80</f>
        <v>-14506248</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Input!$PT$13</f>
        <v>-18841172</v>
      </c>
      <c r="E81" s="762">
        <f>Input!$PU$13</f>
        <v>-4516296</v>
      </c>
      <c r="F81" s="762">
        <f>Input!$PV$13</f>
        <v>-173040</v>
      </c>
      <c r="G81" s="762">
        <f>Input!$PW$13</f>
        <v>598413</v>
      </c>
      <c r="H81" s="762">
        <f>Input!$PX$13</f>
        <v>874902</v>
      </c>
      <c r="I81" s="762">
        <f>Input!$PY$13</f>
        <v>-1065430</v>
      </c>
      <c r="J81" s="762">
        <f>Input!$PZ$13</f>
        <v>0</v>
      </c>
      <c r="K81" s="762">
        <f>Input!$QA$13</f>
        <v>-14175088</v>
      </c>
      <c r="L81" s="762">
        <f>Input!$QB$13</f>
        <v>17786749</v>
      </c>
      <c r="M81" s="723">
        <f>D81+E81+F81+G81+H81+I81+J81+K81+L81</f>
        <v>-19510962</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Input!$QC$13</f>
        <v>0</v>
      </c>
      <c r="E82" s="762">
        <f>Input!$QD$13</f>
        <v>0</v>
      </c>
      <c r="F82" s="762">
        <f>Input!$QE$13</f>
        <v>0</v>
      </c>
      <c r="G82" s="762">
        <f>Input!$QF$13</f>
        <v>0</v>
      </c>
      <c r="H82" s="762">
        <f>Input!$QG$13</f>
        <v>0</v>
      </c>
      <c r="I82" s="762">
        <f>Input!$QH$13</f>
        <v>0</v>
      </c>
      <c r="J82" s="762">
        <f>Input!$QI$13</f>
        <v>0</v>
      </c>
      <c r="K82" s="762">
        <f>Input!$QJ$13</f>
        <v>0</v>
      </c>
      <c r="L82" s="762">
        <f>Input!$QK$13</f>
        <v>0</v>
      </c>
      <c r="M82" s="723">
        <f>D82+E82+F82+G82+H82+I82+J82+K82+L82</f>
        <v>0</v>
      </c>
      <c r="O82" s="492"/>
      <c r="P82" s="1218" t="str">
        <f>IF(M91&lt;0,"Footnote 11 is N/A - No Data Entry Required","Footnote 11")</f>
        <v>Footnote 11 is N/A - No Data Entry Required</v>
      </c>
      <c r="Q82" s="1219"/>
      <c r="R82" s="1219"/>
      <c r="S82" s="1220"/>
      <c r="T82" s="443"/>
      <c r="U82" s="443"/>
      <c r="V82" s="320"/>
      <c r="W82" s="320"/>
      <c r="X82" s="320"/>
      <c r="Y82" s="320"/>
      <c r="Z82" s="320"/>
      <c r="AA82" s="320"/>
      <c r="AB82" s="320"/>
    </row>
    <row r="83" spans="1:28" s="752" customFormat="1" ht="13.8" thickTop="1">
      <c r="A83" s="460">
        <v>66</v>
      </c>
      <c r="B83" s="752" t="s">
        <v>477</v>
      </c>
      <c r="D83" s="762">
        <f>Input!$QL$13</f>
        <v>0</v>
      </c>
      <c r="E83" s="762">
        <f>Input!$QM$13</f>
        <v>0</v>
      </c>
      <c r="F83" s="762">
        <f>Input!$QN$13</f>
        <v>0</v>
      </c>
      <c r="G83" s="762">
        <f>Input!$QO$13</f>
        <v>0</v>
      </c>
      <c r="H83" s="762">
        <f>Input!$QP$13</f>
        <v>0</v>
      </c>
      <c r="I83" s="762">
        <f>Input!$QQ$13</f>
        <v>0</v>
      </c>
      <c r="J83" s="762">
        <f>Input!$QR$13</f>
        <v>0</v>
      </c>
      <c r="K83" s="762">
        <f>Input!$QS$13</f>
        <v>0</v>
      </c>
      <c r="L83" s="762">
        <f>Input!$QT$13</f>
        <v>-866</v>
      </c>
      <c r="M83" s="723">
        <f>D83+E83+F83+G83+H83+I83+J83+K83+L83</f>
        <v>-866</v>
      </c>
      <c r="O83" s="723"/>
      <c r="P83" s="869" t="s">
        <v>678</v>
      </c>
      <c r="Q83" s="870"/>
      <c r="R83" s="871"/>
      <c r="S83" s="872" t="str">
        <f>IF(M91&lt;0,"N/A",M91)</f>
        <v>N/A</v>
      </c>
      <c r="T83" s="492"/>
      <c r="U83" s="443"/>
      <c r="V83" s="320"/>
      <c r="W83" s="320"/>
      <c r="X83" s="443"/>
      <c r="Y83" s="443"/>
      <c r="Z83" s="320"/>
      <c r="AA83" s="320"/>
      <c r="AB83" s="320"/>
    </row>
    <row r="84" spans="1:28" s="752" customFormat="1">
      <c r="A84" s="460">
        <v>67</v>
      </c>
      <c r="B84" s="858" t="s">
        <v>155</v>
      </c>
      <c r="C84" s="858"/>
      <c r="D84" s="769">
        <f t="shared" ref="D84:L84" si="18">SUM(D80:D83)</f>
        <v>-18841172</v>
      </c>
      <c r="E84" s="769">
        <f t="shared" si="18"/>
        <v>-4516296</v>
      </c>
      <c r="F84" s="769">
        <f t="shared" si="18"/>
        <v>-173040</v>
      </c>
      <c r="G84" s="769">
        <f t="shared" si="18"/>
        <v>598413</v>
      </c>
      <c r="H84" s="769">
        <f t="shared" si="18"/>
        <v>874902</v>
      </c>
      <c r="I84" s="769">
        <f t="shared" si="18"/>
        <v>-1065430</v>
      </c>
      <c r="J84" s="769">
        <f t="shared" si="18"/>
        <v>0</v>
      </c>
      <c r="K84" s="769">
        <f t="shared" si="18"/>
        <v>-14175088</v>
      </c>
      <c r="L84" s="769">
        <f t="shared" si="18"/>
        <v>3279635</v>
      </c>
      <c r="M84" s="769">
        <f>D84+E84+F84+G84+H84+I84+J84+K84+L84</f>
        <v>-34018076</v>
      </c>
      <c r="O84" s="723"/>
      <c r="P84" s="873" t="s">
        <v>679</v>
      </c>
      <c r="Q84" s="492"/>
      <c r="R84" s="492"/>
      <c r="S84" s="874">
        <f>Input!$UY$13</f>
        <v>0</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t="str">
        <f>IF(M91&lt;0,"",S83-S84)</f>
        <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Input!$QU$13</f>
        <v>0</v>
      </c>
      <c r="E87" s="762">
        <f>Input!$QV$13</f>
        <v>-24975391</v>
      </c>
      <c r="F87" s="762">
        <f>Input!$QW$13</f>
        <v>0</v>
      </c>
      <c r="G87" s="762">
        <f>Input!$QX$13</f>
        <v>0</v>
      </c>
      <c r="H87" s="762">
        <f>Input!$QY$13</f>
        <v>0</v>
      </c>
      <c r="I87" s="762">
        <f>Input!$QZ$13</f>
        <v>-9004542</v>
      </c>
      <c r="J87" s="762">
        <f>Input!$RA$13</f>
        <v>0</v>
      </c>
      <c r="K87" s="762">
        <f>Input!$RB$13</f>
        <v>0</v>
      </c>
      <c r="L87" s="762">
        <f>Input!$RC$13</f>
        <v>0</v>
      </c>
      <c r="M87" s="723">
        <f>D87+E87+F87+G87+H87+I87+J87+K87+L87</f>
        <v>-33979933</v>
      </c>
      <c r="O87" s="320"/>
      <c r="P87" s="873" t="s">
        <v>681</v>
      </c>
      <c r="Q87" s="320"/>
      <c r="R87" s="492"/>
      <c r="S87" s="878">
        <f>Input!$UZ$13</f>
        <v>0</v>
      </c>
      <c r="T87" s="320"/>
      <c r="U87" s="320"/>
      <c r="V87" s="320"/>
      <c r="W87" s="320"/>
      <c r="X87" s="443"/>
      <c r="Y87" s="443"/>
      <c r="Z87" s="320"/>
      <c r="AA87" s="320"/>
      <c r="AB87" s="320"/>
    </row>
    <row r="88" spans="1:28" s="752" customFormat="1">
      <c r="A88" s="460">
        <v>71</v>
      </c>
      <c r="B88" s="752" t="s">
        <v>480</v>
      </c>
      <c r="D88" s="762">
        <f>Input!$RD$13</f>
        <v>0</v>
      </c>
      <c r="E88" s="762">
        <f>Input!$RE$13</f>
        <v>0</v>
      </c>
      <c r="F88" s="762">
        <f>Input!$RF$13</f>
        <v>0</v>
      </c>
      <c r="G88" s="762">
        <f>Input!$RG$13</f>
        <v>0</v>
      </c>
      <c r="H88" s="762">
        <f>Input!$RH$13</f>
        <v>0</v>
      </c>
      <c r="I88" s="762">
        <f>Input!$RI$13</f>
        <v>0</v>
      </c>
      <c r="J88" s="762">
        <f>Input!$RJ$13</f>
        <v>0</v>
      </c>
      <c r="K88" s="762">
        <f>Input!$RK$13</f>
        <v>0</v>
      </c>
      <c r="L88" s="762">
        <f>Input!$RL$13</f>
        <v>0</v>
      </c>
      <c r="M88" s="723">
        <f>D88+E88+F88+G88+H88+I88+J88+K88+L88</f>
        <v>0</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0</v>
      </c>
      <c r="E89" s="769">
        <f t="shared" si="19"/>
        <v>-24975391</v>
      </c>
      <c r="F89" s="769">
        <f t="shared" si="19"/>
        <v>0</v>
      </c>
      <c r="G89" s="769">
        <f t="shared" si="19"/>
        <v>0</v>
      </c>
      <c r="H89" s="769">
        <f t="shared" si="19"/>
        <v>0</v>
      </c>
      <c r="I89" s="769">
        <f t="shared" si="19"/>
        <v>-9004542</v>
      </c>
      <c r="J89" s="769">
        <f t="shared" si="19"/>
        <v>0</v>
      </c>
      <c r="K89" s="769">
        <f t="shared" si="19"/>
        <v>0</v>
      </c>
      <c r="L89" s="769">
        <f t="shared" si="19"/>
        <v>0</v>
      </c>
      <c r="M89" s="769">
        <f>D89+E89+F89+G89+H89+I89+J89+K89+L89</f>
        <v>-33979933</v>
      </c>
      <c r="O89" s="320"/>
      <c r="P89" s="873" t="s">
        <v>683</v>
      </c>
      <c r="Q89" s="320"/>
      <c r="R89" s="320"/>
      <c r="S89" s="875" t="str">
        <f>IFERROR(S85-S87,"")</f>
        <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-3628375</v>
      </c>
      <c r="E91" s="769">
        <f t="shared" si="20"/>
        <v>-4672462</v>
      </c>
      <c r="F91" s="769">
        <f t="shared" si="20"/>
        <v>330505</v>
      </c>
      <c r="G91" s="769">
        <f t="shared" si="20"/>
        <v>10362699</v>
      </c>
      <c r="H91" s="769">
        <f t="shared" si="20"/>
        <v>976482</v>
      </c>
      <c r="I91" s="769">
        <f t="shared" si="20"/>
        <v>-8716147</v>
      </c>
      <c r="J91" s="769">
        <f t="shared" si="20"/>
        <v>-209</v>
      </c>
      <c r="K91" s="769">
        <f t="shared" si="20"/>
        <v>-14175088</v>
      </c>
      <c r="L91" s="769">
        <f>L63-L77+L84+L89</f>
        <v>2554961</v>
      </c>
      <c r="M91" s="769">
        <f>D91+E91+F91+G91+H91+I91+J91+K91+L91</f>
        <v>-16967634</v>
      </c>
      <c r="O91" s="320"/>
      <c r="P91" s="881" t="s">
        <v>684</v>
      </c>
      <c r="Q91" s="882"/>
      <c r="R91" s="882"/>
      <c r="S91" s="883" t="str">
        <f>IFERROR((S89+S87)-S85,"")</f>
        <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Input!$RM$13</f>
        <v>0</v>
      </c>
      <c r="E93" s="762">
        <f>Input!$RN$13</f>
        <v>0</v>
      </c>
      <c r="F93" s="762">
        <f>Input!$RO$13</f>
        <v>0</v>
      </c>
      <c r="G93" s="762">
        <f>Input!$RP$13</f>
        <v>0</v>
      </c>
      <c r="H93" s="762">
        <f>Input!$RQ$13</f>
        <v>0</v>
      </c>
      <c r="I93" s="762">
        <f>Input!$RR$13</f>
        <v>0</v>
      </c>
      <c r="J93" s="762">
        <f>Input!$RS$13</f>
        <v>0</v>
      </c>
      <c r="K93" s="762">
        <f>Input!$RT$13</f>
        <v>0</v>
      </c>
      <c r="L93" s="762">
        <f>Input!$RU$13</f>
        <v>-20848813</v>
      </c>
      <c r="M93" s="723">
        <f>D93+E93+F93+G93+H93+I93+J93+K93+L93</f>
        <v>-20848813</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Input!$RV$13</f>
        <v>0</v>
      </c>
      <c r="E94" s="762">
        <f>Input!$RW$13</f>
        <v>0</v>
      </c>
      <c r="F94" s="762">
        <f>Input!$RX$13</f>
        <v>0</v>
      </c>
      <c r="G94" s="762">
        <f>Input!$RY$13</f>
        <v>0</v>
      </c>
      <c r="H94" s="762">
        <f>Input!$RZ$13</f>
        <v>0</v>
      </c>
      <c r="I94" s="762">
        <f>Input!$SA$13</f>
        <v>0</v>
      </c>
      <c r="J94" s="762">
        <f>Input!$SB$13</f>
        <v>0</v>
      </c>
      <c r="K94" s="762">
        <f>Input!$SC$13</f>
        <v>0</v>
      </c>
      <c r="L94" s="762">
        <f>Input!$SD$13</f>
        <v>1096</v>
      </c>
      <c r="M94" s="723">
        <f>D94+E94+F94+G94+H94+I94+J94+K94+L94</f>
        <v>1096</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Input!$SE$13</f>
        <v>0</v>
      </c>
      <c r="E95" s="762">
        <f>Input!$SF$13</f>
        <v>0</v>
      </c>
      <c r="F95" s="762">
        <f>Input!$SG$13</f>
        <v>0</v>
      </c>
      <c r="G95" s="762">
        <f>Input!$SH$13</f>
        <v>0</v>
      </c>
      <c r="H95" s="762">
        <f>Input!$SI$13</f>
        <v>0</v>
      </c>
      <c r="I95" s="762">
        <f>Input!$SJ$13</f>
        <v>0</v>
      </c>
      <c r="J95" s="762">
        <f>Input!$SK$13</f>
        <v>0</v>
      </c>
      <c r="K95" s="762">
        <f>Input!$SL$13</f>
        <v>0</v>
      </c>
      <c r="L95" s="762">
        <f>Input!$SM$13</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Input!$SN$13</f>
        <v>0</v>
      </c>
      <c r="E96" s="762">
        <f>Input!$SO$13</f>
        <v>0</v>
      </c>
      <c r="F96" s="762">
        <f>Input!$SP$13</f>
        <v>0</v>
      </c>
      <c r="G96" s="762">
        <f>Input!$SQ$13</f>
        <v>0</v>
      </c>
      <c r="H96" s="762">
        <f>Input!$SR$13</f>
        <v>0</v>
      </c>
      <c r="I96" s="762">
        <f>Input!$SS$13</f>
        <v>0</v>
      </c>
      <c r="J96" s="762">
        <f>Input!$ST$13</f>
        <v>0</v>
      </c>
      <c r="K96" s="762">
        <f>Input!$SU$13</f>
        <v>0</v>
      </c>
      <c r="L96" s="762">
        <f>Input!$SV$13</f>
        <v>0</v>
      </c>
      <c r="M96" s="723">
        <f>D96+E96+F96+G96+H96+I96+J96+K96+L96</f>
        <v>0</v>
      </c>
      <c r="O96" s="884"/>
      <c r="P96" s="320"/>
      <c r="Q96" s="320"/>
      <c r="R96" s="320"/>
      <c r="S96" s="320"/>
      <c r="Y96" s="320"/>
      <c r="Z96" s="320"/>
      <c r="AA96" s="320"/>
      <c r="AB96" s="320"/>
    </row>
    <row r="97" spans="1:28" s="752" customFormat="1">
      <c r="A97" s="460">
        <v>79</v>
      </c>
      <c r="B97" s="320" t="s">
        <v>486</v>
      </c>
      <c r="C97" s="320"/>
      <c r="D97" s="762">
        <f>Input!$SW$13</f>
        <v>0</v>
      </c>
      <c r="E97" s="762">
        <f>Input!$SX$13</f>
        <v>0</v>
      </c>
      <c r="F97" s="762">
        <f>Input!$SY$13</f>
        <v>0</v>
      </c>
      <c r="G97" s="762">
        <f>Input!$SZ$13</f>
        <v>0</v>
      </c>
      <c r="H97" s="762">
        <f>Input!$TA$13</f>
        <v>0</v>
      </c>
      <c r="I97" s="762">
        <f>Input!$TB$13</f>
        <v>0</v>
      </c>
      <c r="J97" s="762">
        <f>Input!$TC$13</f>
        <v>0</v>
      </c>
      <c r="K97" s="762">
        <f>Input!$TD$13</f>
        <v>0</v>
      </c>
      <c r="L97" s="762">
        <f>Input!$TE$13</f>
        <v>26401624</v>
      </c>
      <c r="M97" s="723">
        <f>D97+E97+F97+G97+H97+I97+J97+K97+L97</f>
        <v>26401624</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-3628375</v>
      </c>
      <c r="E98" s="886">
        <f t="shared" si="21"/>
        <v>-4672462</v>
      </c>
      <c r="F98" s="886">
        <f t="shared" si="21"/>
        <v>330505</v>
      </c>
      <c r="G98" s="886">
        <f t="shared" si="21"/>
        <v>10362699</v>
      </c>
      <c r="H98" s="886">
        <f t="shared" si="21"/>
        <v>976482</v>
      </c>
      <c r="I98" s="886">
        <f t="shared" si="21"/>
        <v>-8716147</v>
      </c>
      <c r="J98" s="886">
        <f t="shared" si="21"/>
        <v>-209</v>
      </c>
      <c r="K98" s="886">
        <f t="shared" si="21"/>
        <v>-14175088</v>
      </c>
      <c r="L98" s="886">
        <f t="shared" si="21"/>
        <v>8108868</v>
      </c>
      <c r="M98" s="886">
        <f>SUM(M91:M97)</f>
        <v>-11413727</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4" t="str">
        <f>Input!$VC$13</f>
        <v>Julie Meisinger</v>
      </c>
      <c r="Q103" s="1225"/>
      <c r="R103" s="1224" t="str">
        <f>Input!$VD$13</f>
        <v>817-735-2609</v>
      </c>
      <c r="S103" s="1225"/>
      <c r="T103" s="320"/>
      <c r="U103" s="1226" t="str">
        <f>HYPERLINK("Mailto:"&amp;Input!$VE$13,Input!$VE$13)</f>
        <v>julie.meisinger@unthsc.edu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Input!$TF$13</f>
        <v>-11413727</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IF($L$123&lt;&gt;Input!$F$13,"Out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244408154</v>
      </c>
      <c r="E110" s="723">
        <f>SUM($E$10:$E$14)+SUM($E$19:$E$28)+SUM($E$50)+$E$53+SUM($E$56:$E$61)+SUM($E$65:$E$76)+SUM($E$80:$E$83)+SUM($E$87:$E$88)+SUM($E$93:$E$97)+SUM($E$32:$E$41)+$E$47</f>
        <v>174823215</v>
      </c>
      <c r="F110" s="723">
        <f>SUM($F$10:$F$14)+SUM($F$19:$F$28)+SUM($F$50)+$F$53+SUM($F$56:$F$61)+SUM($F$65:$F$76)+SUM($F$80:$F$83)+SUM($F$87:$F$88)+SUM($F$93:$F$97)+SUM($F$32:$F$41)+$F$47</f>
        <v>714721</v>
      </c>
      <c r="G110" s="723">
        <f>SUM($G$10:$G$14)+SUM($G$19:$G$28)+SUM($G$50)+$G$53+SUM($G$56:$G$61)+SUM($G$65:$G$76)+SUM($G$80:$G$83)+SUM($G$87:$G$88)+SUM($G$93:$G$97)+SUM($G$32:$G$41)+$G$47</f>
        <v>104221545</v>
      </c>
      <c r="H110" s="723">
        <f>SUM($H$10:$H$14)+SUM($H$19:$H$28)+SUM($H$50)+$H$53+SUM($H$56:$H$61)+SUM($H$65:$H$76)+SUM($H$80:$H$83)+SUM($H$87:$H$88)+SUM($H$93:$H$97)+SUM($H$32:$H$41)+$H$47</f>
        <v>825248</v>
      </c>
      <c r="I110" s="723">
        <f>SUM($I$10:$I$14)+SUM($I$19:$I$28)+SUM($I$50)+$I$53+SUM($I$56:$I$61)+SUM($I$65:$I$76)+SUM($I$80:$I$83)+SUM($I$87:$I$88)+SUM($I$93:$I$97)+SUM($I$32:$I$41)+$I$47</f>
        <v>-8500841</v>
      </c>
      <c r="J110" s="723">
        <f>SUM($J$10:$J$14)+SUM($J$19:$J$28)+SUM($J$50)+$J$53+SUM($J$56:$J$61)+SUM($J$65:$J$76)+SUM($J$80:$J$83)+SUM($J$87:$J$88)+SUM($J$93:$J$97)+SUM($J$32:$J$41)+$J$47</f>
        <v>209</v>
      </c>
      <c r="K110" s="723">
        <f>SUM($K$10:$K$14)+SUM($K$19:$K$28)+SUM($K$50)+$K$53+SUM($K$56:$K$61)+SUM($K$65:$K$76)+SUM($K$80:$K$83)+SUM($K$87:$K$88)+SUM($K$93:$K$97)+SUM($K$32:$K$41)+$K$47</f>
        <v>-14175088</v>
      </c>
      <c r="L110" s="723">
        <f>SUM($L$10:$L$14)+SUM($L$19:$L$28)+SUM($L$50)+$L$53+SUM($L$56:$L$61)+SUM($L$65:$L$76)+SUM($L$80:$L$83)+SUM($L$87:$L$88)+SUM($L$93:$L$97)+SUM($L$32:$L$41)+$L$47</f>
        <v>8093938</v>
      </c>
    </row>
    <row r="111" spans="1:28" s="320" customFormat="1">
      <c r="A111" s="322"/>
      <c r="L111" s="723">
        <f>SUM($D$110:$L$110)</f>
        <v>510411101</v>
      </c>
    </row>
    <row r="112" spans="1:28" s="320" customFormat="1">
      <c r="A112" s="322"/>
      <c r="J112" s="320" t="s">
        <v>690</v>
      </c>
      <c r="L112" s="723">
        <f>$M$105</f>
        <v>-11413727</v>
      </c>
    </row>
    <row r="113" spans="1:12" s="320" customFormat="1">
      <c r="A113" s="322"/>
      <c r="J113" s="320" t="s">
        <v>691</v>
      </c>
      <c r="L113" s="492">
        <f>$Q$32</f>
        <v>37335098</v>
      </c>
    </row>
    <row r="114" spans="1:12" s="320" customFormat="1">
      <c r="A114" s="322"/>
      <c r="J114" s="320" t="s">
        <v>691</v>
      </c>
      <c r="L114" s="492">
        <f>$R$34</f>
        <v>-2857286</v>
      </c>
    </row>
    <row r="115" spans="1:12" s="320" customFormat="1">
      <c r="A115" s="322"/>
      <c r="J115" s="320" t="s">
        <v>521</v>
      </c>
      <c r="L115" s="492">
        <f>SUM($P$65:$P$74)</f>
        <v>11895376</v>
      </c>
    </row>
    <row r="116" spans="1:12" s="320" customFormat="1">
      <c r="A116" s="322"/>
      <c r="J116" s="320" t="s">
        <v>692</v>
      </c>
      <c r="L116" s="492">
        <f>$S$76+$S$77</f>
        <v>0</v>
      </c>
    </row>
    <row r="117" spans="1:12" s="320" customFormat="1">
      <c r="A117" s="322"/>
      <c r="J117" s="320" t="s">
        <v>693</v>
      </c>
      <c r="L117" s="492">
        <f>SUM($Q$65:$Q$73)</f>
        <v>865949</v>
      </c>
    </row>
    <row r="118" spans="1:12" s="320" customFormat="1">
      <c r="A118" s="322"/>
      <c r="J118" s="320" t="s">
        <v>694</v>
      </c>
      <c r="L118" s="492">
        <f>SUM($R$65:$R$73)</f>
        <v>0</v>
      </c>
    </row>
    <row r="119" spans="1:12" s="320" customFormat="1">
      <c r="A119" s="322"/>
      <c r="J119" s="320" t="s">
        <v>695</v>
      </c>
      <c r="L119" s="492">
        <f>SUM($X$65:$X$74)</f>
        <v>249598769</v>
      </c>
    </row>
    <row r="120" spans="1:12" s="320" customFormat="1">
      <c r="A120" s="322"/>
      <c r="J120" s="320" t="s">
        <v>696</v>
      </c>
      <c r="L120" s="492">
        <f>$S$84</f>
        <v>0</v>
      </c>
    </row>
    <row r="121" spans="1:12" s="320" customFormat="1">
      <c r="A121" s="322"/>
      <c r="J121" s="320" t="s">
        <v>696</v>
      </c>
      <c r="L121" s="492">
        <f>$S$87</f>
        <v>0</v>
      </c>
    </row>
    <row r="122" spans="1:12" s="320" customFormat="1">
      <c r="A122" s="322"/>
      <c r="J122" s="320" t="s">
        <v>697</v>
      </c>
      <c r="L122" s="443">
        <f>VLOOKUP(B2,Names!$B$10:$C$90,2,FALSE)</f>
        <v>130</v>
      </c>
    </row>
    <row r="123" spans="1:12">
      <c r="L123" s="898">
        <f>SUM($L$111:$L$122)</f>
        <v>795835410</v>
      </c>
    </row>
  </sheetData>
  <mergeCells count="27">
    <mergeCell ref="Q76:R76"/>
    <mergeCell ref="P105:V106"/>
    <mergeCell ref="P82:S82"/>
    <mergeCell ref="P100:V100"/>
    <mergeCell ref="P103:Q103"/>
    <mergeCell ref="R103:S103"/>
    <mergeCell ref="U103:V103"/>
    <mergeCell ref="B2:G2"/>
    <mergeCell ref="O61:O64"/>
    <mergeCell ref="P61:P64"/>
    <mergeCell ref="Q61:Q64"/>
    <mergeCell ref="R61:R64"/>
    <mergeCell ref="P10:P11"/>
    <mergeCell ref="B4:F4"/>
    <mergeCell ref="B5:F5"/>
    <mergeCell ref="O19:S19"/>
    <mergeCell ref="B6:M6"/>
    <mergeCell ref="P5:Q5"/>
    <mergeCell ref="O60:S60"/>
    <mergeCell ref="G64:K64"/>
    <mergeCell ref="S61:S64"/>
    <mergeCell ref="U61:U64"/>
    <mergeCell ref="W60:Y60"/>
    <mergeCell ref="X61:X64"/>
    <mergeCell ref="Y61:Y64"/>
    <mergeCell ref="U19:Y19"/>
    <mergeCell ref="W61:W64"/>
  </mergeCells>
  <conditionalFormatting sqref="D98:L98">
    <cfRule type="cellIs" dxfId="237" priority="15" stopIfTrue="1" operator="notEqual">
      <formula>#REF!</formula>
    </cfRule>
  </conditionalFormatting>
  <conditionalFormatting sqref="D99:M99">
    <cfRule type="cellIs" dxfId="236" priority="21" stopIfTrue="1" operator="notEqual">
      <formula>#REF!</formula>
    </cfRule>
  </conditionalFormatting>
  <conditionalFormatting sqref="G64:K64">
    <cfRule type="expression" dxfId="235" priority="14">
      <formula>$R$98&lt;&gt;0</formula>
    </cfRule>
    <cfRule type="expression" dxfId="234" priority="41">
      <formula>$T$93&gt;0</formula>
    </cfRule>
  </conditionalFormatting>
  <conditionalFormatting sqref="M15">
    <cfRule type="cellIs" dxfId="233" priority="16" stopIfTrue="1" operator="notEqual">
      <formula>SUM($M$10:$M$14)</formula>
    </cfRule>
  </conditionalFormatting>
  <conditionalFormatting sqref="M62">
    <cfRule type="cellIs" dxfId="232" priority="17" stopIfTrue="1" operator="notEqual">
      <formula>SUM($M$56:$M$61)</formula>
    </cfRule>
  </conditionalFormatting>
  <conditionalFormatting sqref="M77">
    <cfRule type="cellIs" dxfId="231" priority="20" stopIfTrue="1" operator="notEqual">
      <formula>SUM($M$65:$M$76)</formula>
    </cfRule>
  </conditionalFormatting>
  <conditionalFormatting sqref="M84">
    <cfRule type="cellIs" dxfId="230" priority="18" stopIfTrue="1" operator="notEqual">
      <formula>SUM($M$80:$M$83)</formula>
    </cfRule>
  </conditionalFormatting>
  <conditionalFormatting sqref="M89">
    <cfRule type="cellIs" dxfId="229" priority="19" stopIfTrue="1" operator="notEqual">
      <formula>SUM($M$87:$M$88)</formula>
    </cfRule>
  </conditionalFormatting>
  <conditionalFormatting sqref="O12">
    <cfRule type="expression" dxfId="228" priority="11">
      <formula>$Q$12&lt;&gt;$N$12</formula>
    </cfRule>
  </conditionalFormatting>
  <conditionalFormatting sqref="O13">
    <cfRule type="expression" dxfId="227" priority="12">
      <formula>$Q$13&lt;&gt;$N$13</formula>
    </cfRule>
  </conditionalFormatting>
  <conditionalFormatting sqref="O11:P11">
    <cfRule type="expression" dxfId="226" priority="13">
      <formula>#REF!&lt;&gt;$N$11</formula>
    </cfRule>
  </conditionalFormatting>
  <conditionalFormatting sqref="P76">
    <cfRule type="expression" dxfId="225" priority="5">
      <formula>$P$75&lt;&gt;$M$75</formula>
    </cfRule>
  </conditionalFormatting>
  <conditionalFormatting sqref="P94:P101 Q100:R100 U100:V100 S100:T102 U101 R102 S105:U106">
    <cfRule type="cellIs" dxfId="224" priority="6" stopIfTrue="1" operator="notEqual">
      <formula>#REF!</formula>
    </cfRule>
  </conditionalFormatting>
  <conditionalFormatting sqref="Q35">
    <cfRule type="expression" dxfId="223" priority="1">
      <formula>#REF!&lt;&gt;0</formula>
    </cfRule>
  </conditionalFormatting>
  <conditionalFormatting sqref="Q93:Q100 U93:W100 T95:T102 R99:S102 O93:O100 R95:R97 S95:S98 X95:AB102">
    <cfRule type="cellIs" dxfId="222" priority="57" stopIfTrue="1" operator="notEqual">
      <formula>#REF!</formula>
    </cfRule>
  </conditionalFormatting>
  <conditionalFormatting sqref="Q36:R36">
    <cfRule type="expression" dxfId="221" priority="3">
      <formula>#REF!&lt;&gt;#REF!</formula>
    </cfRule>
  </conditionalFormatting>
  <conditionalFormatting sqref="R35">
    <cfRule type="expression" dxfId="220" priority="2">
      <formula>#REF!&lt;&gt;0</formula>
    </cfRule>
  </conditionalFormatting>
  <conditionalFormatting sqref="S84 S87">
    <cfRule type="expression" dxfId="219" priority="33" stopIfTrue="1">
      <formula>$M$91&gt;=0</formula>
    </cfRule>
    <cfRule type="expression" priority="34">
      <formula>$M$91&lt;0</formula>
    </cfRule>
  </conditionalFormatting>
  <conditionalFormatting sqref="S84">
    <cfRule type="expression" dxfId="218" priority="7" stopIfTrue="1">
      <formula>$M$91&gt;=0</formula>
    </cfRule>
    <cfRule type="expression" priority="8">
      <formula>$M$91&lt;0</formula>
    </cfRule>
  </conditionalFormatting>
  <conditionalFormatting sqref="S91">
    <cfRule type="expression" priority="9" stopIfTrue="1">
      <formula>$N$91&lt;0</formula>
    </cfRule>
    <cfRule type="expression" dxfId="217" priority="10">
      <formula>$T$91&lt;&gt;0</formula>
    </cfRule>
    <cfRule type="expression" priority="35" stopIfTrue="1">
      <formula>$N$91&lt;0</formula>
    </cfRule>
    <cfRule type="expression" dxfId="216" priority="36">
      <formula>$T$91&lt;&gt;0</formula>
    </cfRule>
  </conditionalFormatting>
  <conditionalFormatting sqref="Y78">
    <cfRule type="expression" dxfId="215" priority="4">
      <formula>$Y$77&lt;&gt;0</formula>
    </cfRule>
  </conditionalFormatting>
  <hyperlinks>
    <hyperlink ref="O2" location="Index!A1" display="Return to Index" xr:uid="{00000000-0004-0000-34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1.88671875" style="277" customWidth="1"/>
    <col min="11" max="16384" width="9.109375" style="277"/>
  </cols>
  <sheetData>
    <row r="1" spans="1:6">
      <c r="B1" s="742" t="str">
        <f>'UNTHSC1 Chts'!$A$1</f>
        <v>University of North Texas Health Science Center at Fort Worth (Public Medical)</v>
      </c>
      <c r="D1" s="321" t="s">
        <v>51</v>
      </c>
    </row>
    <row r="2" spans="1:6">
      <c r="B2" s="279" t="s">
        <v>709</v>
      </c>
    </row>
    <row r="3" spans="1:6">
      <c r="B3" s="742" t="str">
        <f>'Smmy Chts'!$A$2</f>
        <v>For the Year Ended August 31, 2022</v>
      </c>
    </row>
    <row r="4" spans="1:6">
      <c r="B4" s="742" t="str">
        <f>'Smmy Chts'!$A$3</f>
        <v>Source: FY 2022 Annual Financial Report</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str">
        <f>IF('UNTHSC1 FGD'!$S$83="N/A","FN11.  N/A",$B$14&amp;$B$15&amp;$B$16&amp;$B$17&amp;$B$18&amp;$B$19&amp;$B$20&amp;$B$21&amp;$B$22&amp;$B$23&amp;$B$24)</f>
        <v>FN11.  N/A</v>
      </c>
      <c r="E9" s="669"/>
    </row>
    <row r="14" spans="1:6">
      <c r="B14" s="277" t="s">
        <v>698</v>
      </c>
    </row>
    <row r="15" spans="1:6">
      <c r="A15" s="277">
        <v>75</v>
      </c>
      <c r="B15" s="669" t="str">
        <f>TEXT(IF('UNTHSC1 FGD'!$M$91&lt;0,"N/A",'UNTHSC1 FGD'!$M$91),"$* #,##0;$* (#,##0)")</f>
        <v>N/A</v>
      </c>
      <c r="C15" s="282"/>
      <c r="F15" s="282"/>
    </row>
    <row r="16" spans="1:6">
      <c r="B16" s="277" t="s">
        <v>699</v>
      </c>
    </row>
    <row r="17" spans="1:6">
      <c r="A17" s="277">
        <v>68</v>
      </c>
      <c r="B17" s="748" t="str">
        <f>IF(ABS('UNTHSC1 FGD'!$S$84)&gt;=1000000,TEXT('UNTHSC1 FGD'!$S$84/1000000,"$* #,##0.0;$* (#,##0.0)")&amp;" million",IF(ABS('UNTHSC1 FGD'!$S$84)&lt;1000,TEXT('UNTHSC1 FGD'!$S$84,"$* #,##0;$* (#,##0)"),TEXT('UNTHSC1 FGD'!$S$84/1000,"$* #,##0;$* (#,##0)")&amp;" thousand"))</f>
        <v>$0</v>
      </c>
      <c r="C17" s="748"/>
      <c r="F17" s="748"/>
    </row>
    <row r="18" spans="1:6">
      <c r="B18" s="277" t="s">
        <v>700</v>
      </c>
    </row>
    <row r="19" spans="1:6">
      <c r="A19" s="277">
        <v>69</v>
      </c>
      <c r="B19" s="277" t="e">
        <f>IF(ABS('UNTHSC1 FGD'!$S$85)&gt;=1000000,TEXT('UNTHSC1 FGD'!$S$85/1000000,"$* #,##0.0;$* (#,##0.0)")&amp;" million",IF(ABS('UNTHSC1 FGD'!$S$85)&lt;1000,TEXT('UNTHSC1 FGD'!$S$85,"$* #,##0;$* (#,##0)"),TEXT('UNTHSC1 FGD'!$S$85/1000,"$* #,##0;$* (#,##0)")&amp;" thousand"))</f>
        <v>#VALUE!</v>
      </c>
    </row>
    <row r="20" spans="1:6">
      <c r="B20" s="277" t="s">
        <v>701</v>
      </c>
    </row>
    <row r="21" spans="1:6">
      <c r="A21" s="277">
        <v>71</v>
      </c>
      <c r="B21" s="277" t="str">
        <f>IF(ABS('UNTHSC1 FGD'!$S$87)&gt;=1000000,TEXT('UNTHSC1 FGD'!$S$87/1000000,"$* #,##0.0;$* (#,##0.0)")&amp;" million",IF(ABS('UNTHSC1 FGD'!$S$87)&lt;1000,TEXT('UNTHSC1 FGD'!$S$87,"$* #,##0;$* (#,##0)"),TEXT('UNTHSC1 FGD'!$S$87/1000,"$* #,##0;$* (#,##0)")&amp;" thousand"))</f>
        <v>$0</v>
      </c>
    </row>
    <row r="22" spans="1:6">
      <c r="B22" s="277" t="s">
        <v>702</v>
      </c>
    </row>
    <row r="23" spans="1:6">
      <c r="A23" s="277">
        <v>73</v>
      </c>
      <c r="B23" s="277" t="e">
        <f>IF(ABS('UNTHSC1 FGD'!$S$89)&gt;=1000000,TEXT('UNTHSC1 FGD'!$S$89/1000000,"$* #,##0.0;$* (#,##0.0)")&amp;" million",IF(ABS('UNTHSC1 FGD'!$S$89)&lt;1000,TEXT('UNTHSC1 FGD'!$S$89,"$* #,##0;$* (#,##0)"),TEXT('UNTHSC1 FGD'!$S$89/1000,"$* #,##0;$* (#,##0)")&amp;" thousand"))</f>
        <v>#VALUE!</v>
      </c>
    </row>
    <row r="24" spans="1:6">
      <c r="B24" s="277" t="s">
        <v>703</v>
      </c>
    </row>
  </sheetData>
  <hyperlinks>
    <hyperlink ref="D1" location="Index!A1" display="Return to Index" xr:uid="{00000000-0004-0000-3500-000000000000}"/>
  </hyperlinks>
  <pageMargins left="0.25" right="0.25" top="0.5" bottom="0.25" header="0.5" footer="0.5"/>
  <pageSetup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13.5546875" style="277" customWidth="1"/>
    <col min="3" max="3" width="55" style="277" customWidth="1"/>
    <col min="4" max="4" width="20.109375" style="277" customWidth="1"/>
    <col min="5" max="16384" width="9.109375" style="277"/>
  </cols>
  <sheetData>
    <row r="1" spans="1:5" ht="27.75" customHeight="1">
      <c r="A1" s="989" t="s">
        <v>27</v>
      </c>
      <c r="C1" s="321" t="s">
        <v>51</v>
      </c>
    </row>
    <row r="2" spans="1:5" ht="27.75" customHeight="1">
      <c r="A2" s="990" t="str">
        <f>'Smmy Chts'!$A$2</f>
        <v>For the Year Ended August 31, 2022</v>
      </c>
    </row>
    <row r="3" spans="1:5" ht="27" customHeight="1">
      <c r="A3" s="990" t="str">
        <f>'Smmy Chts'!$A$3</f>
        <v>Source: FY 2022 Annual Financial Report</v>
      </c>
      <c r="C3" s="991" t="s">
        <v>493</v>
      </c>
    </row>
    <row r="4" spans="1:5" ht="12.9" customHeight="1">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'TTUHSC Sum'!A9</f>
        <v>State of Texas</v>
      </c>
      <c r="D11" s="994">
        <f>'TTUHSC Sum'!B15</f>
        <v>217168284</v>
      </c>
      <c r="E11" s="995">
        <f>ROUND(D11/$D$17,3)</f>
        <v>0.26200000000000001</v>
      </c>
    </row>
    <row r="12" spans="1:5" ht="12.9" customHeight="1">
      <c r="C12" s="993" t="str">
        <f>'TTUHSC Sum'!A17</f>
        <v>Student &amp; Parent</v>
      </c>
      <c r="D12" s="994">
        <f>'TTUHSC Sum'!B20</f>
        <v>71519865</v>
      </c>
      <c r="E12" s="995">
        <f t="shared" ref="E12:E15" si="0">ROUND(D12/$D$17,3)</f>
        <v>8.5999999999999993E-2</v>
      </c>
    </row>
    <row r="13" spans="1:5" ht="12.9" customHeight="1">
      <c r="C13" s="993" t="str">
        <f>'TTUHSC Sum'!A22</f>
        <v>Federal Government</v>
      </c>
      <c r="D13" s="994">
        <f>'TTUHSC Sum'!B23</f>
        <v>34704177</v>
      </c>
      <c r="E13" s="995">
        <f t="shared" si="0"/>
        <v>4.2000000000000003E-2</v>
      </c>
    </row>
    <row r="14" spans="1:5" ht="12.9" customHeight="1">
      <c r="C14" s="993" t="str">
        <f>'TTUHSC Sum'!A31</f>
        <v>Institutional Resources</v>
      </c>
      <c r="D14" s="994">
        <f>'TTUHSC Sum'!B38</f>
        <v>256864699</v>
      </c>
      <c r="E14" s="995">
        <f t="shared" si="0"/>
        <v>0.31</v>
      </c>
    </row>
    <row r="15" spans="1:5" ht="12.9" customHeight="1">
      <c r="C15" s="996" t="s">
        <v>497</v>
      </c>
      <c r="D15" s="994">
        <f>'TTUHSC Sum'!B29+'TTUHSC Sum'!B26</f>
        <v>247811272</v>
      </c>
      <c r="E15" s="995">
        <f t="shared" si="0"/>
        <v>0.29899999999999999</v>
      </c>
    </row>
    <row r="16" spans="1:5" ht="12.9" customHeight="1">
      <c r="C16" s="991"/>
      <c r="D16" s="992"/>
    </row>
    <row r="17" spans="3:5" ht="12.9" customHeight="1">
      <c r="C17" s="997" t="s">
        <v>201</v>
      </c>
      <c r="D17" s="998">
        <f>SUM(D11:D16)</f>
        <v>828068297</v>
      </c>
      <c r="E17" s="999">
        <f>SUM(E11:E15)</f>
        <v>0.99899999999999989</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$828,068,297</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2.9" customHeight="1">
      <c r="C53" s="993" t="s">
        <v>101</v>
      </c>
      <c r="D53" s="994">
        <f>'TTUHSC Sum'!B10</f>
        <v>179806241</v>
      </c>
      <c r="E53" s="995">
        <f>ROUND(D53/$D$68,3)</f>
        <v>0.217</v>
      </c>
    </row>
    <row r="54" spans="3:5" ht="12.9" customHeight="1">
      <c r="C54" s="993" t="s">
        <v>510</v>
      </c>
      <c r="D54" s="994">
        <f>'TTUHSC Sum'!B11</f>
        <v>15709651</v>
      </c>
      <c r="E54" s="995">
        <f t="shared" ref="E54:E67" si="1">ROUND(D54/$D$68,3)</f>
        <v>1.9E-2</v>
      </c>
    </row>
    <row r="55" spans="3:5" ht="12.9" customHeight="1">
      <c r="C55" s="1001"/>
      <c r="D55" s="994"/>
      <c r="E55" s="995"/>
    </row>
    <row r="56" spans="3:5" ht="12.9" customHeight="1">
      <c r="C56" s="993" t="str">
        <f>'TTUHSC Sum'!A13</f>
        <v>Higher Education Fund</v>
      </c>
      <c r="D56" s="994">
        <f>'TTUHSC Sum'!B13</f>
        <v>21652392</v>
      </c>
      <c r="E56" s="995">
        <f t="shared" si="1"/>
        <v>2.5999999999999999E-2</v>
      </c>
    </row>
    <row r="57" spans="3:5" ht="12.9" customHeight="1">
      <c r="C57" s="1001" t="s">
        <v>511</v>
      </c>
      <c r="D57" s="994">
        <f>'TTUHSC Sum'!B14</f>
        <v>0</v>
      </c>
      <c r="E57" s="995">
        <f t="shared" si="1"/>
        <v>0</v>
      </c>
    </row>
    <row r="58" spans="3:5" ht="12.9" customHeight="1">
      <c r="C58" s="993" t="s">
        <v>460</v>
      </c>
      <c r="D58" s="994">
        <f>'TTUHSC Sum'!B20</f>
        <v>71519865</v>
      </c>
      <c r="E58" s="995">
        <f t="shared" si="1"/>
        <v>8.5999999999999993E-2</v>
      </c>
    </row>
    <row r="59" spans="3:5" ht="12.9" customHeight="1">
      <c r="C59" s="993" t="s">
        <v>512</v>
      </c>
      <c r="D59" s="994">
        <f>'TTUHSC Sum'!B23</f>
        <v>34704177</v>
      </c>
      <c r="E59" s="995">
        <f t="shared" si="1"/>
        <v>4.2000000000000003E-2</v>
      </c>
    </row>
    <row r="60" spans="3:5" ht="12.9" customHeight="1">
      <c r="C60" s="993" t="s">
        <v>513</v>
      </c>
      <c r="D60" s="994">
        <f>'TTUHSC Sum'!B32</f>
        <v>13250888</v>
      </c>
      <c r="E60" s="995">
        <f t="shared" si="1"/>
        <v>1.6E-2</v>
      </c>
    </row>
    <row r="61" spans="3:5" ht="12.9" customHeight="1">
      <c r="C61" s="993" t="s">
        <v>514</v>
      </c>
      <c r="D61" s="994">
        <f>'TTUHSC Sum'!B33</f>
        <v>97864959</v>
      </c>
      <c r="E61" s="995">
        <f t="shared" si="1"/>
        <v>0.11799999999999999</v>
      </c>
    </row>
    <row r="62" spans="3:5" ht="12.9" customHeight="1">
      <c r="C62" s="993" t="s">
        <v>515</v>
      </c>
      <c r="D62" s="994">
        <f>'TTUHSC Sum'!B34</f>
        <v>73861674</v>
      </c>
      <c r="E62" s="995">
        <f t="shared" si="1"/>
        <v>8.8999999999999996E-2</v>
      </c>
    </row>
    <row r="63" spans="3:5" ht="12.9" customHeight="1">
      <c r="C63" s="993" t="s">
        <v>516</v>
      </c>
      <c r="D63" s="994">
        <f>'TTUHSC Sum'!B35</f>
        <v>13010680</v>
      </c>
      <c r="E63" s="995">
        <f t="shared" si="1"/>
        <v>1.6E-2</v>
      </c>
    </row>
    <row r="64" spans="3:5" ht="12.9" customHeight="1">
      <c r="C64" s="993" t="s">
        <v>176</v>
      </c>
      <c r="D64" s="994">
        <f>'TTUHSC Sum'!B36</f>
        <v>938468</v>
      </c>
      <c r="E64" s="995">
        <f t="shared" si="1"/>
        <v>1E-3</v>
      </c>
    </row>
    <row r="65" spans="3:5" ht="12.9" customHeight="1">
      <c r="C65" s="993" t="s">
        <v>517</v>
      </c>
      <c r="D65" s="994">
        <f>'TTUHSC Sum'!B37</f>
        <v>57938030</v>
      </c>
      <c r="E65" s="995">
        <f t="shared" si="1"/>
        <v>7.0000000000000007E-2</v>
      </c>
    </row>
    <row r="66" spans="3:5" ht="12.9" customHeight="1">
      <c r="C66" s="993" t="s">
        <v>163</v>
      </c>
      <c r="D66" s="994">
        <f>'TTUHSC Sum'!B26</f>
        <v>247811272</v>
      </c>
      <c r="E66" s="995">
        <f t="shared" si="1"/>
        <v>0.29899999999999999</v>
      </c>
    </row>
    <row r="67" spans="3:5" ht="12.9" customHeight="1">
      <c r="C67" s="1002" t="s">
        <v>497</v>
      </c>
      <c r="D67" s="994">
        <f>'TTUHSC Sum'!B29</f>
        <v>0</v>
      </c>
      <c r="E67" s="995">
        <f t="shared" si="1"/>
        <v>0</v>
      </c>
    </row>
    <row r="68" spans="3:5" ht="12.9" customHeight="1">
      <c r="C68" s="997" t="s">
        <v>201</v>
      </c>
      <c r="D68" s="998">
        <f>SUM(D53:D67)</f>
        <v>828068297</v>
      </c>
      <c r="E68" s="999">
        <f>SUM(E53:E67)</f>
        <v>0.99899999999999989</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$828,068,297</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'TTUHSC Sum'!B42</f>
        <v>227430702</v>
      </c>
      <c r="E102" s="995">
        <f>ROUND(D102/$D$115,3)</f>
        <v>0.30199999999999999</v>
      </c>
    </row>
    <row r="103" spans="1:5" ht="12.9" customHeight="1">
      <c r="C103" s="1004" t="s">
        <v>179</v>
      </c>
      <c r="D103" s="994">
        <f>'TTUHSC Sum'!B43</f>
        <v>38759283</v>
      </c>
      <c r="E103" s="995">
        <f t="shared" ref="E103:E113" si="2">ROUND(D103/$D$115,3)</f>
        <v>5.1999999999999998E-2</v>
      </c>
    </row>
    <row r="104" spans="1:5" ht="12.9" customHeight="1">
      <c r="C104" s="1004" t="s">
        <v>180</v>
      </c>
      <c r="D104" s="994">
        <f>'TTUHSC Sum'!B44</f>
        <v>149605308</v>
      </c>
      <c r="E104" s="995">
        <f t="shared" si="2"/>
        <v>0.19900000000000001</v>
      </c>
    </row>
    <row r="105" spans="1:5" ht="12.9" customHeight="1">
      <c r="C105" s="1004" t="s">
        <v>181</v>
      </c>
      <c r="D105" s="994">
        <f>'TTUHSC Sum'!B46</f>
        <v>132515189</v>
      </c>
      <c r="E105" s="995">
        <f t="shared" si="2"/>
        <v>0.17599999999999999</v>
      </c>
    </row>
    <row r="106" spans="1:5" ht="12.9" customHeight="1">
      <c r="C106" s="1004" t="s">
        <v>182</v>
      </c>
      <c r="D106" s="994">
        <f>'TTUHSC Sum'!B47</f>
        <v>24545109</v>
      </c>
      <c r="E106" s="995">
        <f t="shared" si="2"/>
        <v>3.3000000000000002E-2</v>
      </c>
    </row>
    <row r="107" spans="1:5" ht="12.9" customHeight="1">
      <c r="C107" s="1004" t="s">
        <v>183</v>
      </c>
      <c r="D107" s="994">
        <f>'TTUHSC Sum'!B48</f>
        <v>34289967</v>
      </c>
      <c r="E107" s="995">
        <f t="shared" si="2"/>
        <v>4.5999999999999999E-2</v>
      </c>
    </row>
    <row r="108" spans="1:5" ht="12.9" customHeight="1">
      <c r="C108" s="1004" t="s">
        <v>519</v>
      </c>
      <c r="D108" s="994">
        <f>'TTUHSC Sum'!B49</f>
        <v>38011226</v>
      </c>
      <c r="E108" s="995">
        <f t="shared" si="2"/>
        <v>5.0999999999999997E-2</v>
      </c>
    </row>
    <row r="109" spans="1:5" ht="12.9" customHeight="1">
      <c r="C109" s="1004" t="s">
        <v>520</v>
      </c>
      <c r="D109" s="994">
        <f>'TTUHSC Sum'!B50</f>
        <v>5043897</v>
      </c>
      <c r="E109" s="995">
        <f t="shared" si="2"/>
        <v>7.0000000000000001E-3</v>
      </c>
    </row>
    <row r="110" spans="1:5" ht="12.9" customHeight="1">
      <c r="C110" s="1004" t="s">
        <v>186</v>
      </c>
      <c r="D110" s="994">
        <f>'TTUHSC Sum'!B51</f>
        <v>527758</v>
      </c>
      <c r="E110" s="995">
        <f t="shared" si="2"/>
        <v>1E-3</v>
      </c>
    </row>
    <row r="111" spans="1:5" ht="12.9" customHeight="1">
      <c r="C111" s="1004" t="s">
        <v>521</v>
      </c>
      <c r="D111" s="994">
        <f>'TTUHSC Sum'!B52</f>
        <v>8976439</v>
      </c>
      <c r="E111" s="995">
        <f t="shared" si="2"/>
        <v>1.2E-2</v>
      </c>
    </row>
    <row r="112" spans="1:5" ht="12.9" customHeight="1">
      <c r="C112" s="993" t="s">
        <v>522</v>
      </c>
      <c r="D112" s="994">
        <f>'TTUHSC Sum'!B53</f>
        <v>102842</v>
      </c>
      <c r="E112" s="995">
        <f t="shared" si="2"/>
        <v>0</v>
      </c>
    </row>
    <row r="113" spans="3:5" ht="12.9" customHeight="1">
      <c r="C113" s="996" t="s">
        <v>523</v>
      </c>
      <c r="D113" s="994">
        <f>'TTUHSC Sum'!B45</f>
        <v>92148740</v>
      </c>
      <c r="E113" s="995">
        <f t="shared" si="2"/>
        <v>0.123</v>
      </c>
    </row>
    <row r="114" spans="3:5" ht="12.9" customHeight="1">
      <c r="C114" s="991"/>
      <c r="D114" s="991"/>
      <c r="E114" s="999"/>
    </row>
    <row r="115" spans="3:5" ht="12.9" customHeight="1">
      <c r="C115" s="1005" t="s">
        <v>189</v>
      </c>
      <c r="D115" s="998">
        <f>SUM(D102:D114)</f>
        <v>751956460</v>
      </c>
      <c r="E115" s="999">
        <f>SUM(E102:E113)</f>
        <v>1.002</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$751,956,460</v>
      </c>
    </row>
    <row r="137" spans="1:1" ht="12.9" customHeight="1">
      <c r="A137" s="1136"/>
    </row>
    <row r="138" spans="1:1" ht="12.9" customHeight="1"/>
    <row r="139" spans="1:1" ht="12.9" customHeight="1">
      <c r="A139" s="1006" t="s">
        <v>524</v>
      </c>
    </row>
    <row r="140" spans="1:1" ht="12.9"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C101:D101"/>
    <mergeCell ref="A136:A137"/>
    <mergeCell ref="C9:D9"/>
    <mergeCell ref="A47:A48"/>
    <mergeCell ref="A92:A93"/>
    <mergeCell ref="C100:D100"/>
  </mergeCells>
  <hyperlinks>
    <hyperlink ref="C1" location="Index!A1" display="Return to Index" xr:uid="{00000000-0004-0000-3600-000000000000}"/>
  </hyperlinks>
  <printOptions horizontalCentered="1"/>
  <pageMargins left="0.5" right="0.5" top="0.25" bottom="0.25" header="0.25" footer="0.25"/>
  <pageSetup scale="41" orientation="portrait" r:id="rId1"/>
  <headerFooter alignWithMargins="0"/>
  <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ransitionEvaluation="1" transitionEntry="1">
    <tabColor indexed="13"/>
  </sheetPr>
  <dimension ref="A1:AD83"/>
  <sheetViews>
    <sheetView showGridLines="0" zoomScale="85" zoomScaleNormal="85" workbookViewId="0">
      <pane xSplit="2" ySplit="6" topLeftCell="C70"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3.33203125" style="277" customWidth="1"/>
    <col min="16" max="16384" width="9.109375" style="277"/>
  </cols>
  <sheetData>
    <row r="1" spans="1:15" ht="16.8" thickTop="1" thickBot="1">
      <c r="A1" s="899" t="str">
        <f>'TTUHSC Chts'!$A$1</f>
        <v>Texas Tech University Health Sciences Center</v>
      </c>
      <c r="B1" s="754"/>
      <c r="C1" s="754"/>
      <c r="D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1007">
        <f>VLOOKUP(A1,NamesLU,2,FALSE)</f>
        <v>412</v>
      </c>
      <c r="J2" s="901"/>
      <c r="K2" s="901"/>
      <c r="L2" s="901"/>
      <c r="M2" s="901"/>
      <c r="O2" s="320"/>
    </row>
    <row r="3" spans="1:15" ht="15.75" customHeight="1">
      <c r="A3" s="900" t="str">
        <f>'Smmy Chts'!$A$3</f>
        <v>Source: FY 2022 Annual Financial Report</v>
      </c>
      <c r="B3" s="754"/>
      <c r="C3" s="754"/>
      <c r="O3" s="320"/>
    </row>
    <row r="4" spans="1:15" ht="13.5" customHeight="1">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909"/>
      <c r="C6" s="427">
        <f>VLOOKUP($G$2,FTSELU,10,FALSE)</f>
        <v>6016.07</v>
      </c>
      <c r="J6" s="910"/>
      <c r="O6" s="320"/>
    </row>
    <row r="7" spans="1:15">
      <c r="B7" s="909"/>
      <c r="C7" s="909"/>
      <c r="I7" s="446" t="s">
        <v>533</v>
      </c>
      <c r="J7" s="911"/>
      <c r="O7" s="320"/>
    </row>
    <row r="8" spans="1:15">
      <c r="A8" s="912" t="s">
        <v>151</v>
      </c>
      <c r="B8" s="912"/>
      <c r="C8" s="913"/>
      <c r="I8" s="914">
        <f>VLOOKUP($G$2,FTSELU,11,FALSE)</f>
        <v>792.83</v>
      </c>
      <c r="J8" s="910"/>
      <c r="O8" s="320"/>
    </row>
    <row r="9" spans="1:15" ht="12.75" customHeight="1" thickBot="1">
      <c r="A9" s="279" t="s">
        <v>152</v>
      </c>
      <c r="B9" s="915"/>
      <c r="C9" s="915"/>
      <c r="J9" s="910"/>
      <c r="O9" s="320"/>
    </row>
    <row r="10" spans="1:15" ht="12.75" customHeight="1" thickTop="1">
      <c r="A10" s="277" t="s">
        <v>535</v>
      </c>
      <c r="B10" s="501">
        <f>'TTUHSC FGD'!M10</f>
        <v>179806241</v>
      </c>
      <c r="C10" s="501">
        <f>ROUND(B10/$C$6,0)</f>
        <v>29888</v>
      </c>
      <c r="D10" s="492">
        <f>'TTUHSC FGD'!F10</f>
        <v>0</v>
      </c>
      <c r="E10" s="492"/>
      <c r="F10" s="916">
        <f>B10-(SUM(D10:E10))</f>
        <v>179806241</v>
      </c>
      <c r="G10" s="917" t="s">
        <v>101</v>
      </c>
      <c r="H10" s="918"/>
      <c r="I10" s="919" t="s">
        <v>536</v>
      </c>
      <c r="J10" s="920">
        <f>ROUND(F10/$C$6,0)</f>
        <v>29888</v>
      </c>
      <c r="O10" s="320"/>
    </row>
    <row r="11" spans="1:15" ht="12.75" customHeight="1" thickBot="1">
      <c r="A11" s="277" t="s">
        <v>134</v>
      </c>
      <c r="B11" s="669">
        <f>'TTUHSC FGD'!M11</f>
        <v>15709651</v>
      </c>
      <c r="C11" s="669">
        <f t="shared" ref="C11:C14" si="0">ROUND(B11/$C$6,0)</f>
        <v>2611</v>
      </c>
      <c r="D11" s="921">
        <f>'TTUHSC FGD'!F11</f>
        <v>0</v>
      </c>
      <c r="E11" s="754"/>
      <c r="F11" s="922">
        <f t="shared" ref="F11:F14" si="1">B11-(SUM(D11:E11))</f>
        <v>15709651</v>
      </c>
      <c r="G11" s="923">
        <f>SUM(F10:F11)</f>
        <v>195515892</v>
      </c>
      <c r="H11" s="924"/>
      <c r="I11" s="925">
        <f>ROUND($G$11/$C$6,0)</f>
        <v>32499</v>
      </c>
      <c r="J11" s="926">
        <f t="shared" ref="J11:J14" si="2">ROUND(F11/$C$6,0)</f>
        <v>2611</v>
      </c>
      <c r="O11" s="320"/>
    </row>
    <row r="12" spans="1:15" ht="12.75" hidden="1" customHeight="1" thickTop="1" thickBot="1">
      <c r="A12" s="277" t="s">
        <v>537</v>
      </c>
      <c r="B12" s="669"/>
      <c r="C12" s="669"/>
      <c r="D12" s="921"/>
      <c r="E12" s="754"/>
      <c r="F12" s="927"/>
      <c r="J12" s="926"/>
      <c r="O12" s="928"/>
    </row>
    <row r="13" spans="1:15" ht="12.75" customHeight="1" thickTop="1">
      <c r="A13" s="277" t="s">
        <v>468</v>
      </c>
      <c r="B13" s="669">
        <f>'TTUHSC FGD'!M13</f>
        <v>21652392</v>
      </c>
      <c r="C13" s="669">
        <f t="shared" si="0"/>
        <v>3599</v>
      </c>
      <c r="D13" s="921">
        <f>'TTUHSC FGD'!F13</f>
        <v>0</v>
      </c>
      <c r="E13" s="754"/>
      <c r="F13" s="929">
        <f t="shared" si="1"/>
        <v>21652392</v>
      </c>
      <c r="G13" s="930" t="s">
        <v>102</v>
      </c>
      <c r="H13" s="931"/>
      <c r="I13" s="417" t="s">
        <v>538</v>
      </c>
      <c r="J13" s="926">
        <f t="shared" si="2"/>
        <v>3599</v>
      </c>
      <c r="O13" s="320"/>
    </row>
    <row r="14" spans="1:15" ht="12.75" customHeight="1" thickBot="1">
      <c r="A14" s="277" t="s">
        <v>135</v>
      </c>
      <c r="B14" s="669">
        <f>'TTUHSC FGD'!M14</f>
        <v>0</v>
      </c>
      <c r="C14" s="669">
        <f t="shared" si="0"/>
        <v>0</v>
      </c>
      <c r="D14" s="921">
        <f>'TTUHSC FGD'!F14</f>
        <v>0</v>
      </c>
      <c r="E14" s="754"/>
      <c r="F14" s="927">
        <f t="shared" si="1"/>
        <v>0</v>
      </c>
      <c r="G14" s="932">
        <f>SUM(F13:F14)</f>
        <v>21652392</v>
      </c>
      <c r="H14" s="933"/>
      <c r="I14" s="934">
        <f>ROUND($G$11/$I$8,0)</f>
        <v>246605</v>
      </c>
      <c r="J14" s="935">
        <f t="shared" si="2"/>
        <v>0</v>
      </c>
      <c r="O14" s="320"/>
    </row>
    <row r="15" spans="1:15" ht="12.75" customHeight="1" thickTop="1">
      <c r="A15" s="936" t="s">
        <v>155</v>
      </c>
      <c r="B15" s="937">
        <f>SUM(B10:B14)</f>
        <v>217168284</v>
      </c>
      <c r="C15" s="937">
        <f>SUM(C10:C14)</f>
        <v>36098</v>
      </c>
      <c r="D15" s="937">
        <f>SUM(D10:D14)</f>
        <v>0</v>
      </c>
      <c r="E15" s="937">
        <f>SUM(E10:E14)</f>
        <v>0</v>
      </c>
      <c r="F15" s="938">
        <f>SUM(F10:F14)</f>
        <v>217168284</v>
      </c>
      <c r="I15" s="345"/>
      <c r="J15" s="939">
        <f>SUM(J10:J14)</f>
        <v>36098</v>
      </c>
      <c r="O15" s="320"/>
    </row>
    <row r="16" spans="1:15">
      <c r="C16" s="277"/>
      <c r="J16" s="910"/>
      <c r="O16" s="320"/>
    </row>
    <row r="17" spans="1:15" ht="12.75" customHeight="1">
      <c r="A17" s="279" t="s">
        <v>161</v>
      </c>
      <c r="C17" s="277"/>
      <c r="J17" s="910"/>
      <c r="O17" s="320"/>
    </row>
    <row r="18" spans="1:15">
      <c r="A18" s="277" t="s">
        <v>165</v>
      </c>
      <c r="B18" s="501">
        <f>'TTUHSC FGD'!M29</f>
        <v>44453418</v>
      </c>
      <c r="C18" s="501">
        <f t="shared" ref="C18:C19" si="3">ROUND(B18/$C$6,0)</f>
        <v>7389</v>
      </c>
      <c r="D18" s="492">
        <f>'TTUHSC FGD'!$F$29</f>
        <v>0</v>
      </c>
      <c r="E18" s="492"/>
      <c r="F18" s="492">
        <f t="shared" ref="F18:F19" si="4">B18-(SUM(D18:E18))</f>
        <v>44453418</v>
      </c>
      <c r="J18" s="920">
        <f>ROUND(F18/$C$6,0)</f>
        <v>7389</v>
      </c>
      <c r="O18" s="320"/>
    </row>
    <row r="19" spans="1:15" ht="13.8" thickBot="1">
      <c r="A19" s="277" t="s">
        <v>166</v>
      </c>
      <c r="B19" s="669">
        <f>'TTUHSC FGD'!M42</f>
        <v>27066447</v>
      </c>
      <c r="C19" s="669">
        <f t="shared" si="3"/>
        <v>4499</v>
      </c>
      <c r="D19" s="754">
        <f>'TTUHSC FGD'!$F$42</f>
        <v>0</v>
      </c>
      <c r="E19" s="754"/>
      <c r="F19" s="754">
        <f t="shared" si="4"/>
        <v>27066447</v>
      </c>
      <c r="J19" s="926">
        <f>ROUND(F19/$C$6,0)</f>
        <v>4499</v>
      </c>
      <c r="O19" s="320"/>
    </row>
    <row r="20" spans="1:15" ht="14.4" thickTop="1" thickBot="1">
      <c r="A20" s="936" t="s">
        <v>167</v>
      </c>
      <c r="B20" s="937">
        <f>SUM(B18:B19)</f>
        <v>71519865</v>
      </c>
      <c r="C20" s="937">
        <f>SUM(C18:C19)</f>
        <v>11888</v>
      </c>
      <c r="D20" s="798">
        <f>SUM(D18:D19)</f>
        <v>0</v>
      </c>
      <c r="E20" s="940">
        <f>SUM(E18:E19)</f>
        <v>0</v>
      </c>
      <c r="F20" s="941">
        <f>SUM(F18:F19)</f>
        <v>71519865</v>
      </c>
      <c r="G20" s="942" t="s">
        <v>539</v>
      </c>
      <c r="H20" s="943"/>
      <c r="J20" s="944">
        <f>SUM(J18:J19)</f>
        <v>11888</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'TTUHSC FGD'!M47</f>
        <v>34704177</v>
      </c>
      <c r="C23" s="937"/>
      <c r="D23" s="798">
        <f>'TTUHSC FGD'!F47</f>
        <v>0</v>
      </c>
      <c r="E23" s="940"/>
      <c r="F23" s="941">
        <f>B23-(SUM(D23:E23))</f>
        <v>34704177</v>
      </c>
      <c r="G23" s="946" t="s">
        <v>540</v>
      </c>
      <c r="H23" s="943"/>
      <c r="J23" s="947">
        <f>ROUND(F23/$C$6,0)</f>
        <v>5769</v>
      </c>
      <c r="O23" s="320"/>
    </row>
    <row r="24" spans="1:15" ht="13.8" thickTop="1">
      <c r="C24" s="277"/>
      <c r="J24" s="910"/>
      <c r="O24" s="320"/>
    </row>
    <row r="25" spans="1:15">
      <c r="A25" s="279" t="s">
        <v>163</v>
      </c>
      <c r="C25" s="277"/>
      <c r="D25" s="754"/>
      <c r="J25" s="910"/>
      <c r="O25" s="320"/>
    </row>
    <row r="26" spans="1:15">
      <c r="A26" s="936" t="s">
        <v>200</v>
      </c>
      <c r="B26" s="937">
        <f>'TTUHSC FGD'!M50</f>
        <v>247811272</v>
      </c>
      <c r="C26" s="937"/>
      <c r="D26" s="937">
        <f>'TTUHSC FGD'!F50</f>
        <v>0</v>
      </c>
      <c r="E26" s="937">
        <f>B26-D26</f>
        <v>247811272</v>
      </c>
      <c r="F26" s="937">
        <f t="shared" ref="F26" si="5">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'TTUHSC FGD'!M53</f>
        <v>0</v>
      </c>
      <c r="C29" s="937"/>
      <c r="D29" s="937">
        <f>'TTUHSC FGD'!F53</f>
        <v>0</v>
      </c>
      <c r="E29" s="937">
        <f>B29-D29</f>
        <v>0</v>
      </c>
      <c r="F29" s="937">
        <f t="shared" ref="F29" si="6">B29-(SUM(D29:E29))</f>
        <v>0</v>
      </c>
      <c r="J29" s="926"/>
      <c r="O29" s="320"/>
    </row>
    <row r="30" spans="1:15">
      <c r="C30" s="277"/>
      <c r="E30" s="754"/>
      <c r="F30" s="754"/>
      <c r="J30" s="926"/>
      <c r="O30" s="320"/>
    </row>
    <row r="31" spans="1:15">
      <c r="A31" s="279" t="s">
        <v>171</v>
      </c>
      <c r="C31" s="277"/>
      <c r="E31" s="754"/>
      <c r="F31" s="754"/>
      <c r="G31" s="400"/>
      <c r="H31" s="400"/>
      <c r="I31" s="400"/>
      <c r="J31" s="926"/>
      <c r="O31" s="320"/>
    </row>
    <row r="32" spans="1:15">
      <c r="A32" s="277" t="s">
        <v>172</v>
      </c>
      <c r="B32" s="501">
        <f>'TTUHSC FGD'!M56</f>
        <v>13250888</v>
      </c>
      <c r="C32" s="501"/>
      <c r="D32" s="492">
        <f>'TTUHSC FGD'!F56</f>
        <v>55846</v>
      </c>
      <c r="E32" s="492"/>
      <c r="F32" s="492">
        <f t="shared" ref="F32:F37" si="7">B32-(SUM(D32:E32))</f>
        <v>13195042</v>
      </c>
      <c r="J32" s="920">
        <f>ROUND(F32/$C$6,0)</f>
        <v>2193</v>
      </c>
      <c r="O32" s="320"/>
    </row>
    <row r="33" spans="1:30">
      <c r="A33" s="277" t="s">
        <v>173</v>
      </c>
      <c r="B33" s="669">
        <f>'TTUHSC FGD'!M57</f>
        <v>97864959</v>
      </c>
      <c r="C33" s="669"/>
      <c r="D33" s="921">
        <f>'TTUHSC FGD'!F57</f>
        <v>0</v>
      </c>
      <c r="E33" s="754"/>
      <c r="F33" s="754">
        <f t="shared" si="7"/>
        <v>97864959</v>
      </c>
      <c r="J33" s="926">
        <f t="shared" ref="J33:J37" si="8">ROUND(F33/$C$6,0)</f>
        <v>16267</v>
      </c>
      <c r="O33" s="320"/>
    </row>
    <row r="34" spans="1:30" ht="13.8" thickBot="1">
      <c r="A34" s="277" t="s">
        <v>174</v>
      </c>
      <c r="B34" s="669">
        <f>'TTUHSC FGD'!M58</f>
        <v>73861674</v>
      </c>
      <c r="C34" s="669"/>
      <c r="D34" s="921">
        <f>'TTUHSC FGD'!F58</f>
        <v>0</v>
      </c>
      <c r="E34" s="754"/>
      <c r="F34" s="754">
        <f t="shared" si="7"/>
        <v>73861674</v>
      </c>
      <c r="J34" s="926">
        <f t="shared" si="8"/>
        <v>12277</v>
      </c>
      <c r="O34" s="320"/>
    </row>
    <row r="35" spans="1:30" ht="13.8" thickBot="1">
      <c r="A35" s="277" t="s">
        <v>175</v>
      </c>
      <c r="B35" s="669">
        <f>'TTUHSC FGD'!M59</f>
        <v>13010680</v>
      </c>
      <c r="C35" s="669"/>
      <c r="D35" s="921">
        <f>'TTUHSC FGD'!F59</f>
        <v>0</v>
      </c>
      <c r="E35" s="754"/>
      <c r="F35" s="754">
        <f t="shared" si="7"/>
        <v>13010680</v>
      </c>
      <c r="J35" s="926">
        <f t="shared" si="8"/>
        <v>2163</v>
      </c>
      <c r="K35" s="1157"/>
      <c r="L35" s="1140"/>
      <c r="M35" s="1140"/>
      <c r="N35" s="1140"/>
      <c r="O35" s="1141"/>
    </row>
    <row r="36" spans="1:30" ht="13.8" thickBot="1">
      <c r="A36" s="277" t="s">
        <v>471</v>
      </c>
      <c r="B36" s="669">
        <f>'TTUHSC FGD'!M60</f>
        <v>938468</v>
      </c>
      <c r="C36" s="669"/>
      <c r="D36" s="921">
        <f>'TTUHSC FGD'!F60</f>
        <v>938468</v>
      </c>
      <c r="E36" s="754"/>
      <c r="F36" s="754">
        <f t="shared" si="7"/>
        <v>0</v>
      </c>
      <c r="J36" s="926">
        <f t="shared" si="8"/>
        <v>0</v>
      </c>
      <c r="K36" s="1157" t="s">
        <v>268</v>
      </c>
      <c r="L36" s="1140"/>
      <c r="M36" s="1140"/>
      <c r="N36" s="1140"/>
      <c r="O36" s="1141"/>
    </row>
    <row r="37" spans="1:30" ht="13.5" customHeight="1" thickBot="1">
      <c r="A37" s="538" t="s">
        <v>177</v>
      </c>
      <c r="B37" s="669">
        <f>'TTUHSC FGD'!M61</f>
        <v>57938030</v>
      </c>
      <c r="C37" s="669"/>
      <c r="D37" s="921">
        <f>'TTUHSC FGD'!F61</f>
        <v>0</v>
      </c>
      <c r="E37" s="754"/>
      <c r="F37" s="754">
        <f t="shared" si="7"/>
        <v>57938030</v>
      </c>
      <c r="G37" s="400"/>
      <c r="H37" s="400"/>
      <c r="I37" s="400"/>
      <c r="J37" s="926">
        <f t="shared" si="8"/>
        <v>9631</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256864699</v>
      </c>
      <c r="C38" s="937"/>
      <c r="D38" s="949">
        <f>SUM(D32:D37)</f>
        <v>994314</v>
      </c>
      <c r="E38" s="949">
        <f>SUM(E32:E37)</f>
        <v>0</v>
      </c>
      <c r="F38" s="950">
        <f>SUM(F32:F37)</f>
        <v>255870385</v>
      </c>
      <c r="G38" s="1154" t="s">
        <v>171</v>
      </c>
      <c r="H38" s="1155"/>
      <c r="I38" s="951" t="s">
        <v>542</v>
      </c>
      <c r="J38" s="952">
        <f>SUM(J32:J37)</f>
        <v>42531</v>
      </c>
      <c r="K38" s="1159"/>
      <c r="L38" s="1159"/>
      <c r="M38" s="1159"/>
      <c r="N38" s="1159" t="s">
        <v>543</v>
      </c>
      <c r="O38" s="1159" t="s">
        <v>280</v>
      </c>
    </row>
    <row r="39" spans="1:30" ht="13.8" thickTop="1">
      <c r="A39" s="953" t="s">
        <v>201</v>
      </c>
      <c r="B39" s="954">
        <f>B15+B20+B23+B26+B29+B38</f>
        <v>828068297</v>
      </c>
      <c r="C39" s="955"/>
      <c r="D39" s="954">
        <f>D15+D20+D23+D26+D29+D38</f>
        <v>994314</v>
      </c>
      <c r="E39" s="954">
        <f>E15+E20+E23+E26+E29+E38</f>
        <v>247811272</v>
      </c>
      <c r="F39" s="956">
        <f>F38+F23+F20+F15</f>
        <v>579262711</v>
      </c>
      <c r="G39" s="1156" t="s">
        <v>271</v>
      </c>
      <c r="H39" s="1156"/>
      <c r="I39" s="957">
        <f>ROUND($G$41/$C$6,0)</f>
        <v>92687</v>
      </c>
      <c r="J39" s="958">
        <f>J15+J20+J23+J38</f>
        <v>96286</v>
      </c>
      <c r="K39" s="1159"/>
      <c r="L39" s="1159"/>
      <c r="M39" s="1159"/>
      <c r="N39" s="1159"/>
      <c r="O39" s="1159"/>
    </row>
    <row r="40" spans="1:30" ht="13.8" thickBot="1">
      <c r="C40" s="277"/>
      <c r="F40" s="320" t="s">
        <v>577</v>
      </c>
      <c r="G40" s="959">
        <f>G14*-1</f>
        <v>-21652392</v>
      </c>
      <c r="I40" s="951" t="s">
        <v>545</v>
      </c>
      <c r="J40" s="960"/>
      <c r="K40" s="1160"/>
      <c r="L40" s="1160"/>
      <c r="M40" s="1160"/>
      <c r="N40" s="1160"/>
      <c r="O40" s="1160"/>
    </row>
    <row r="41" spans="1:30" ht="14.4" thickTop="1" thickBot="1">
      <c r="A41" s="912" t="s">
        <v>178</v>
      </c>
      <c r="B41" s="912"/>
      <c r="C41" s="912"/>
      <c r="D41" s="344"/>
      <c r="E41" s="344"/>
      <c r="F41" s="961" t="s">
        <v>546</v>
      </c>
      <c r="G41" s="962">
        <f>F39+G40</f>
        <v>557610319</v>
      </c>
      <c r="I41" s="963">
        <f>ROUND($G$41/$I$8,0)</f>
        <v>703316</v>
      </c>
      <c r="K41" s="964"/>
      <c r="L41" s="964"/>
      <c r="M41" s="964"/>
      <c r="N41" s="964"/>
      <c r="O41" s="964"/>
    </row>
    <row r="42" spans="1:30" ht="13.8" thickTop="1">
      <c r="A42" s="490" t="s">
        <v>92</v>
      </c>
      <c r="B42" s="501">
        <f>'TTUHSC FGD'!M65</f>
        <v>227430702</v>
      </c>
      <c r="C42" s="501">
        <f t="shared" ref="C42:C52" si="9">ROUND(B42/$C$6,0)</f>
        <v>37804</v>
      </c>
      <c r="D42" s="492">
        <f>'TTUHSC FGD'!F65</f>
        <v>0</v>
      </c>
      <c r="E42" s="492"/>
      <c r="F42" s="492">
        <f t="shared" ref="F42" si="10">B42-(SUM(D42:E42))</f>
        <v>227430702</v>
      </c>
      <c r="H42" s="965" t="s">
        <v>547</v>
      </c>
      <c r="I42" s="966">
        <f>ROUND(F42/$C$6,0)</f>
        <v>37804</v>
      </c>
      <c r="J42" s="320" t="s">
        <v>548</v>
      </c>
      <c r="K42" s="492">
        <f>F42</f>
        <v>227430702</v>
      </c>
      <c r="L42" s="492">
        <f>K42</f>
        <v>227430702</v>
      </c>
      <c r="M42" s="492"/>
      <c r="N42" s="492"/>
      <c r="O42" s="492"/>
    </row>
    <row r="43" spans="1:30">
      <c r="A43" s="490" t="s">
        <v>179</v>
      </c>
      <c r="B43" s="669">
        <f>'TTUHSC FGD'!M66</f>
        <v>38759283</v>
      </c>
      <c r="C43" s="669">
        <f t="shared" si="9"/>
        <v>6443</v>
      </c>
      <c r="D43" s="723">
        <f>'TTUHSC FGD'!F66</f>
        <v>0</v>
      </c>
      <c r="E43" s="754"/>
      <c r="F43" s="754">
        <f t="shared" ref="F43:F44" si="11">B43-(SUM(D43:E43))</f>
        <v>38759283</v>
      </c>
      <c r="J43" s="320" t="s">
        <v>549</v>
      </c>
      <c r="K43" s="723">
        <f>F43</f>
        <v>38759283</v>
      </c>
      <c r="L43" s="723">
        <f>K43</f>
        <v>38759283</v>
      </c>
      <c r="M43" s="723"/>
      <c r="N43" s="723"/>
      <c r="O43" s="723"/>
    </row>
    <row r="44" spans="1:30">
      <c r="A44" s="490" t="s">
        <v>180</v>
      </c>
      <c r="B44" s="669">
        <f>'TTUHSC FGD'!M67</f>
        <v>149605308</v>
      </c>
      <c r="C44" s="669"/>
      <c r="D44" s="723">
        <f>'TTUHSC FGD'!F67</f>
        <v>0</v>
      </c>
      <c r="E44" s="921">
        <f>B44-D44</f>
        <v>149605308</v>
      </c>
      <c r="F44" s="754">
        <f t="shared" si="11"/>
        <v>0</v>
      </c>
      <c r="J44" s="320" t="s">
        <v>550</v>
      </c>
      <c r="K44" s="967"/>
      <c r="L44" s="769"/>
      <c r="M44" s="769" t="s">
        <v>551</v>
      </c>
      <c r="N44" s="769"/>
      <c r="O44" s="968"/>
    </row>
    <row r="45" spans="1:30">
      <c r="A45" s="300" t="s">
        <v>164</v>
      </c>
      <c r="B45" s="669">
        <f>'TTUHSC FGD'!M68</f>
        <v>92148740</v>
      </c>
      <c r="C45" s="669"/>
      <c r="D45" s="723">
        <f>'TTUHSC FGD'!F68</f>
        <v>0</v>
      </c>
      <c r="E45" s="921">
        <f>B45-D45</f>
        <v>92148740</v>
      </c>
      <c r="F45" s="754">
        <f t="shared" ref="F45" si="12">B45-(SUM(D45:E45))</f>
        <v>0</v>
      </c>
      <c r="G45" s="492"/>
      <c r="J45" s="320" t="s">
        <v>552</v>
      </c>
      <c r="K45" s="1161" t="s">
        <v>551</v>
      </c>
      <c r="L45" s="1162"/>
      <c r="M45" s="1162"/>
      <c r="N45" s="1162"/>
      <c r="O45" s="1163"/>
    </row>
    <row r="46" spans="1:30">
      <c r="A46" s="490" t="s">
        <v>181</v>
      </c>
      <c r="B46" s="669">
        <f>'TTUHSC FGD'!M69</f>
        <v>132515189</v>
      </c>
      <c r="C46" s="669">
        <f t="shared" si="9"/>
        <v>22027</v>
      </c>
      <c r="D46" s="723">
        <f>'TTUHSC FGD'!F69</f>
        <v>0</v>
      </c>
      <c r="E46" s="754"/>
      <c r="F46" s="754">
        <f t="shared" ref="F46:F53" si="13">B46-(SUM(D46:E46))</f>
        <v>132515189</v>
      </c>
      <c r="H46" s="965" t="s">
        <v>553</v>
      </c>
      <c r="I46" s="966">
        <f>ROUND(F46/$C$6,0)</f>
        <v>22027</v>
      </c>
      <c r="J46" s="320" t="s">
        <v>554</v>
      </c>
      <c r="K46" s="723">
        <f t="shared" ref="K46:K50" si="14">F46</f>
        <v>132515189</v>
      </c>
      <c r="L46" s="723">
        <f>K46</f>
        <v>132515189</v>
      </c>
      <c r="M46" s="723"/>
      <c r="N46" s="723"/>
      <c r="O46" s="723"/>
    </row>
    <row r="47" spans="1:30">
      <c r="A47" s="490" t="s">
        <v>182</v>
      </c>
      <c r="B47" s="669">
        <f>'TTUHSC FGD'!M70</f>
        <v>24545109</v>
      </c>
      <c r="C47" s="669">
        <f t="shared" si="9"/>
        <v>4080</v>
      </c>
      <c r="D47" s="723">
        <f>'TTUHSC FGD'!F70</f>
        <v>0</v>
      </c>
      <c r="E47" s="754"/>
      <c r="F47" s="754">
        <f t="shared" si="13"/>
        <v>24545109</v>
      </c>
      <c r="J47" s="320" t="s">
        <v>555</v>
      </c>
      <c r="K47" s="723">
        <f t="shared" si="14"/>
        <v>24545109</v>
      </c>
      <c r="L47" s="723"/>
      <c r="M47" s="723">
        <f>K47</f>
        <v>24545109</v>
      </c>
      <c r="N47" s="723"/>
      <c r="O47" s="723"/>
    </row>
    <row r="48" spans="1:30">
      <c r="A48" s="490" t="s">
        <v>183</v>
      </c>
      <c r="B48" s="669">
        <f>'TTUHSC FGD'!M71</f>
        <v>34289967</v>
      </c>
      <c r="C48" s="669">
        <f t="shared" si="9"/>
        <v>5700</v>
      </c>
      <c r="D48" s="723">
        <f>'TTUHSC FGD'!F71</f>
        <v>0</v>
      </c>
      <c r="E48" s="754"/>
      <c r="F48" s="754">
        <f t="shared" si="13"/>
        <v>34289967</v>
      </c>
      <c r="H48" s="965" t="s">
        <v>556</v>
      </c>
      <c r="I48" s="966">
        <f>ROUND(F48/$C$6,0)</f>
        <v>5700</v>
      </c>
      <c r="J48" s="320" t="s">
        <v>557</v>
      </c>
      <c r="K48" s="723">
        <f t="shared" si="14"/>
        <v>34289967</v>
      </c>
      <c r="L48" s="723"/>
      <c r="M48" s="723"/>
      <c r="N48" s="723">
        <f>K48</f>
        <v>34289967</v>
      </c>
      <c r="O48" s="723"/>
    </row>
    <row r="49" spans="1:30">
      <c r="A49" s="490" t="s">
        <v>184</v>
      </c>
      <c r="B49" s="669">
        <f>'TTUHSC FGD'!M72</f>
        <v>38011226</v>
      </c>
      <c r="C49" s="669"/>
      <c r="D49" s="723">
        <f>'TTUHSC FGD'!F72</f>
        <v>0</v>
      </c>
      <c r="E49" s="754"/>
      <c r="F49" s="754">
        <f t="shared" si="13"/>
        <v>38011226</v>
      </c>
      <c r="J49" s="320" t="s">
        <v>558</v>
      </c>
      <c r="K49" s="723">
        <f t="shared" si="14"/>
        <v>38011226</v>
      </c>
      <c r="L49" s="723"/>
      <c r="M49" s="723"/>
      <c r="N49" s="723">
        <f>K49</f>
        <v>38011226</v>
      </c>
      <c r="O49" s="723"/>
    </row>
    <row r="50" spans="1:30">
      <c r="A50" s="490" t="s">
        <v>185</v>
      </c>
      <c r="B50" s="669">
        <f>'TTUHSC FGD'!M73</f>
        <v>5043897</v>
      </c>
      <c r="C50" s="669">
        <f t="shared" si="9"/>
        <v>838</v>
      </c>
      <c r="D50" s="723">
        <f>'TTUHSC FGD'!F73</f>
        <v>0</v>
      </c>
      <c r="E50" s="754"/>
      <c r="F50" s="754">
        <f t="shared" si="13"/>
        <v>5043897</v>
      </c>
      <c r="J50" s="320" t="s">
        <v>559</v>
      </c>
      <c r="K50" s="723">
        <f t="shared" si="14"/>
        <v>5043897</v>
      </c>
      <c r="L50" s="723"/>
      <c r="M50" s="723">
        <f>K50</f>
        <v>5043897</v>
      </c>
      <c r="N50" s="723"/>
      <c r="O50" s="723"/>
    </row>
    <row r="51" spans="1:30">
      <c r="A51" s="490" t="s">
        <v>472</v>
      </c>
      <c r="B51" s="669">
        <f>'TTUHSC FGD'!M74</f>
        <v>527758</v>
      </c>
      <c r="C51" s="669"/>
      <c r="D51" s="969">
        <f>B51</f>
        <v>527758</v>
      </c>
      <c r="E51" s="754"/>
      <c r="F51" s="754">
        <f t="shared" si="13"/>
        <v>0</v>
      </c>
      <c r="J51" s="320" t="s">
        <v>560</v>
      </c>
      <c r="K51" s="967"/>
      <c r="L51" s="769"/>
      <c r="M51" s="769" t="s">
        <v>551</v>
      </c>
      <c r="N51" s="769"/>
      <c r="O51" s="968"/>
    </row>
    <row r="52" spans="1:30">
      <c r="A52" s="490" t="s">
        <v>187</v>
      </c>
      <c r="B52" s="669">
        <f>'TTUHSC FGD'!M75</f>
        <v>8976439</v>
      </c>
      <c r="C52" s="669">
        <f t="shared" si="9"/>
        <v>1492</v>
      </c>
      <c r="D52" s="723">
        <f>'TTUHSC FGD'!F75</f>
        <v>0</v>
      </c>
      <c r="E52" s="754"/>
      <c r="F52" s="754">
        <f t="shared" si="13"/>
        <v>8976439</v>
      </c>
      <c r="J52" s="320" t="s">
        <v>561</v>
      </c>
      <c r="K52" s="723">
        <f t="shared" ref="K52:K53" si="15">F52</f>
        <v>8976439</v>
      </c>
      <c r="L52" s="723"/>
      <c r="M52" s="723"/>
      <c r="N52" s="723"/>
      <c r="O52" s="723">
        <f>K52</f>
        <v>8976439</v>
      </c>
    </row>
    <row r="53" spans="1:30" ht="13.8" thickBot="1">
      <c r="A53" s="277" t="s">
        <v>1713</v>
      </c>
      <c r="B53" s="669">
        <f>'TTUHSC FGD'!M76</f>
        <v>102842</v>
      </c>
      <c r="C53" s="669"/>
      <c r="D53" s="723">
        <f>'TTUHSC FGD'!F76</f>
        <v>0</v>
      </c>
      <c r="E53" s="754"/>
      <c r="F53" s="754">
        <f t="shared" si="13"/>
        <v>102842</v>
      </c>
      <c r="G53" s="400"/>
      <c r="H53" s="965" t="s">
        <v>562</v>
      </c>
      <c r="I53" s="966">
        <f>ROUND(SUM(F43+F47+F49+F50+F52+F53)/$C$6,0)</f>
        <v>19188</v>
      </c>
      <c r="J53" s="400" t="s">
        <v>280</v>
      </c>
      <c r="K53" s="723">
        <f t="shared" si="15"/>
        <v>102842</v>
      </c>
      <c r="L53" s="970"/>
      <c r="M53" s="970"/>
      <c r="N53" s="970"/>
      <c r="O53" s="723">
        <f>K53</f>
        <v>102842</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751956460</v>
      </c>
      <c r="C54" s="972">
        <f>SUM(C42:C53)</f>
        <v>78384</v>
      </c>
      <c r="D54" s="972">
        <f>SUM(D42:D53)</f>
        <v>527758</v>
      </c>
      <c r="E54" s="973">
        <f>SUM(E43:E53)</f>
        <v>241754048</v>
      </c>
      <c r="F54" s="974">
        <f>SUM(F42:F53)</f>
        <v>509674654</v>
      </c>
      <c r="G54" s="1174" t="s">
        <v>563</v>
      </c>
      <c r="H54" s="1175"/>
      <c r="I54" s="975" t="s">
        <v>623</v>
      </c>
      <c r="J54" s="400" t="s">
        <v>564</v>
      </c>
      <c r="K54" s="976">
        <f>SUM(K42:K53)</f>
        <v>509674654</v>
      </c>
      <c r="L54" s="976">
        <f t="shared" ref="L54:O54" si="16">SUM(L42:L53)</f>
        <v>398705174</v>
      </c>
      <c r="M54" s="976">
        <f t="shared" si="16"/>
        <v>29589006</v>
      </c>
      <c r="N54" s="976">
        <f t="shared" si="16"/>
        <v>72301193</v>
      </c>
      <c r="O54" s="976">
        <f t="shared" si="16"/>
        <v>9079281</v>
      </c>
    </row>
    <row r="55" spans="1:30" ht="14.25" customHeight="1" thickTop="1" thickBot="1">
      <c r="C55" s="277"/>
      <c r="F55" s="931"/>
      <c r="G55" s="1176"/>
      <c r="H55" s="1177"/>
      <c r="I55" s="977">
        <f>ROUND(F54/C6,0)</f>
        <v>84719</v>
      </c>
      <c r="J55" s="1153" t="s">
        <v>565</v>
      </c>
      <c r="K55" s="970"/>
      <c r="L55" s="970"/>
      <c r="M55" s="970"/>
      <c r="N55" s="970"/>
      <c r="O55" s="970"/>
    </row>
    <row r="56" spans="1:30" ht="16.5" customHeight="1" thickBot="1">
      <c r="A56" s="279" t="s">
        <v>473</v>
      </c>
      <c r="C56" s="277"/>
      <c r="F56" s="978"/>
      <c r="G56" s="1178"/>
      <c r="H56" s="1179"/>
      <c r="I56" s="951" t="s">
        <v>624</v>
      </c>
      <c r="J56" s="1153"/>
      <c r="K56" s="979">
        <f>ROUND(K54/$C$6,2)</f>
        <v>84718.87</v>
      </c>
      <c r="L56" s="979">
        <f t="shared" ref="L56:O56" si="17">ROUND(L54/$C$6,2)</f>
        <v>66273.36</v>
      </c>
      <c r="M56" s="979">
        <f t="shared" si="17"/>
        <v>4918.33</v>
      </c>
      <c r="N56" s="979">
        <f t="shared" si="17"/>
        <v>12018.01</v>
      </c>
      <c r="O56" s="979">
        <f t="shared" si="17"/>
        <v>1509.17</v>
      </c>
      <c r="P56" s="333"/>
      <c r="Q56" s="333"/>
      <c r="R56" s="333"/>
      <c r="S56" s="333"/>
      <c r="T56" s="333"/>
      <c r="U56" s="333"/>
      <c r="V56" s="333"/>
      <c r="W56" s="333"/>
      <c r="X56" s="333"/>
      <c r="Y56" s="333"/>
      <c r="Z56" s="333"/>
      <c r="AA56" s="333"/>
      <c r="AB56" s="333"/>
      <c r="AC56" s="333"/>
      <c r="AD56" s="333"/>
    </row>
    <row r="57" spans="1:30" ht="13.8" thickTop="1">
      <c r="A57" s="277" t="s">
        <v>474</v>
      </c>
      <c r="B57" s="669">
        <f>'TTUHSC FGD'!M80</f>
        <v>-24024565</v>
      </c>
      <c r="C57" s="669"/>
      <c r="D57" s="492">
        <f>'TTUHSC FGD'!F80</f>
        <v>0</v>
      </c>
      <c r="E57" s="492"/>
      <c r="F57" s="980">
        <f t="shared" ref="F57:F60" si="18">B57-(SUM(D57:E57))</f>
        <v>-24024565</v>
      </c>
      <c r="G57" s="930"/>
      <c r="I57" s="981">
        <f>ROUND($F$54/$I$8,0)</f>
        <v>642855</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'TTUHSC FGD'!M81</f>
        <v>-419687</v>
      </c>
      <c r="C58" s="669"/>
      <c r="D58" s="982">
        <f>'TTUHSC FGD'!F81</f>
        <v>-690689</v>
      </c>
      <c r="E58" s="915"/>
      <c r="F58" s="754">
        <f t="shared" si="18"/>
        <v>271002</v>
      </c>
      <c r="K58" s="980"/>
      <c r="L58" s="980"/>
      <c r="M58" s="980"/>
      <c r="N58" s="980"/>
      <c r="O58" s="980"/>
    </row>
    <row r="59" spans="1:30">
      <c r="A59" s="983" t="s">
        <v>567</v>
      </c>
      <c r="B59" s="669">
        <f>'TTUHSC FGD'!M82</f>
        <v>12690433</v>
      </c>
      <c r="C59" s="669"/>
      <c r="D59" s="982">
        <f>'TTUHSC FGD'!F82</f>
        <v>0</v>
      </c>
      <c r="E59" s="915"/>
      <c r="F59" s="754">
        <f t="shared" si="18"/>
        <v>12690433</v>
      </c>
      <c r="G59" s="400"/>
      <c r="J59" s="400"/>
      <c r="K59" s="400"/>
      <c r="L59" s="400"/>
      <c r="M59" s="400"/>
      <c r="N59" s="400"/>
      <c r="O59" s="400"/>
    </row>
    <row r="60" spans="1:30" ht="12" customHeight="1">
      <c r="A60" s="277" t="s">
        <v>477</v>
      </c>
      <c r="B60" s="669">
        <f>'TTUHSC FGD'!M83</f>
        <v>-10383711</v>
      </c>
      <c r="C60" s="669"/>
      <c r="D60" s="982">
        <f>'TTUHSC FGD'!F83</f>
        <v>0</v>
      </c>
      <c r="E60" s="915"/>
      <c r="F60" s="754">
        <f t="shared" si="18"/>
        <v>-10383711</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-22137530</v>
      </c>
      <c r="C61" s="937"/>
      <c r="D61" s="937">
        <f>SUM(D57:D60)</f>
        <v>-690689</v>
      </c>
      <c r="E61" s="937">
        <f>SUM(E57:E60)</f>
        <v>0</v>
      </c>
      <c r="F61" s="984">
        <f>SUM(F57:F60)</f>
        <v>-21446841</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'TTUHSC FGD'!M87</f>
        <v>-34962222</v>
      </c>
      <c r="C64" s="669"/>
      <c r="D64" s="492">
        <f>'TTUHSC FGD'!F87</f>
        <v>0</v>
      </c>
      <c r="E64" s="492"/>
      <c r="F64" s="492">
        <f t="shared" ref="F64:F65" si="19">B64-(SUM(D64:E64))</f>
        <v>-34962222</v>
      </c>
      <c r="O64" s="320"/>
    </row>
    <row r="65" spans="1:30">
      <c r="A65" s="277" t="s">
        <v>480</v>
      </c>
      <c r="B65" s="669">
        <f>'TTUHSC FGD'!M88</f>
        <v>133991</v>
      </c>
      <c r="C65" s="669"/>
      <c r="D65" s="982">
        <f>'TTUHSC FGD'!F88</f>
        <v>0</v>
      </c>
      <c r="E65" s="915"/>
      <c r="F65" s="754">
        <f t="shared" si="19"/>
        <v>133991</v>
      </c>
      <c r="O65" s="320"/>
      <c r="P65" s="333"/>
      <c r="Q65" s="333"/>
      <c r="R65" s="333"/>
      <c r="S65" s="333"/>
      <c r="T65" s="333"/>
      <c r="U65" s="333"/>
      <c r="V65" s="333"/>
      <c r="W65" s="333"/>
      <c r="X65" s="333"/>
      <c r="Y65" s="333"/>
      <c r="Z65" s="333"/>
      <c r="AA65" s="333"/>
      <c r="AB65" s="333"/>
      <c r="AC65" s="333"/>
      <c r="AD65" s="333"/>
    </row>
    <row r="66" spans="1:30">
      <c r="A66" s="936" t="s">
        <v>155</v>
      </c>
      <c r="B66" s="937">
        <f>SUM(B64:B65)</f>
        <v>-34828231</v>
      </c>
      <c r="C66" s="937"/>
      <c r="D66" s="937">
        <f>SUM(D64:D65)</f>
        <v>0</v>
      </c>
      <c r="E66" s="937">
        <f>SUM(E64:E65)</f>
        <v>0</v>
      </c>
      <c r="F66" s="937">
        <f>SUM(F64:F65)</f>
        <v>-34828231</v>
      </c>
      <c r="O66" s="320"/>
    </row>
    <row r="67" spans="1:30">
      <c r="C67" s="277"/>
      <c r="O67" s="320"/>
    </row>
    <row r="68" spans="1:30" ht="13.8" thickBot="1">
      <c r="A68" s="985" t="s">
        <v>572</v>
      </c>
      <c r="B68" s="590">
        <f>B39-B54+B61+B66</f>
        <v>19146076</v>
      </c>
      <c r="C68" s="590"/>
      <c r="D68" s="590">
        <f>D39-D54+D61+D66</f>
        <v>-224133</v>
      </c>
      <c r="E68" s="590">
        <f>E39-E54+E61+E66</f>
        <v>6057224</v>
      </c>
      <c r="F68" s="590">
        <f>F39-F54+F61+F66</f>
        <v>13312985</v>
      </c>
      <c r="O68" s="320"/>
    </row>
    <row r="69" spans="1:30" ht="13.8" thickTop="1"/>
    <row r="70" spans="1:30">
      <c r="A70" s="320" t="s">
        <v>573</v>
      </c>
      <c r="D70" s="492"/>
    </row>
    <row r="71" spans="1:30">
      <c r="A71" s="277" t="s">
        <v>7</v>
      </c>
    </row>
    <row r="72" spans="1:30">
      <c r="B72" s="986">
        <f>'TTUHSC FGD'!$M$91</f>
        <v>19146076</v>
      </c>
      <c r="C72" s="277"/>
      <c r="D72" s="986">
        <f>'TTUHSC FGD'!F91</f>
        <v>-224133</v>
      </c>
      <c r="E72" s="986">
        <f>'TTUHSC FGD'!M50</f>
        <v>247811272</v>
      </c>
      <c r="F72" s="277"/>
    </row>
    <row r="73" spans="1:30">
      <c r="B73" s="986"/>
      <c r="C73" s="277"/>
      <c r="D73" s="986">
        <f>'TTUHSC FGD'!F74</f>
        <v>527758</v>
      </c>
      <c r="E73" s="986">
        <f>'TTUHSC FGD'!M53</f>
        <v>0</v>
      </c>
      <c r="F73" s="986"/>
    </row>
    <row r="74" spans="1:30">
      <c r="B74" s="986"/>
      <c r="C74" s="277"/>
      <c r="D74" s="986">
        <f>-'TTUHSC FGD'!M74</f>
        <v>-527758</v>
      </c>
      <c r="E74" s="986">
        <f>-'TTUHSC FGD'!M68</f>
        <v>-92148740</v>
      </c>
      <c r="F74" s="986"/>
    </row>
    <row r="75" spans="1:30">
      <c r="B75" s="986"/>
      <c r="C75" s="277"/>
      <c r="D75" s="986"/>
      <c r="E75" s="986">
        <f>-'TTUHSC FGD'!M67</f>
        <v>-149605308</v>
      </c>
      <c r="F75" s="986"/>
    </row>
    <row r="76" spans="1:30" ht="12.75" customHeight="1">
      <c r="B76" s="987"/>
      <c r="C76" s="277"/>
      <c r="D76" s="987"/>
      <c r="E76" s="987">
        <f>-D26</f>
        <v>0</v>
      </c>
      <c r="F76" s="986"/>
    </row>
    <row r="77" spans="1:30" ht="12.75" customHeight="1">
      <c r="B77" s="986">
        <f>SUM(B72:B76)</f>
        <v>19146076</v>
      </c>
      <c r="C77" s="277"/>
      <c r="D77" s="986">
        <f>SUM(D72:D76)</f>
        <v>-224133</v>
      </c>
      <c r="E77" s="986">
        <f>SUM(E72:E76)</f>
        <v>6057224</v>
      </c>
      <c r="F77" s="986">
        <f>B77-D77-E77</f>
        <v>13312985</v>
      </c>
    </row>
    <row r="78" spans="1:30" ht="12.75" customHeight="1">
      <c r="B78" s="986"/>
      <c r="C78" s="277"/>
      <c r="D78" s="986"/>
      <c r="E78" s="986"/>
      <c r="F78" s="986"/>
    </row>
    <row r="79" spans="1:30" ht="12.75" customHeight="1">
      <c r="B79" s="987"/>
      <c r="C79" s="538"/>
      <c r="D79" s="987"/>
      <c r="E79" s="987"/>
      <c r="F79" s="987"/>
    </row>
    <row r="80" spans="1:30" ht="12.75" customHeight="1">
      <c r="B80" s="986">
        <f>SUM(B77:B79)</f>
        <v>19146076</v>
      </c>
      <c r="C80" s="277"/>
      <c r="D80" s="986">
        <f>SUM(D77:D79)</f>
        <v>-224133</v>
      </c>
      <c r="E80" s="986">
        <f>SUM(E77:E79)</f>
        <v>6057224</v>
      </c>
      <c r="F80" s="986">
        <f>SUM(F77:F79)</f>
        <v>13312985</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37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indexed="11"/>
    <pageSetUpPr fitToPage="1"/>
  </sheetPr>
  <dimension ref="A1:AB128"/>
  <sheetViews>
    <sheetView showGridLines="0" zoomScale="75" zoomScaleNormal="75" workbookViewId="0">
      <pane xSplit="2" ySplit="8" topLeftCell="D9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5.5546875" style="751" customWidth="1"/>
    <col min="13" max="13" width="17" style="751" customWidth="1"/>
    <col min="14" max="14" width="5.44140625" style="751" customWidth="1"/>
    <col min="15" max="15" width="16.664062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N1" s="656">
        <v>12</v>
      </c>
      <c r="O1" s="322"/>
      <c r="P1" s="322"/>
      <c r="Q1" s="322"/>
      <c r="R1" s="322"/>
      <c r="S1" s="322"/>
      <c r="T1" s="322"/>
      <c r="U1" s="322"/>
      <c r="V1" s="322"/>
      <c r="W1" s="322"/>
      <c r="X1" s="322"/>
      <c r="Y1" s="322"/>
      <c r="Z1" s="322"/>
      <c r="AA1" s="322"/>
      <c r="AB1" s="322"/>
    </row>
    <row r="2" spans="1:28" ht="21">
      <c r="A2" s="656">
        <v>1</v>
      </c>
      <c r="B2" s="1168" t="str">
        <f>'TTUHSC Chts'!$A$1</f>
        <v>Texas Tech University Health Sciences Center</v>
      </c>
      <c r="C2" s="1168"/>
      <c r="D2" s="1168"/>
      <c r="E2" s="1168"/>
      <c r="F2" s="1168"/>
      <c r="H2" s="750"/>
      <c r="I2" s="752" t="str">
        <f>IF($B$2&lt;&gt;Input!$H$14,"Name Mismatch","")</f>
        <v/>
      </c>
      <c r="J2" s="750"/>
      <c r="K2" s="750"/>
      <c r="L2" s="750"/>
      <c r="M2" s="672"/>
      <c r="O2" s="321" t="s">
        <v>51</v>
      </c>
      <c r="P2" s="334"/>
    </row>
    <row r="3" spans="1:28" ht="21">
      <c r="A3" s="656">
        <v>2</v>
      </c>
      <c r="B3" s="1168" t="str">
        <f>'Smmy Chts'!$A$2</f>
        <v>For the Year Ended August 31, 2022</v>
      </c>
      <c r="C3" s="1168"/>
      <c r="D3" s="1168"/>
      <c r="E3" s="1168"/>
      <c r="F3" s="1168"/>
      <c r="G3" s="750"/>
      <c r="H3" s="750"/>
      <c r="I3" s="750"/>
      <c r="J3" s="750"/>
      <c r="K3" s="750"/>
      <c r="L3" s="750"/>
      <c r="M3" s="672"/>
      <c r="O3" s="754"/>
    </row>
    <row r="4" spans="1:28" ht="21">
      <c r="A4" s="656">
        <v>3</v>
      </c>
      <c r="B4" s="1168" t="str">
        <f>'Smmy Chts'!$A$3</f>
        <v>Source: FY 2022 Annual Financial Report</v>
      </c>
      <c r="C4" s="1168"/>
      <c r="D4" s="1168"/>
      <c r="E4" s="1168"/>
      <c r="F4" s="1168"/>
      <c r="G4" s="750"/>
      <c r="H4" s="750"/>
      <c r="I4" s="750"/>
      <c r="J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Input!$M$14</f>
        <v>166379240</v>
      </c>
      <c r="E10" s="762">
        <f>Input!$N$14</f>
        <v>0</v>
      </c>
      <c r="F10" s="762">
        <f>Input!$O$14</f>
        <v>0</v>
      </c>
      <c r="G10" s="762">
        <f>Input!$P$14</f>
        <v>13427001</v>
      </c>
      <c r="H10" s="762">
        <f>Input!$Q$14</f>
        <v>0</v>
      </c>
      <c r="I10" s="762">
        <f>Input!$R$14</f>
        <v>0</v>
      </c>
      <c r="J10" s="762">
        <f>Input!$S$14</f>
        <v>0</v>
      </c>
      <c r="K10" s="762">
        <f>Input!$T$14</f>
        <v>0</v>
      </c>
      <c r="L10" s="762">
        <f>Input!$U$14</f>
        <v>0</v>
      </c>
      <c r="M10" s="723">
        <f t="shared" ref="M10:M15" si="0">D10+E10+F10+G10+H10+I10+J10+K10+L10</f>
        <v>179806241</v>
      </c>
      <c r="O10" s="763"/>
      <c r="P10" s="1200" t="s">
        <v>627</v>
      </c>
      <c r="Q10" s="320"/>
      <c r="R10" s="320"/>
      <c r="S10" s="320"/>
      <c r="V10" s="320"/>
      <c r="W10" s="320"/>
      <c r="X10" s="320"/>
      <c r="Y10" s="320"/>
      <c r="Z10" s="320"/>
      <c r="AA10" s="320"/>
      <c r="AB10" s="320"/>
    </row>
    <row r="11" spans="1:28" s="752" customFormat="1">
      <c r="A11" s="460">
        <v>10</v>
      </c>
      <c r="B11" s="752" t="s">
        <v>134</v>
      </c>
      <c r="D11" s="762">
        <f>Input!$V$14</f>
        <v>8775000</v>
      </c>
      <c r="E11" s="762">
        <f>Input!$W$14</f>
        <v>71625</v>
      </c>
      <c r="F11" s="762">
        <f>Input!$X$14</f>
        <v>0</v>
      </c>
      <c r="G11" s="762">
        <f>Input!$Y$14</f>
        <v>6863026</v>
      </c>
      <c r="H11" s="762">
        <f>Input!$Z$14</f>
        <v>0</v>
      </c>
      <c r="I11" s="762">
        <f>Input!$AA$14</f>
        <v>0</v>
      </c>
      <c r="J11" s="762">
        <f>Input!$AB$14</f>
        <v>0</v>
      </c>
      <c r="K11" s="762">
        <f>Input!$AC$14</f>
        <v>0</v>
      </c>
      <c r="L11" s="762">
        <f>Input!$AD$14</f>
        <v>0</v>
      </c>
      <c r="M11" s="723">
        <f t="shared" si="0"/>
        <v>15709651</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Input!$AN$14</f>
        <v>21652392</v>
      </c>
      <c r="E13" s="762">
        <f>Input!$AO$14</f>
        <v>0</v>
      </c>
      <c r="F13" s="762">
        <f>Input!$AP$14</f>
        <v>0</v>
      </c>
      <c r="G13" s="762">
        <f>Input!$AQ$14</f>
        <v>0</v>
      </c>
      <c r="H13" s="762">
        <f>Input!$AR$14</f>
        <v>0</v>
      </c>
      <c r="I13" s="762">
        <f>Input!$AS$14</f>
        <v>0</v>
      </c>
      <c r="J13" s="762">
        <f>Input!$AT$14</f>
        <v>0</v>
      </c>
      <c r="K13" s="762">
        <f>Input!$AU$14</f>
        <v>0</v>
      </c>
      <c r="L13" s="762">
        <f>Input!$AV$14</f>
        <v>0</v>
      </c>
      <c r="M13" s="723">
        <f t="shared" si="0"/>
        <v>21652392</v>
      </c>
      <c r="O13" s="764" t="str">
        <f>IF(P13&lt;&gt;M13,"Out of Balance","Balanced")</f>
        <v>Balanced</v>
      </c>
      <c r="P13" s="767">
        <f>IFERROR(VLOOKUP($B$2,AMTLU,6,FALSE),0)</f>
        <v>21652392</v>
      </c>
      <c r="Q13" s="320"/>
      <c r="R13" s="320"/>
      <c r="S13" s="320"/>
      <c r="V13" s="320"/>
      <c r="W13" s="320"/>
      <c r="X13" s="320"/>
      <c r="Y13" s="320"/>
      <c r="Z13" s="320"/>
      <c r="AA13" s="320"/>
      <c r="AB13" s="320"/>
    </row>
    <row r="14" spans="1:28" s="752" customFormat="1" ht="15">
      <c r="A14" s="460">
        <v>13</v>
      </c>
      <c r="B14" s="752" t="s">
        <v>135</v>
      </c>
      <c r="D14" s="762">
        <f>Input!$AW$14</f>
        <v>0</v>
      </c>
      <c r="E14" s="762">
        <f>Input!$AX$14</f>
        <v>0</v>
      </c>
      <c r="F14" s="762">
        <f>Input!$AY$14</f>
        <v>0</v>
      </c>
      <c r="G14" s="762">
        <f>Input!$AZ$14</f>
        <v>0</v>
      </c>
      <c r="H14" s="762">
        <f>Input!$BA$14</f>
        <v>0</v>
      </c>
      <c r="I14" s="762">
        <f>Input!$BB$14</f>
        <v>0</v>
      </c>
      <c r="J14" s="762">
        <f>Input!$BC$14</f>
        <v>0</v>
      </c>
      <c r="K14" s="762">
        <f>Input!$BD$14</f>
        <v>0</v>
      </c>
      <c r="L14" s="762">
        <f>Input!$BE$14</f>
        <v>0</v>
      </c>
      <c r="M14" s="723">
        <f t="shared" si="0"/>
        <v>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196806632</v>
      </c>
      <c r="E15" s="769">
        <f t="shared" ref="E15:L15" si="1">SUM(E10:E14)</f>
        <v>71625</v>
      </c>
      <c r="F15" s="769">
        <f t="shared" si="1"/>
        <v>0</v>
      </c>
      <c r="G15" s="769">
        <f t="shared" si="1"/>
        <v>20290027</v>
      </c>
      <c r="H15" s="769">
        <f t="shared" si="1"/>
        <v>0</v>
      </c>
      <c r="I15" s="769">
        <f t="shared" si="1"/>
        <v>0</v>
      </c>
      <c r="J15" s="769">
        <f t="shared" si="1"/>
        <v>0</v>
      </c>
      <c r="K15" s="769">
        <f t="shared" si="1"/>
        <v>0</v>
      </c>
      <c r="L15" s="769">
        <f t="shared" si="1"/>
        <v>0</v>
      </c>
      <c r="M15" s="769">
        <f t="shared" si="0"/>
        <v>217168284</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22473769</v>
      </c>
      <c r="E18" s="769">
        <f t="shared" si="2"/>
        <v>34060283</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56534052</v>
      </c>
      <c r="V18" s="723"/>
      <c r="X18" s="492"/>
    </row>
    <row r="19" spans="1:26" s="320" customFormat="1" ht="12.75" customHeight="1" thickTop="1" thickBot="1">
      <c r="A19" s="322"/>
      <c r="B19" s="320" t="s">
        <v>592</v>
      </c>
      <c r="D19" s="762">
        <f>Input!$BF$14</f>
        <v>-3793657</v>
      </c>
      <c r="E19" s="762">
        <f>Input!$BG$14</f>
        <v>0</v>
      </c>
      <c r="F19" s="762">
        <f>Input!$BH$14</f>
        <v>0</v>
      </c>
      <c r="G19" s="762">
        <f>Input!$BI$14</f>
        <v>0</v>
      </c>
      <c r="H19" s="762">
        <f>Input!$BJ$14</f>
        <v>0</v>
      </c>
      <c r="I19" s="762">
        <f>Input!BK6</f>
        <v>0</v>
      </c>
      <c r="J19" s="762">
        <f>Input!$BL$14</f>
        <v>0</v>
      </c>
      <c r="K19" s="762">
        <f>Input!BM6</f>
        <v>0</v>
      </c>
      <c r="L19" s="762">
        <f>Input!BN6</f>
        <v>0</v>
      </c>
      <c r="M19" s="723">
        <f t="shared" si="3"/>
        <v>-3793657</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Input!$BO$14</f>
        <v>0</v>
      </c>
      <c r="E20" s="762">
        <f>Input!$BP$14</f>
        <v>0</v>
      </c>
      <c r="F20" s="762">
        <f>Input!$BQ$14</f>
        <v>0</v>
      </c>
      <c r="G20" s="762">
        <f>Input!$BR$14</f>
        <v>0</v>
      </c>
      <c r="H20" s="762">
        <f>Input!$BS$14</f>
        <v>0</v>
      </c>
      <c r="I20" s="762">
        <f>Input!$BT$14</f>
        <v>0</v>
      </c>
      <c r="J20" s="762">
        <f>Input!BU6</f>
        <v>0</v>
      </c>
      <c r="K20" s="762">
        <f>Input!BV6</f>
        <v>0</v>
      </c>
      <c r="L20" s="762">
        <f>Input!$BW$14</f>
        <v>0</v>
      </c>
      <c r="M20" s="723">
        <f t="shared" si="3"/>
        <v>0</v>
      </c>
      <c r="O20" s="773" t="s">
        <v>631</v>
      </c>
      <c r="P20" s="774"/>
      <c r="Q20" s="774"/>
      <c r="R20" s="774"/>
      <c r="S20" s="775"/>
      <c r="U20" s="776" t="s">
        <v>252</v>
      </c>
      <c r="Y20" s="777"/>
    </row>
    <row r="21" spans="1:26" s="320" customFormat="1">
      <c r="A21" s="322"/>
      <c r="B21" s="320" t="s">
        <v>594</v>
      </c>
      <c r="D21" s="762">
        <f>Input!$BX$14</f>
        <v>0</v>
      </c>
      <c r="E21" s="762">
        <f>Input!$BY$14</f>
        <v>0</v>
      </c>
      <c r="F21" s="762">
        <f>Input!$BZ$14</f>
        <v>0</v>
      </c>
      <c r="G21" s="762">
        <f>Input!$CA$14</f>
        <v>0</v>
      </c>
      <c r="H21" s="762">
        <f>Input!$CB$14</f>
        <v>0</v>
      </c>
      <c r="I21" s="762">
        <f>Input!$CC$14</f>
        <v>0</v>
      </c>
      <c r="J21" s="762">
        <f>Input!$CD$14</f>
        <v>0</v>
      </c>
      <c r="K21" s="762">
        <f>Input!$CE$14</f>
        <v>0</v>
      </c>
      <c r="L21" s="762">
        <f>Input!$CF$14</f>
        <v>0</v>
      </c>
      <c r="M21" s="723">
        <f t="shared" si="3"/>
        <v>0</v>
      </c>
      <c r="O21" s="778"/>
      <c r="R21" s="492"/>
      <c r="S21" s="779"/>
      <c r="U21" s="780" t="s">
        <v>632</v>
      </c>
      <c r="X21" s="781">
        <f>M44</f>
        <v>71519865</v>
      </c>
      <c r="Y21" s="777"/>
      <c r="Z21" s="492"/>
    </row>
    <row r="22" spans="1:26" s="320" customFormat="1">
      <c r="A22" s="322"/>
      <c r="B22" s="320" t="s">
        <v>595</v>
      </c>
      <c r="D22" s="762">
        <f>Input!$CG$14</f>
        <v>0</v>
      </c>
      <c r="E22" s="762">
        <f>Input!$CH$14</f>
        <v>0</v>
      </c>
      <c r="F22" s="762">
        <f>Input!$CI$14</f>
        <v>0</v>
      </c>
      <c r="G22" s="762">
        <f>Input!$CJ$14</f>
        <v>0</v>
      </c>
      <c r="H22" s="762">
        <f>Input!$CK$14</f>
        <v>0</v>
      </c>
      <c r="I22" s="762">
        <f>Input!$CL$14</f>
        <v>0</v>
      </c>
      <c r="J22" s="762">
        <f>Input!$CM$14</f>
        <v>0</v>
      </c>
      <c r="K22" s="762">
        <f>Input!$CN$14</f>
        <v>0</v>
      </c>
      <c r="L22" s="762">
        <f>Input!$CO$14</f>
        <v>0</v>
      </c>
      <c r="M22" s="723">
        <f t="shared" si="3"/>
        <v>0</v>
      </c>
      <c r="N22" s="406"/>
      <c r="O22" s="778" t="s">
        <v>633</v>
      </c>
      <c r="Q22" s="492">
        <f>M23</f>
        <v>52740395</v>
      </c>
      <c r="S22" s="782"/>
      <c r="U22" s="780" t="s">
        <v>634</v>
      </c>
      <c r="X22" s="783">
        <f>R30*-1</f>
        <v>10327533</v>
      </c>
      <c r="Y22" s="777"/>
    </row>
    <row r="23" spans="1:26" s="320" customFormat="1" ht="12.75" customHeight="1">
      <c r="A23" s="322"/>
      <c r="B23" s="772" t="s">
        <v>233</v>
      </c>
      <c r="C23" s="784"/>
      <c r="D23" s="785">
        <f>Input!$CP$14</f>
        <v>18680112</v>
      </c>
      <c r="E23" s="785">
        <f>Input!$CQ$14</f>
        <v>34060283</v>
      </c>
      <c r="F23" s="785">
        <f>Input!$CR$14</f>
        <v>0</v>
      </c>
      <c r="G23" s="785">
        <f>Input!$CS$14</f>
        <v>0</v>
      </c>
      <c r="H23" s="785">
        <f>Input!$CT$14</f>
        <v>0</v>
      </c>
      <c r="I23" s="785">
        <f>Input!$CU$14</f>
        <v>0</v>
      </c>
      <c r="J23" s="785">
        <f>Input!$CV$14</f>
        <v>0</v>
      </c>
      <c r="K23" s="785">
        <f>Input!$CW$14</f>
        <v>0</v>
      </c>
      <c r="L23" s="785">
        <f>Input!$CX$14</f>
        <v>0</v>
      </c>
      <c r="M23" s="786">
        <f t="shared" si="3"/>
        <v>52740395</v>
      </c>
      <c r="O23" s="778"/>
      <c r="Q23" s="492"/>
      <c r="S23" s="782"/>
      <c r="U23" s="776" t="s">
        <v>635</v>
      </c>
      <c r="Y23" s="777">
        <f>SUM(X21:X22)</f>
        <v>81847398</v>
      </c>
      <c r="Z23" s="492"/>
    </row>
    <row r="24" spans="1:26" s="320" customFormat="1" ht="12.75" customHeight="1">
      <c r="A24" s="322"/>
      <c r="B24" s="320" t="s">
        <v>596</v>
      </c>
      <c r="C24" s="751"/>
      <c r="D24" s="762">
        <f>Input!$CY$14</f>
        <v>0</v>
      </c>
      <c r="E24" s="762">
        <f>Input!$CZ$14</f>
        <v>0</v>
      </c>
      <c r="F24" s="762">
        <f>Input!$DA$14</f>
        <v>0</v>
      </c>
      <c r="G24" s="762">
        <f>Input!$DB$14</f>
        <v>0</v>
      </c>
      <c r="H24" s="762">
        <f>Input!$DC$14</f>
        <v>0</v>
      </c>
      <c r="I24" s="762">
        <f>Input!$DD$14</f>
        <v>0</v>
      </c>
      <c r="J24" s="762">
        <f>Input!$DE$14</f>
        <v>0</v>
      </c>
      <c r="K24" s="762">
        <f>Input!$DF$14</f>
        <v>0</v>
      </c>
      <c r="L24" s="762">
        <f>Input!$DG$14</f>
        <v>0</v>
      </c>
      <c r="M24" s="650">
        <f t="shared" si="3"/>
        <v>0</v>
      </c>
      <c r="O24" s="787" t="s">
        <v>636</v>
      </c>
      <c r="Q24" s="723"/>
      <c r="R24" s="723">
        <f>SUM(M24:M28)</f>
        <v>-8286977</v>
      </c>
      <c r="S24" s="782"/>
      <c r="U24" s="776"/>
      <c r="Y24" s="777"/>
      <c r="Z24" s="492"/>
    </row>
    <row r="25" spans="1:26" s="320" customFormat="1" ht="12.75" customHeight="1">
      <c r="A25" s="322"/>
      <c r="B25" s="320" t="s">
        <v>597</v>
      </c>
      <c r="C25" s="751"/>
      <c r="D25" s="762">
        <f>Input!$DH$14</f>
        <v>0</v>
      </c>
      <c r="E25" s="762">
        <f>Input!$DI$14</f>
        <v>0</v>
      </c>
      <c r="F25" s="762">
        <f>Input!$DJ$14</f>
        <v>0</v>
      </c>
      <c r="G25" s="762">
        <f>Input!$DK$14</f>
        <v>0</v>
      </c>
      <c r="H25" s="762">
        <f>Input!$DL$14</f>
        <v>0</v>
      </c>
      <c r="I25" s="762">
        <f>Input!$DM$14</f>
        <v>0</v>
      </c>
      <c r="J25" s="762">
        <f>Input!$DN$14</f>
        <v>0</v>
      </c>
      <c r="K25" s="762">
        <f>Input!$DO$14</f>
        <v>0</v>
      </c>
      <c r="L25" s="762">
        <f>Input!$DP$14</f>
        <v>0</v>
      </c>
      <c r="M25" s="650">
        <f t="shared" si="3"/>
        <v>0</v>
      </c>
      <c r="O25" s="778"/>
      <c r="Q25" s="723"/>
      <c r="R25" s="723"/>
      <c r="S25" s="782"/>
      <c r="U25" s="788" t="s">
        <v>637</v>
      </c>
      <c r="V25" s="789"/>
      <c r="W25" s="789"/>
      <c r="X25" s="790">
        <f>(M26+M39)*-1</f>
        <v>3542463</v>
      </c>
      <c r="Y25" s="777"/>
      <c r="Z25" s="492"/>
    </row>
    <row r="26" spans="1:26" s="320" customFormat="1" ht="12.75" customHeight="1">
      <c r="A26" s="322"/>
      <c r="B26" s="320" t="s">
        <v>598</v>
      </c>
      <c r="C26" s="751"/>
      <c r="D26" s="762">
        <f>Input!$DQ$14</f>
        <v>-374736</v>
      </c>
      <c r="E26" s="762">
        <f>Input!$DR$14</f>
        <v>-1127171</v>
      </c>
      <c r="F26" s="762">
        <f>Input!$DS$14</f>
        <v>0</v>
      </c>
      <c r="G26" s="762">
        <f>Input!$DT$14</f>
        <v>0</v>
      </c>
      <c r="H26" s="762">
        <f>Input!$DU$14</f>
        <v>0</v>
      </c>
      <c r="I26" s="762">
        <f>Input!$DV$14</f>
        <v>0</v>
      </c>
      <c r="J26" s="762">
        <f>Input!$DW$14</f>
        <v>0</v>
      </c>
      <c r="K26" s="762">
        <f>Input!$DX$14</f>
        <v>0</v>
      </c>
      <c r="L26" s="762">
        <f>Input!$DY$14</f>
        <v>0</v>
      </c>
      <c r="M26" s="650">
        <f t="shared" si="3"/>
        <v>-1501907</v>
      </c>
      <c r="O26" s="778" t="s">
        <v>638</v>
      </c>
      <c r="Q26" s="723">
        <f>M36</f>
        <v>29107003</v>
      </c>
      <c r="R26" s="791"/>
      <c r="S26" s="792"/>
      <c r="U26" s="776" t="s">
        <v>639</v>
      </c>
      <c r="X26" s="793">
        <f>(M21+M34)*-1</f>
        <v>0</v>
      </c>
      <c r="Y26" s="777"/>
      <c r="Z26" s="492"/>
    </row>
    <row r="27" spans="1:26" s="320" customFormat="1">
      <c r="A27" s="322"/>
      <c r="B27" s="320" t="s">
        <v>599</v>
      </c>
      <c r="C27" s="751"/>
      <c r="D27" s="762">
        <f>Input!$DZ$14</f>
        <v>0</v>
      </c>
      <c r="E27" s="762">
        <f>Input!$EA$14</f>
        <v>0</v>
      </c>
      <c r="F27" s="762">
        <f>Input!$EB$14</f>
        <v>0</v>
      </c>
      <c r="G27" s="762">
        <f>Input!$EC$14</f>
        <v>0</v>
      </c>
      <c r="H27" s="762">
        <f>Input!$ED$14</f>
        <v>0</v>
      </c>
      <c r="I27" s="762">
        <f>Input!$EE$14</f>
        <v>0</v>
      </c>
      <c r="J27" s="762">
        <f>Input!$EF$14</f>
        <v>0</v>
      </c>
      <c r="K27" s="762">
        <f>Input!$EG$14</f>
        <v>0</v>
      </c>
      <c r="L27" s="762">
        <f>Input!$EH$14</f>
        <v>0</v>
      </c>
      <c r="M27" s="650">
        <f t="shared" si="3"/>
        <v>0</v>
      </c>
      <c r="O27" s="778"/>
      <c r="Q27" s="723"/>
      <c r="R27" s="791"/>
      <c r="S27" s="792"/>
      <c r="U27" s="780" t="s">
        <v>640</v>
      </c>
      <c r="V27" s="314"/>
      <c r="W27" s="314"/>
      <c r="X27" s="794">
        <f>SUM(X25:X26)</f>
        <v>3542463</v>
      </c>
      <c r="Y27" s="721"/>
    </row>
    <row r="28" spans="1:26" s="320" customFormat="1">
      <c r="A28" s="322"/>
      <c r="B28" s="320" t="s">
        <v>600</v>
      </c>
      <c r="C28" s="751"/>
      <c r="D28" s="762">
        <f>Input!$EI$14</f>
        <v>-1586520</v>
      </c>
      <c r="E28" s="762">
        <f>Input!$EJ$14</f>
        <v>-5198550</v>
      </c>
      <c r="F28" s="762">
        <f>Input!$EK$14</f>
        <v>0</v>
      </c>
      <c r="G28" s="762">
        <f>Input!$EL$14</f>
        <v>0</v>
      </c>
      <c r="H28" s="762">
        <f>Input!$EM$14</f>
        <v>0</v>
      </c>
      <c r="I28" s="762">
        <f>Input!$EN$14</f>
        <v>0</v>
      </c>
      <c r="J28" s="762">
        <f>Input!$EO$14</f>
        <v>0</v>
      </c>
      <c r="K28" s="762">
        <f>Input!$EP$14</f>
        <v>0</v>
      </c>
      <c r="L28" s="762">
        <f>Input!$EQ$14</f>
        <v>0</v>
      </c>
      <c r="M28" s="650">
        <f t="shared" si="3"/>
        <v>-6785070</v>
      </c>
      <c r="O28" s="787" t="s">
        <v>641</v>
      </c>
      <c r="Q28" s="723"/>
      <c r="R28" s="723">
        <f>SUM(M37:M41)</f>
        <v>-2040556</v>
      </c>
      <c r="S28" s="782"/>
      <c r="U28" s="776" t="s">
        <v>642</v>
      </c>
      <c r="X28" s="777">
        <f>(M27+M40)*-1</f>
        <v>0</v>
      </c>
      <c r="Y28" s="721"/>
      <c r="Z28" s="492"/>
    </row>
    <row r="29" spans="1:26" s="320" customFormat="1" ht="12" customHeight="1">
      <c r="A29" s="322"/>
      <c r="B29" s="795" t="s">
        <v>165</v>
      </c>
      <c r="C29" s="784"/>
      <c r="D29" s="769">
        <f t="shared" ref="D29:L29" si="4">SUM(D23:D28)</f>
        <v>16718856</v>
      </c>
      <c r="E29" s="769">
        <f t="shared" si="4"/>
        <v>27734562</v>
      </c>
      <c r="F29" s="769">
        <f t="shared" si="4"/>
        <v>0</v>
      </c>
      <c r="G29" s="769">
        <f t="shared" si="4"/>
        <v>0</v>
      </c>
      <c r="H29" s="769">
        <f t="shared" si="4"/>
        <v>0</v>
      </c>
      <c r="I29" s="769">
        <f t="shared" si="4"/>
        <v>0</v>
      </c>
      <c r="J29" s="769">
        <f t="shared" si="4"/>
        <v>0</v>
      </c>
      <c r="K29" s="769">
        <f t="shared" si="4"/>
        <v>0</v>
      </c>
      <c r="L29" s="769">
        <f t="shared" si="4"/>
        <v>0</v>
      </c>
      <c r="M29" s="769">
        <f t="shared" si="3"/>
        <v>44453418</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81847398</v>
      </c>
      <c r="R30" s="798">
        <f>R28+R24</f>
        <v>-10327533</v>
      </c>
      <c r="S30" s="799"/>
      <c r="U30" s="780" t="s">
        <v>645</v>
      </c>
      <c r="V30" s="314"/>
      <c r="W30" s="314"/>
      <c r="X30" s="794">
        <f>SUM(X28:X29)</f>
        <v>0</v>
      </c>
      <c r="Y30" s="721"/>
    </row>
    <row r="31" spans="1:26" s="320" customFormat="1" ht="12.75" customHeight="1">
      <c r="A31" s="322"/>
      <c r="B31" s="772" t="s">
        <v>238</v>
      </c>
      <c r="C31" s="772"/>
      <c r="D31" s="769">
        <f t="shared" ref="D31:L31" si="5">D36-SUM(D32:D35)</f>
        <v>0</v>
      </c>
      <c r="E31" s="769">
        <f t="shared" si="5"/>
        <v>29107003</v>
      </c>
      <c r="F31" s="769">
        <f t="shared" si="5"/>
        <v>0</v>
      </c>
      <c r="G31" s="769">
        <f t="shared" si="5"/>
        <v>0</v>
      </c>
      <c r="H31" s="769">
        <f t="shared" si="5"/>
        <v>0</v>
      </c>
      <c r="I31" s="769">
        <f t="shared" si="5"/>
        <v>0</v>
      </c>
      <c r="J31" s="769">
        <f t="shared" si="5"/>
        <v>0</v>
      </c>
      <c r="K31" s="769">
        <f t="shared" si="5"/>
        <v>0</v>
      </c>
      <c r="L31" s="769">
        <f t="shared" si="5"/>
        <v>0</v>
      </c>
      <c r="M31" s="769">
        <f t="shared" ref="M31:M42" si="6">D31+E31+F31+G31+H31+I31+J31+K31+L31</f>
        <v>29107003</v>
      </c>
      <c r="O31" s="778" t="s">
        <v>646</v>
      </c>
      <c r="Q31" s="406"/>
      <c r="S31" s="782"/>
      <c r="U31" s="800" t="s">
        <v>647</v>
      </c>
      <c r="V31" s="801"/>
      <c r="W31" s="801"/>
      <c r="X31" s="802">
        <f>X27+X30</f>
        <v>3542463</v>
      </c>
      <c r="Y31" s="777"/>
      <c r="Z31" s="492"/>
    </row>
    <row r="32" spans="1:26" s="320" customFormat="1" ht="12.75" customHeight="1">
      <c r="A32" s="322"/>
      <c r="B32" s="320" t="s">
        <v>592</v>
      </c>
      <c r="D32" s="762">
        <f>Input!$ER$14</f>
        <v>0</v>
      </c>
      <c r="E32" s="762">
        <f>Input!$ES$14</f>
        <v>0</v>
      </c>
      <c r="F32" s="762">
        <f>Input!$ET$14</f>
        <v>0</v>
      </c>
      <c r="G32" s="762">
        <f>Input!$EU$14</f>
        <v>0</v>
      </c>
      <c r="H32" s="762">
        <f>Input!$EV$14</f>
        <v>0</v>
      </c>
      <c r="I32" s="762">
        <f>Input!$EW$14</f>
        <v>0</v>
      </c>
      <c r="J32" s="762">
        <f>Input!$EX$14</f>
        <v>0</v>
      </c>
      <c r="K32" s="762">
        <f>Input!$EY$14</f>
        <v>0</v>
      </c>
      <c r="L32" s="762">
        <f>Input!$EZ$14</f>
        <v>0</v>
      </c>
      <c r="M32" s="650">
        <f t="shared" si="6"/>
        <v>0</v>
      </c>
      <c r="O32" s="803" t="s">
        <v>648</v>
      </c>
      <c r="P32" s="804"/>
      <c r="Q32" s="805">
        <f>Input!$TI$14</f>
        <v>81847398</v>
      </c>
      <c r="R32" s="804"/>
      <c r="S32" s="806"/>
      <c r="U32" s="776"/>
      <c r="Y32" s="777"/>
      <c r="Z32" s="492"/>
    </row>
    <row r="33" spans="1:28" s="320" customFormat="1">
      <c r="A33" s="322"/>
      <c r="B33" s="320" t="s">
        <v>593</v>
      </c>
      <c r="D33" s="762">
        <f>Input!$FA$14</f>
        <v>0</v>
      </c>
      <c r="E33" s="762">
        <f>Input!$FB$14</f>
        <v>0</v>
      </c>
      <c r="F33" s="762">
        <f>Input!$FC$14</f>
        <v>0</v>
      </c>
      <c r="G33" s="762">
        <f>Input!$FD$14</f>
        <v>0</v>
      </c>
      <c r="H33" s="762">
        <f>Input!$FE$14</f>
        <v>0</v>
      </c>
      <c r="I33" s="762">
        <f>Input!$FF$14</f>
        <v>0</v>
      </c>
      <c r="J33" s="762">
        <f>Input!$FG$14</f>
        <v>0</v>
      </c>
      <c r="K33" s="762">
        <f>Input!$FH$14</f>
        <v>0</v>
      </c>
      <c r="L33" s="762">
        <f>Input!$FI$14</f>
        <v>0</v>
      </c>
      <c r="M33" s="650">
        <f t="shared" si="6"/>
        <v>0</v>
      </c>
      <c r="O33" s="803"/>
      <c r="P33" s="804"/>
      <c r="Q33" s="723"/>
      <c r="R33" s="804"/>
      <c r="S33" s="806"/>
      <c r="U33" s="776" t="s">
        <v>649</v>
      </c>
      <c r="X33" s="492">
        <f>(M19+M32)*-1</f>
        <v>3793657</v>
      </c>
      <c r="Y33" s="777"/>
    </row>
    <row r="34" spans="1:28" s="320" customFormat="1">
      <c r="A34" s="322"/>
      <c r="B34" s="320" t="s">
        <v>594</v>
      </c>
      <c r="D34" s="762">
        <f>Input!$FJ$14</f>
        <v>0</v>
      </c>
      <c r="E34" s="762">
        <f>Input!$FK$14</f>
        <v>0</v>
      </c>
      <c r="F34" s="762">
        <f>Input!$FL$14</f>
        <v>0</v>
      </c>
      <c r="G34" s="762">
        <f>Input!$FM$14</f>
        <v>0</v>
      </c>
      <c r="H34" s="762">
        <f>Input!$FN$14</f>
        <v>0</v>
      </c>
      <c r="I34" s="762">
        <f>Input!$FO$14</f>
        <v>0</v>
      </c>
      <c r="J34" s="762">
        <f>Input!$FP$14</f>
        <v>0</v>
      </c>
      <c r="K34" s="762">
        <f>Input!$FQ$14</f>
        <v>0</v>
      </c>
      <c r="L34" s="762">
        <f>Input!$FR$14</f>
        <v>0</v>
      </c>
      <c r="M34" s="650">
        <f t="shared" si="6"/>
        <v>0</v>
      </c>
      <c r="O34" s="807" t="s">
        <v>650</v>
      </c>
      <c r="P34" s="808"/>
      <c r="Q34" s="320" t="s">
        <v>651</v>
      </c>
      <c r="R34" s="805">
        <f>Input!$TJ$14</f>
        <v>-10327533</v>
      </c>
      <c r="S34" s="809"/>
      <c r="U34" s="776" t="s">
        <v>652</v>
      </c>
      <c r="X34" s="739">
        <f>(M24+M37)*-1</f>
        <v>0</v>
      </c>
      <c r="Y34" s="777"/>
    </row>
    <row r="35" spans="1:28" s="320" customFormat="1" ht="13.8" thickBot="1">
      <c r="A35" s="322"/>
      <c r="B35" s="320" t="s">
        <v>595</v>
      </c>
      <c r="D35" s="762">
        <f>Input!$FS$14</f>
        <v>0</v>
      </c>
      <c r="E35" s="762">
        <f>Input!$FT$14</f>
        <v>0</v>
      </c>
      <c r="F35" s="762">
        <f>Input!$FU$14</f>
        <v>0</v>
      </c>
      <c r="G35" s="762">
        <f>Input!$FV$14</f>
        <v>0</v>
      </c>
      <c r="H35" s="762">
        <f>Input!$FW$14</f>
        <v>0</v>
      </c>
      <c r="I35" s="762">
        <f>Input!$FX$14</f>
        <v>0</v>
      </c>
      <c r="J35" s="762">
        <f>Input!$FY$14</f>
        <v>0</v>
      </c>
      <c r="K35" s="762">
        <f>Input!$FZ$14</f>
        <v>0</v>
      </c>
      <c r="L35" s="762">
        <f>Input!$GA$14</f>
        <v>0</v>
      </c>
      <c r="M35" s="650">
        <f t="shared" si="6"/>
        <v>0</v>
      </c>
      <c r="O35" s="810" t="s">
        <v>653</v>
      </c>
      <c r="P35" s="811"/>
      <c r="Q35" s="812">
        <f>Q30-Q32</f>
        <v>0</v>
      </c>
      <c r="R35" s="813">
        <f>R30-R34</f>
        <v>0</v>
      </c>
      <c r="S35" s="814"/>
      <c r="U35" s="780" t="s">
        <v>654</v>
      </c>
      <c r="V35" s="314"/>
      <c r="W35" s="314"/>
      <c r="X35" s="781">
        <f>SUM(X33:X34)</f>
        <v>3793657</v>
      </c>
      <c r="Y35" s="721"/>
    </row>
    <row r="36" spans="1:28" s="320" customFormat="1" ht="13.8" thickTop="1">
      <c r="A36" s="322"/>
      <c r="B36" s="772" t="s">
        <v>239</v>
      </c>
      <c r="C36" s="784"/>
      <c r="D36" s="785">
        <f>Input!$GB$14</f>
        <v>0</v>
      </c>
      <c r="E36" s="785">
        <f>Input!$GC$14</f>
        <v>29107003</v>
      </c>
      <c r="F36" s="785">
        <f>Input!$GD$14</f>
        <v>0</v>
      </c>
      <c r="G36" s="785">
        <f>Input!$GE$14</f>
        <v>0</v>
      </c>
      <c r="H36" s="785">
        <f>Input!$GF$14</f>
        <v>0</v>
      </c>
      <c r="I36" s="785">
        <f>Input!$GG$14</f>
        <v>0</v>
      </c>
      <c r="J36" s="785">
        <f>Input!$GH$14</f>
        <v>0</v>
      </c>
      <c r="K36" s="785">
        <f>Input!$GI$14</f>
        <v>0</v>
      </c>
      <c r="L36" s="785">
        <f>Input!$GJ$14</f>
        <v>0</v>
      </c>
      <c r="M36" s="786">
        <f t="shared" si="6"/>
        <v>29107003</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Input!$GK$14</f>
        <v>0</v>
      </c>
      <c r="E37" s="762">
        <f>Input!$GL$14</f>
        <v>0</v>
      </c>
      <c r="F37" s="762">
        <f>Input!$GM$14</f>
        <v>0</v>
      </c>
      <c r="G37" s="762">
        <f>Input!$GN$14</f>
        <v>0</v>
      </c>
      <c r="H37" s="762">
        <f>Input!$GO$14</f>
        <v>0</v>
      </c>
      <c r="I37" s="762">
        <f>Input!$GP$14</f>
        <v>0</v>
      </c>
      <c r="J37" s="762">
        <f>Input!$GQ$14</f>
        <v>0</v>
      </c>
      <c r="K37" s="762">
        <f>Input!$GR$14</f>
        <v>0</v>
      </c>
      <c r="L37" s="762">
        <f>Input!$GS$14</f>
        <v>0</v>
      </c>
      <c r="M37" s="650">
        <f t="shared" si="6"/>
        <v>0</v>
      </c>
      <c r="U37" s="776" t="s">
        <v>656</v>
      </c>
      <c r="X37" s="739">
        <f>(M25+M38)*-1</f>
        <v>0</v>
      </c>
      <c r="Y37" s="721"/>
    </row>
    <row r="38" spans="1:28" s="320" customFormat="1">
      <c r="A38" s="322"/>
      <c r="B38" s="320" t="s">
        <v>597</v>
      </c>
      <c r="C38" s="751"/>
      <c r="D38" s="762">
        <f>Input!$GT$14</f>
        <v>0</v>
      </c>
      <c r="E38" s="762">
        <f>Input!$GU$14</f>
        <v>0</v>
      </c>
      <c r="F38" s="762">
        <f>Input!$GV$14</f>
        <v>0</v>
      </c>
      <c r="G38" s="762">
        <f>Input!$GW$14</f>
        <v>0</v>
      </c>
      <c r="H38" s="762">
        <f>Input!$GX$14</f>
        <v>0</v>
      </c>
      <c r="I38" s="762">
        <f>Input!$GY$14</f>
        <v>0</v>
      </c>
      <c r="J38" s="762">
        <f>Input!$GZ$14</f>
        <v>0</v>
      </c>
      <c r="K38" s="762">
        <f>Input!$HA$14</f>
        <v>0</v>
      </c>
      <c r="L38" s="762">
        <f>Input!$HB$14</f>
        <v>0</v>
      </c>
      <c r="M38" s="650">
        <f t="shared" si="6"/>
        <v>0</v>
      </c>
      <c r="U38" s="780" t="s">
        <v>657</v>
      </c>
      <c r="V38" s="314"/>
      <c r="W38" s="314"/>
      <c r="X38" s="781">
        <f>SUM(X36:X37)</f>
        <v>0</v>
      </c>
      <c r="Y38" s="777"/>
    </row>
    <row r="39" spans="1:28" s="320" customFormat="1">
      <c r="A39" s="322"/>
      <c r="B39" s="320" t="s">
        <v>598</v>
      </c>
      <c r="C39" s="751"/>
      <c r="D39" s="762">
        <f>Input!$HC$14</f>
        <v>0</v>
      </c>
      <c r="E39" s="762">
        <f>Input!$HD$14</f>
        <v>-2040556</v>
      </c>
      <c r="F39" s="762">
        <f>Input!$HE$14</f>
        <v>0</v>
      </c>
      <c r="G39" s="762">
        <f>Input!$HF$14</f>
        <v>0</v>
      </c>
      <c r="H39" s="762">
        <f>Input!$HG$14</f>
        <v>0</v>
      </c>
      <c r="I39" s="762">
        <f>Input!$HH$14</f>
        <v>0</v>
      </c>
      <c r="J39" s="762">
        <f>Input!$HI$14</f>
        <v>0</v>
      </c>
      <c r="K39" s="762">
        <f>Input!$HJ$14</f>
        <v>0</v>
      </c>
      <c r="L39" s="762">
        <f>Input!$HK$14</f>
        <v>0</v>
      </c>
      <c r="M39" s="650">
        <f t="shared" si="6"/>
        <v>-2040556</v>
      </c>
      <c r="U39" s="776" t="s">
        <v>658</v>
      </c>
      <c r="X39" s="492"/>
      <c r="Y39" s="777">
        <f>X38+X35</f>
        <v>3793657</v>
      </c>
    </row>
    <row r="40" spans="1:28" s="320" customFormat="1">
      <c r="A40" s="322"/>
      <c r="B40" s="320" t="s">
        <v>599</v>
      </c>
      <c r="C40" s="751"/>
      <c r="D40" s="762">
        <f>Input!$HL$14</f>
        <v>0</v>
      </c>
      <c r="E40" s="762">
        <f>Input!$HM$14</f>
        <v>0</v>
      </c>
      <c r="F40" s="762">
        <f>Input!$HN$14</f>
        <v>0</v>
      </c>
      <c r="G40" s="762">
        <f>Input!$HO$14</f>
        <v>0</v>
      </c>
      <c r="H40" s="762">
        <f>Input!$HP$14</f>
        <v>0</v>
      </c>
      <c r="I40" s="762">
        <f>Input!$HQ$14</f>
        <v>0</v>
      </c>
      <c r="J40" s="762">
        <f>Input!$HR$14</f>
        <v>0</v>
      </c>
      <c r="K40" s="762">
        <f>Input!$HS$14</f>
        <v>0</v>
      </c>
      <c r="L40" s="762">
        <f>Input!$HT$14</f>
        <v>0</v>
      </c>
      <c r="M40" s="650">
        <f t="shared" si="6"/>
        <v>0</v>
      </c>
      <c r="U40" s="776"/>
      <c r="Y40" s="721"/>
    </row>
    <row r="41" spans="1:28" s="320" customFormat="1">
      <c r="A41" s="322"/>
      <c r="B41" s="320" t="s">
        <v>600</v>
      </c>
      <c r="C41" s="751"/>
      <c r="D41" s="762">
        <f>Input!$HU$14</f>
        <v>0</v>
      </c>
      <c r="E41" s="762">
        <f>Input!$HV$14</f>
        <v>0</v>
      </c>
      <c r="F41" s="762">
        <f>Input!$HW$14</f>
        <v>0</v>
      </c>
      <c r="G41" s="762">
        <f>Input!$HX$14</f>
        <v>0</v>
      </c>
      <c r="H41" s="762">
        <f>Input!$HY$14</f>
        <v>0</v>
      </c>
      <c r="I41" s="762">
        <f>Input!$HZ$14</f>
        <v>0</v>
      </c>
      <c r="J41" s="762">
        <f>Input!$IA$14</f>
        <v>0</v>
      </c>
      <c r="K41" s="762">
        <f>Input!$IB$14</f>
        <v>0</v>
      </c>
      <c r="L41" s="762">
        <f>Input!$IC$14</f>
        <v>0</v>
      </c>
      <c r="M41" s="650">
        <f t="shared" si="6"/>
        <v>0</v>
      </c>
      <c r="U41" s="776" t="s">
        <v>639</v>
      </c>
      <c r="X41" s="492">
        <f>(M21+M34)*-1</f>
        <v>0</v>
      </c>
      <c r="Y41" s="777"/>
    </row>
    <row r="42" spans="1:28" s="320" customFormat="1">
      <c r="A42" s="322"/>
      <c r="B42" s="795" t="s">
        <v>166</v>
      </c>
      <c r="C42" s="784"/>
      <c r="D42" s="769">
        <f t="shared" ref="D42:L42" si="7">SUM(D36:D41)</f>
        <v>0</v>
      </c>
      <c r="E42" s="769">
        <f t="shared" si="7"/>
        <v>27066447</v>
      </c>
      <c r="F42" s="769">
        <f t="shared" si="7"/>
        <v>0</v>
      </c>
      <c r="G42" s="769">
        <f t="shared" si="7"/>
        <v>0</v>
      </c>
      <c r="H42" s="769">
        <f t="shared" si="7"/>
        <v>0</v>
      </c>
      <c r="I42" s="769">
        <f t="shared" si="7"/>
        <v>0</v>
      </c>
      <c r="J42" s="769">
        <f t="shared" si="7"/>
        <v>0</v>
      </c>
      <c r="K42" s="769">
        <f t="shared" si="7"/>
        <v>0</v>
      </c>
      <c r="L42" s="769">
        <f t="shared" si="7"/>
        <v>0</v>
      </c>
      <c r="M42" s="769">
        <f t="shared" si="6"/>
        <v>27066447</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16718856</v>
      </c>
      <c r="E44" s="769">
        <f t="shared" si="8"/>
        <v>54801009</v>
      </c>
      <c r="F44" s="769">
        <f t="shared" si="8"/>
        <v>0</v>
      </c>
      <c r="G44" s="769">
        <f t="shared" si="8"/>
        <v>0</v>
      </c>
      <c r="H44" s="769">
        <f t="shared" si="8"/>
        <v>0</v>
      </c>
      <c r="I44" s="769">
        <f t="shared" si="8"/>
        <v>0</v>
      </c>
      <c r="J44" s="769">
        <f t="shared" si="8"/>
        <v>0</v>
      </c>
      <c r="K44" s="769">
        <f t="shared" si="8"/>
        <v>0</v>
      </c>
      <c r="L44" s="769">
        <f t="shared" si="8"/>
        <v>0</v>
      </c>
      <c r="M44" s="769">
        <f>D44+E44+F44+G44+H44+I44+J44+K44+L44</f>
        <v>71519865</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Input!$ID$14</f>
        <v>59479</v>
      </c>
      <c r="E47" s="815">
        <f>Input!$IE$14</f>
        <v>914538</v>
      </c>
      <c r="F47" s="815">
        <f>Input!$IF$14</f>
        <v>0</v>
      </c>
      <c r="G47" s="815">
        <f>Input!$IG$14</f>
        <v>33730160</v>
      </c>
      <c r="H47" s="815">
        <f>Input!$IH$14</f>
        <v>0</v>
      </c>
      <c r="I47" s="815">
        <f>Input!$II$14</f>
        <v>0</v>
      </c>
      <c r="J47" s="815">
        <f>Input!$IJ$14</f>
        <v>0</v>
      </c>
      <c r="K47" s="815">
        <f>Input!$IK$14</f>
        <v>0</v>
      </c>
      <c r="L47" s="815">
        <f>Input!$IL$14</f>
        <v>0</v>
      </c>
      <c r="M47" s="769">
        <f>D47+E47+F47+G47+H47+I47+J47+K47+L47</f>
        <v>34704177</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85641055</v>
      </c>
      <c r="Z49" s="320"/>
      <c r="AA49" s="320"/>
      <c r="AB49" s="320"/>
    </row>
    <row r="50" spans="1:28" s="752" customFormat="1">
      <c r="A50" s="460">
        <v>33</v>
      </c>
      <c r="B50" s="768" t="s">
        <v>200</v>
      </c>
      <c r="C50" s="768"/>
      <c r="D50" s="815">
        <f>Input!$IM$14</f>
        <v>0</v>
      </c>
      <c r="E50" s="815">
        <f>Input!$IN$14</f>
        <v>128154410</v>
      </c>
      <c r="F50" s="815">
        <f>Input!$IO$14</f>
        <v>0</v>
      </c>
      <c r="G50" s="815">
        <f>Input!$IP$14</f>
        <v>119656862</v>
      </c>
      <c r="H50" s="815">
        <f>Input!$IQ$14</f>
        <v>0</v>
      </c>
      <c r="I50" s="815">
        <f>Input!$IR$14</f>
        <v>0</v>
      </c>
      <c r="J50" s="815">
        <f>Input!$IS$14</f>
        <v>0</v>
      </c>
      <c r="K50" s="815">
        <f>Input!$IT$14</f>
        <v>0</v>
      </c>
      <c r="L50" s="815">
        <f>Input!$IU$14</f>
        <v>0</v>
      </c>
      <c r="M50" s="769">
        <f>D50+E50+F50+G50+H50+I50+J50+K50+L50</f>
        <v>247811272</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Input!$IV$14</f>
        <v>0</v>
      </c>
      <c r="E53" s="815">
        <f>Input!$IW$14</f>
        <v>0</v>
      </c>
      <c r="F53" s="815">
        <f>Input!$IX$14</f>
        <v>0</v>
      </c>
      <c r="G53" s="815">
        <f>Input!$IY$14</f>
        <v>0</v>
      </c>
      <c r="H53" s="815">
        <f>Input!$IZ$14</f>
        <v>0</v>
      </c>
      <c r="I53" s="815">
        <f>Input!$JA$14</f>
        <v>0</v>
      </c>
      <c r="J53" s="815">
        <f>Input!$JB$14</f>
        <v>0</v>
      </c>
      <c r="K53" s="815">
        <f>Input!$JC$14</f>
        <v>0</v>
      </c>
      <c r="L53" s="815">
        <f>Input!$JD$14</f>
        <v>0</v>
      </c>
      <c r="M53" s="769">
        <f>D53+E53+F53+G53+H53+I53+J53+K53+L53</f>
        <v>0</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Input!$JE$14</f>
        <v>208902</v>
      </c>
      <c r="E56" s="762">
        <f>Input!$JF$14</f>
        <v>12117167</v>
      </c>
      <c r="F56" s="762">
        <f>Input!$JG$14</f>
        <v>55846</v>
      </c>
      <c r="G56" s="762">
        <f>Input!$JH$14</f>
        <v>3898371</v>
      </c>
      <c r="H56" s="762">
        <f>Input!$JI$14</f>
        <v>56106</v>
      </c>
      <c r="I56" s="762">
        <f>Input!$JJ$14</f>
        <v>-4164862</v>
      </c>
      <c r="J56" s="762">
        <f>Input!$JK$14</f>
        <v>1079358</v>
      </c>
      <c r="K56" s="762">
        <f>Input!$JL$14</f>
        <v>0</v>
      </c>
      <c r="L56" s="762">
        <f>Input!$JM$14</f>
        <v>0</v>
      </c>
      <c r="M56" s="723">
        <f t="shared" ref="M56:M62" si="9">D56+E56+F56+G56+H56+I56+J56+K56+L56</f>
        <v>13250888</v>
      </c>
      <c r="O56" s="320"/>
      <c r="P56" s="320"/>
      <c r="Q56" s="320"/>
      <c r="R56" s="320"/>
      <c r="S56" s="320"/>
      <c r="T56" s="320"/>
      <c r="U56" s="320"/>
      <c r="V56" s="320"/>
      <c r="W56" s="320"/>
      <c r="X56" s="322"/>
      <c r="Y56" s="320"/>
      <c r="Z56" s="320"/>
      <c r="AA56" s="320"/>
      <c r="AB56" s="320"/>
    </row>
    <row r="57" spans="1:28" s="752" customFormat="1">
      <c r="A57" s="460">
        <v>40</v>
      </c>
      <c r="B57" s="752" t="s">
        <v>173</v>
      </c>
      <c r="D57" s="762">
        <f>Input!$JN$14</f>
        <v>0</v>
      </c>
      <c r="E57" s="762">
        <f>Input!$JO$14</f>
        <v>34235381</v>
      </c>
      <c r="F57" s="762">
        <f>Input!$JP$14</f>
        <v>0</v>
      </c>
      <c r="G57" s="762">
        <f>Input!$JQ$14</f>
        <v>63629578</v>
      </c>
      <c r="H57" s="762">
        <f>Input!$JR$14</f>
        <v>0</v>
      </c>
      <c r="I57" s="762">
        <f>Input!$JS$14</f>
        <v>0</v>
      </c>
      <c r="J57" s="762">
        <f>Input!$JT$14</f>
        <v>0</v>
      </c>
      <c r="K57" s="762">
        <f>Input!$JU$14</f>
        <v>0</v>
      </c>
      <c r="L57" s="762">
        <f>Input!$JV$14</f>
        <v>0</v>
      </c>
      <c r="M57" s="723">
        <f t="shared" si="9"/>
        <v>97864959</v>
      </c>
      <c r="O57" s="320"/>
      <c r="P57" s="819"/>
      <c r="Q57" s="320"/>
      <c r="R57" s="320"/>
      <c r="S57" s="320"/>
      <c r="T57" s="320"/>
      <c r="U57" s="320"/>
      <c r="V57" s="320"/>
      <c r="W57" s="320"/>
      <c r="X57" s="320"/>
      <c r="Y57" s="320"/>
      <c r="Z57" s="320"/>
      <c r="AA57" s="320"/>
      <c r="AB57" s="320"/>
    </row>
    <row r="58" spans="1:28" s="752" customFormat="1">
      <c r="A58" s="460">
        <v>41</v>
      </c>
      <c r="B58" s="752" t="s">
        <v>174</v>
      </c>
      <c r="D58" s="762">
        <f>Input!$JW$14</f>
        <v>2000</v>
      </c>
      <c r="E58" s="762">
        <f>Input!$JX$14</f>
        <v>42145523</v>
      </c>
      <c r="F58" s="762">
        <f>Input!$JY$14</f>
        <v>0</v>
      </c>
      <c r="G58" s="762">
        <f>Input!$JZ$14</f>
        <v>26611559</v>
      </c>
      <c r="H58" s="762">
        <f>Input!$KA$14</f>
        <v>0</v>
      </c>
      <c r="I58" s="762">
        <f>Input!$KB$14</f>
        <v>0</v>
      </c>
      <c r="J58" s="762">
        <f>Input!$KC$14</f>
        <v>5102592</v>
      </c>
      <c r="K58" s="762">
        <f>Input!$KD$14</f>
        <v>0</v>
      </c>
      <c r="L58" s="762">
        <f>Input!$KE$14</f>
        <v>0</v>
      </c>
      <c r="M58" s="723">
        <f t="shared" si="9"/>
        <v>73861674</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Input!$KF$14</f>
        <v>0</v>
      </c>
      <c r="E59" s="762">
        <f>Input!$KG$14</f>
        <v>12312457</v>
      </c>
      <c r="F59" s="762">
        <f>Input!$KH$14</f>
        <v>0</v>
      </c>
      <c r="G59" s="762">
        <f>Input!$KI$14</f>
        <v>698223</v>
      </c>
      <c r="H59" s="762">
        <f>Input!$KJ$14</f>
        <v>0</v>
      </c>
      <c r="I59" s="762">
        <f>Input!$KK$14</f>
        <v>0</v>
      </c>
      <c r="J59" s="762">
        <f>Input!$KL$14</f>
        <v>0</v>
      </c>
      <c r="K59" s="762">
        <f>Input!$KM$14</f>
        <v>0</v>
      </c>
      <c r="L59" s="762">
        <f>Input!$KN$14</f>
        <v>0</v>
      </c>
      <c r="M59" s="723">
        <f t="shared" si="9"/>
        <v>13010680</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Input!$KO$14</f>
        <v>0</v>
      </c>
      <c r="E60" s="762">
        <f>Input!$KP$14</f>
        <v>0</v>
      </c>
      <c r="F60" s="762">
        <f>Input!$KQ$14</f>
        <v>938468</v>
      </c>
      <c r="G60" s="762">
        <f>Input!$KR$14</f>
        <v>0</v>
      </c>
      <c r="H60" s="762">
        <f>Input!$KS$14</f>
        <v>0</v>
      </c>
      <c r="I60" s="762">
        <f>Input!$KT$14</f>
        <v>0</v>
      </c>
      <c r="J60" s="762">
        <f>Input!$KU$14</f>
        <v>0</v>
      </c>
      <c r="K60" s="762">
        <f>Input!$KV$14</f>
        <v>0</v>
      </c>
      <c r="L60" s="762">
        <f>Input!$KW$14</f>
        <v>0</v>
      </c>
      <c r="M60" s="723">
        <f t="shared" si="9"/>
        <v>938468</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Input!$KX$14</f>
        <v>136</v>
      </c>
      <c r="E61" s="762">
        <f>Input!$KY$14</f>
        <v>57689798</v>
      </c>
      <c r="F61" s="762">
        <f>Input!$KZ$14</f>
        <v>0</v>
      </c>
      <c r="G61" s="762">
        <f>Input!$LA$14</f>
        <v>36999</v>
      </c>
      <c r="H61" s="762">
        <f>Input!$LB$14</f>
        <v>-235911</v>
      </c>
      <c r="I61" s="762">
        <f>Input!$LC$14</f>
        <v>0</v>
      </c>
      <c r="J61" s="762">
        <f>Input!$LD$14</f>
        <v>447008</v>
      </c>
      <c r="K61" s="762">
        <f>Input!$LE$14</f>
        <v>0</v>
      </c>
      <c r="L61" s="762">
        <f>Input!$LF$14</f>
        <v>0</v>
      </c>
      <c r="M61" s="723">
        <f t="shared" si="9"/>
        <v>57938030</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211038</v>
      </c>
      <c r="E62" s="769">
        <f t="shared" si="10"/>
        <v>158500326</v>
      </c>
      <c r="F62" s="769">
        <f t="shared" si="10"/>
        <v>994314</v>
      </c>
      <c r="G62" s="769">
        <f t="shared" si="10"/>
        <v>94874730</v>
      </c>
      <c r="H62" s="769">
        <f t="shared" si="10"/>
        <v>-179805</v>
      </c>
      <c r="I62" s="769">
        <f t="shared" si="10"/>
        <v>-4164862</v>
      </c>
      <c r="J62" s="769">
        <f t="shared" si="10"/>
        <v>6628958</v>
      </c>
      <c r="K62" s="769">
        <f t="shared" si="10"/>
        <v>0</v>
      </c>
      <c r="L62" s="769">
        <f t="shared" si="10"/>
        <v>0</v>
      </c>
      <c r="M62" s="769">
        <f t="shared" si="9"/>
        <v>256864699</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213796005</v>
      </c>
      <c r="E63" s="769">
        <f t="shared" ref="E63:M63" si="11">E15+E44+E47+E50+E53+E62</f>
        <v>342441908</v>
      </c>
      <c r="F63" s="769">
        <f t="shared" si="11"/>
        <v>994314</v>
      </c>
      <c r="G63" s="769">
        <f t="shared" si="11"/>
        <v>268551779</v>
      </c>
      <c r="H63" s="769">
        <f t="shared" si="11"/>
        <v>-179805</v>
      </c>
      <c r="I63" s="769">
        <f t="shared" si="11"/>
        <v>-4164862</v>
      </c>
      <c r="J63" s="769">
        <f t="shared" si="11"/>
        <v>6628958</v>
      </c>
      <c r="K63" s="769">
        <f t="shared" si="11"/>
        <v>0</v>
      </c>
      <c r="L63" s="769">
        <f t="shared" si="11"/>
        <v>0</v>
      </c>
      <c r="M63" s="769">
        <f t="shared" si="11"/>
        <v>828068297</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Input!$LG$14</f>
        <v>80185433</v>
      </c>
      <c r="E65" s="762">
        <f>Input!$LH$14</f>
        <v>81632484</v>
      </c>
      <c r="F65" s="762">
        <f>Input!$LI$14</f>
        <v>0</v>
      </c>
      <c r="G65" s="762">
        <f>Input!$LJ$14</f>
        <v>65612785</v>
      </c>
      <c r="H65" s="762">
        <f>Input!$LK$14</f>
        <v>0</v>
      </c>
      <c r="I65" s="762">
        <f>Input!$LL$14</f>
        <v>0</v>
      </c>
      <c r="J65" s="762">
        <f>Input!$LM$14</f>
        <v>0</v>
      </c>
      <c r="K65" s="762">
        <f>Input!$LN$14</f>
        <v>0</v>
      </c>
      <c r="L65" s="762">
        <f>Input!$LO$14</f>
        <v>0</v>
      </c>
      <c r="M65" s="723">
        <f t="shared" ref="M65:M77" si="12">D65+E65+F65+G65+H65+I65+J65+K65+L65</f>
        <v>227430702</v>
      </c>
      <c r="O65" s="824">
        <f>D65+E65+G65</f>
        <v>227430702</v>
      </c>
      <c r="P65" s="825">
        <f>Input!$TK$14</f>
        <v>339572</v>
      </c>
      <c r="Q65" s="825">
        <f>Input!$TU$14</f>
        <v>0</v>
      </c>
      <c r="R65" s="825">
        <f>Input!$UD$14</f>
        <v>0</v>
      </c>
      <c r="S65" s="826">
        <f>O65+P65-Q65-R65</f>
        <v>227770274</v>
      </c>
      <c r="T65" s="492"/>
      <c r="U65" s="827">
        <f>D65+E65+F65+G65+J65</f>
        <v>227430702</v>
      </c>
      <c r="V65" s="492"/>
      <c r="W65" s="828" t="s">
        <v>92</v>
      </c>
      <c r="X65" s="829">
        <f>Input!$UO$14</f>
        <v>227430702</v>
      </c>
      <c r="Y65" s="830">
        <f t="shared" ref="Y65:Y74" si="13">X65-M65</f>
        <v>0</v>
      </c>
      <c r="Z65" s="492"/>
      <c r="AA65" s="492"/>
      <c r="AB65" s="492"/>
    </row>
    <row r="66" spans="1:28" s="752" customFormat="1" ht="14.4" thickTop="1" thickBot="1">
      <c r="A66" s="460">
        <v>49</v>
      </c>
      <c r="B66" s="823" t="s">
        <v>179</v>
      </c>
      <c r="C66" s="823"/>
      <c r="D66" s="762">
        <f>Input!$LP$14</f>
        <v>11102349</v>
      </c>
      <c r="E66" s="762">
        <f>Input!$LQ$14</f>
        <v>10282796</v>
      </c>
      <c r="F66" s="762">
        <f>Input!$LR$14</f>
        <v>0</v>
      </c>
      <c r="G66" s="762">
        <f>Input!$LS$14</f>
        <v>17331630</v>
      </c>
      <c r="H66" s="762">
        <f>Input!$LT$14</f>
        <v>0</v>
      </c>
      <c r="I66" s="762">
        <f>Input!$LU$14</f>
        <v>0</v>
      </c>
      <c r="J66" s="762">
        <f>Input!$LV$14</f>
        <v>42508</v>
      </c>
      <c r="K66" s="762">
        <f>Input!$LW$14</f>
        <v>0</v>
      </c>
      <c r="L66" s="762">
        <f>Input!$LX$14</f>
        <v>0</v>
      </c>
      <c r="M66" s="723">
        <f t="shared" si="12"/>
        <v>38759283</v>
      </c>
      <c r="O66" s="831">
        <f t="shared" ref="O66:O72" si="14">D66+E66+G66</f>
        <v>38716775</v>
      </c>
      <c r="P66" s="832">
        <f>Input!$TL$14</f>
        <v>2891114</v>
      </c>
      <c r="Q66" s="832">
        <f>Input!$TV$14</f>
        <v>193953</v>
      </c>
      <c r="R66" s="832">
        <f>Input!$UE$14</f>
        <v>68551</v>
      </c>
      <c r="S66" s="833">
        <f>O66+P66-Q66-R66</f>
        <v>41345385</v>
      </c>
      <c r="T66" s="492"/>
      <c r="U66" s="834">
        <f t="shared" ref="U66:U76" si="15">D66+E66+F66+G66+J66</f>
        <v>38759283</v>
      </c>
      <c r="V66" s="492"/>
      <c r="W66" s="828" t="s">
        <v>179</v>
      </c>
      <c r="X66" s="835">
        <f>Input!$UP$14</f>
        <v>38759283</v>
      </c>
      <c r="Y66" s="836">
        <f t="shared" si="13"/>
        <v>0</v>
      </c>
      <c r="Z66" s="723"/>
      <c r="AA66" s="723"/>
      <c r="AB66" s="723"/>
    </row>
    <row r="67" spans="1:28" s="752" customFormat="1" ht="13.8" thickTop="1">
      <c r="A67" s="460">
        <v>50</v>
      </c>
      <c r="B67" s="823" t="s">
        <v>180</v>
      </c>
      <c r="C67" s="823"/>
      <c r="D67" s="762">
        <f>Input!$LY$14</f>
        <v>10272029</v>
      </c>
      <c r="E67" s="762">
        <f>Input!$LZ$14</f>
        <v>4102824</v>
      </c>
      <c r="F67" s="762">
        <f>Input!$MA$14</f>
        <v>0</v>
      </c>
      <c r="G67" s="762">
        <f>Input!$MB$14</f>
        <v>135230455</v>
      </c>
      <c r="H67" s="762">
        <f>Input!$MC$14</f>
        <v>0</v>
      </c>
      <c r="I67" s="762">
        <f>Input!$MD$14</f>
        <v>0</v>
      </c>
      <c r="J67" s="762">
        <f>Input!$ME$14</f>
        <v>0</v>
      </c>
      <c r="K67" s="762">
        <f>Input!$MF$14</f>
        <v>0</v>
      </c>
      <c r="L67" s="762">
        <f>Input!$MG$14</f>
        <v>0</v>
      </c>
      <c r="M67" s="723">
        <f t="shared" si="12"/>
        <v>149605308</v>
      </c>
      <c r="O67" s="831">
        <f t="shared" si="14"/>
        <v>149605308</v>
      </c>
      <c r="P67" s="832">
        <f>Input!$TM$14</f>
        <v>1771034</v>
      </c>
      <c r="Q67" s="832">
        <f>Input!$TW$14</f>
        <v>401124</v>
      </c>
      <c r="R67" s="832">
        <f>Input!$UF$14</f>
        <v>0</v>
      </c>
      <c r="S67" s="837">
        <f t="shared" ref="S67:S72" si="16">O67+P67-Q67-R67</f>
        <v>150975218</v>
      </c>
      <c r="T67" s="723"/>
      <c r="U67" s="834">
        <f t="shared" si="15"/>
        <v>149605308</v>
      </c>
      <c r="V67" s="723"/>
      <c r="W67" s="828" t="s">
        <v>180</v>
      </c>
      <c r="X67" s="835">
        <f>Input!$UQ$14</f>
        <v>149605308</v>
      </c>
      <c r="Y67" s="836">
        <f t="shared" si="13"/>
        <v>0</v>
      </c>
      <c r="Z67" s="723"/>
      <c r="AA67" s="723"/>
      <c r="AB67" s="723"/>
    </row>
    <row r="68" spans="1:28" s="752" customFormat="1">
      <c r="A68" s="460">
        <v>51</v>
      </c>
      <c r="B68" s="823" t="s">
        <v>164</v>
      </c>
      <c r="C68" s="823"/>
      <c r="D68" s="762">
        <f>Input!$MH$14</f>
        <v>1641079</v>
      </c>
      <c r="E68" s="762">
        <f>Input!$MI$14</f>
        <v>74973044</v>
      </c>
      <c r="F68" s="762">
        <f>Input!$MJ$14</f>
        <v>0</v>
      </c>
      <c r="G68" s="762">
        <f>Input!$MK$14</f>
        <v>15534617</v>
      </c>
      <c r="H68" s="762">
        <f>Input!$ML$14</f>
        <v>0</v>
      </c>
      <c r="I68" s="762">
        <f>Input!$MM$14</f>
        <v>0</v>
      </c>
      <c r="J68" s="762">
        <f>Input!$MN$14</f>
        <v>0</v>
      </c>
      <c r="K68" s="762">
        <f>Input!$MO$14</f>
        <v>0</v>
      </c>
      <c r="L68" s="762">
        <f>Input!$MP$14</f>
        <v>0</v>
      </c>
      <c r="M68" s="723">
        <f t="shared" si="12"/>
        <v>92148740</v>
      </c>
      <c r="O68" s="831">
        <f t="shared" si="14"/>
        <v>92148740</v>
      </c>
      <c r="P68" s="832">
        <f>Input!$TN$14</f>
        <v>1134650</v>
      </c>
      <c r="Q68" s="832">
        <f>Input!$TX$14</f>
        <v>0</v>
      </c>
      <c r="R68" s="832">
        <f>Input!$UG$14</f>
        <v>0</v>
      </c>
      <c r="S68" s="837">
        <f t="shared" si="16"/>
        <v>93283390</v>
      </c>
      <c r="T68" s="723"/>
      <c r="U68" s="834">
        <f t="shared" si="15"/>
        <v>92148740</v>
      </c>
      <c r="V68" s="723"/>
      <c r="W68" s="828" t="s">
        <v>164</v>
      </c>
      <c r="X68" s="835">
        <f>Input!$UR$14</f>
        <v>92148740</v>
      </c>
      <c r="Y68" s="836">
        <f t="shared" si="13"/>
        <v>0</v>
      </c>
      <c r="Z68" s="723"/>
      <c r="AA68" s="723"/>
      <c r="AB68" s="723"/>
    </row>
    <row r="69" spans="1:28" s="752" customFormat="1">
      <c r="A69" s="460">
        <v>52</v>
      </c>
      <c r="B69" s="823" t="s">
        <v>181</v>
      </c>
      <c r="C69" s="823"/>
      <c r="D69" s="762">
        <f>Input!$MQ$14</f>
        <v>47418727</v>
      </c>
      <c r="E69" s="762">
        <f>Input!$MR$14</f>
        <v>81176982</v>
      </c>
      <c r="F69" s="762">
        <f>Input!$MS$14</f>
        <v>0</v>
      </c>
      <c r="G69" s="762">
        <f>Input!$MT$14</f>
        <v>3911781</v>
      </c>
      <c r="H69" s="762">
        <f>Input!$MU$14</f>
        <v>0</v>
      </c>
      <c r="I69" s="762">
        <f>Input!$MV$14</f>
        <v>0</v>
      </c>
      <c r="J69" s="762">
        <f>Input!$MW$14</f>
        <v>7699</v>
      </c>
      <c r="K69" s="762">
        <f>Input!$MX$14</f>
        <v>0</v>
      </c>
      <c r="L69" s="762">
        <f>Input!$MY$14</f>
        <v>0</v>
      </c>
      <c r="M69" s="723">
        <f t="shared" si="12"/>
        <v>132515189</v>
      </c>
      <c r="O69" s="831">
        <f t="shared" si="14"/>
        <v>132507490</v>
      </c>
      <c r="P69" s="832">
        <f>Input!$TO$14</f>
        <v>1564499</v>
      </c>
      <c r="Q69" s="832">
        <f>Input!$TY$14</f>
        <v>0</v>
      </c>
      <c r="R69" s="832">
        <f>Input!$UH$14</f>
        <v>0</v>
      </c>
      <c r="S69" s="837">
        <f t="shared" si="16"/>
        <v>134071989</v>
      </c>
      <c r="T69" s="723"/>
      <c r="U69" s="834">
        <f t="shared" si="15"/>
        <v>132515189</v>
      </c>
      <c r="V69" s="723"/>
      <c r="W69" s="828" t="s">
        <v>181</v>
      </c>
      <c r="X69" s="835">
        <f>Input!$US$14</f>
        <v>132515189</v>
      </c>
      <c r="Y69" s="836">
        <f t="shared" si="13"/>
        <v>0</v>
      </c>
      <c r="Z69" s="723"/>
      <c r="AA69" s="723"/>
      <c r="AB69" s="723"/>
    </row>
    <row r="70" spans="1:28" s="752" customFormat="1">
      <c r="A70" s="460">
        <v>53</v>
      </c>
      <c r="B70" s="823" t="s">
        <v>182</v>
      </c>
      <c r="C70" s="823"/>
      <c r="D70" s="762">
        <f>Input!$MZ$14</f>
        <v>1955496</v>
      </c>
      <c r="E70" s="762">
        <f>Input!$NA$14</f>
        <v>22483652</v>
      </c>
      <c r="F70" s="762">
        <f>Input!$NB$14</f>
        <v>0</v>
      </c>
      <c r="G70" s="762">
        <f>Input!$NC$14</f>
        <v>10247</v>
      </c>
      <c r="H70" s="762">
        <f>Input!$ND$14</f>
        <v>95714</v>
      </c>
      <c r="I70" s="762">
        <f>Input!$NE$14</f>
        <v>0</v>
      </c>
      <c r="J70" s="762">
        <f>Input!$NF$14</f>
        <v>0</v>
      </c>
      <c r="K70" s="762">
        <f>Input!$NG$14</f>
        <v>0</v>
      </c>
      <c r="L70" s="762">
        <f>Input!$NH$14</f>
        <v>0</v>
      </c>
      <c r="M70" s="723">
        <f t="shared" si="12"/>
        <v>24545109</v>
      </c>
      <c r="O70" s="831">
        <f t="shared" si="14"/>
        <v>24449395</v>
      </c>
      <c r="P70" s="832">
        <f>Input!$TP$14</f>
        <v>72087</v>
      </c>
      <c r="Q70" s="832">
        <f>Input!$TZ$14</f>
        <v>0</v>
      </c>
      <c r="R70" s="832">
        <f>Input!$UI$14</f>
        <v>0</v>
      </c>
      <c r="S70" s="837">
        <f t="shared" si="16"/>
        <v>24521482</v>
      </c>
      <c r="T70" s="723"/>
      <c r="U70" s="834">
        <f t="shared" si="15"/>
        <v>24449395</v>
      </c>
      <c r="V70" s="723"/>
      <c r="W70" s="828" t="s">
        <v>182</v>
      </c>
      <c r="X70" s="835">
        <f>Input!$UT$14</f>
        <v>24545109</v>
      </c>
      <c r="Y70" s="836">
        <f t="shared" si="13"/>
        <v>0</v>
      </c>
      <c r="Z70" s="723"/>
      <c r="AA70" s="723"/>
      <c r="AB70" s="723"/>
    </row>
    <row r="71" spans="1:28" s="752" customFormat="1">
      <c r="A71" s="460">
        <v>54</v>
      </c>
      <c r="B71" s="823" t="s">
        <v>183</v>
      </c>
      <c r="C71" s="823"/>
      <c r="D71" s="762">
        <f>Input!$NI$14</f>
        <v>22500774</v>
      </c>
      <c r="E71" s="762">
        <f>Input!$NJ$14</f>
        <v>9105738</v>
      </c>
      <c r="F71" s="762">
        <f>Input!$NK$14</f>
        <v>0</v>
      </c>
      <c r="G71" s="762">
        <f>Input!$NL$14</f>
        <v>2683455</v>
      </c>
      <c r="H71" s="762">
        <f>Input!$NM$14</f>
        <v>0</v>
      </c>
      <c r="I71" s="762">
        <f>Input!$NN$14</f>
        <v>0</v>
      </c>
      <c r="J71" s="762">
        <f>Input!$NO$14</f>
        <v>0</v>
      </c>
      <c r="K71" s="762">
        <f>Input!$NP$14</f>
        <v>0</v>
      </c>
      <c r="L71" s="762">
        <f>Input!$NQ$14</f>
        <v>0</v>
      </c>
      <c r="M71" s="723">
        <f t="shared" si="12"/>
        <v>34289967</v>
      </c>
      <c r="O71" s="831">
        <f t="shared" si="14"/>
        <v>34289967</v>
      </c>
      <c r="P71" s="832">
        <f>Input!$TQ$14</f>
        <v>667179</v>
      </c>
      <c r="Q71" s="832">
        <f>Input!$UA$14</f>
        <v>0</v>
      </c>
      <c r="R71" s="832">
        <f>Input!$UJ$14</f>
        <v>0</v>
      </c>
      <c r="S71" s="837">
        <f t="shared" si="16"/>
        <v>34957146</v>
      </c>
      <c r="T71" s="723"/>
      <c r="U71" s="834">
        <f t="shared" si="15"/>
        <v>34289967</v>
      </c>
      <c r="V71" s="723"/>
      <c r="W71" s="828" t="s">
        <v>183</v>
      </c>
      <c r="X71" s="835">
        <f>Input!$UU$14</f>
        <v>34289967</v>
      </c>
      <c r="Y71" s="836">
        <f t="shared" si="13"/>
        <v>0</v>
      </c>
      <c r="Z71" s="723"/>
      <c r="AA71" s="723"/>
      <c r="AB71" s="723"/>
    </row>
    <row r="72" spans="1:28" s="752" customFormat="1">
      <c r="A72" s="460">
        <v>55</v>
      </c>
      <c r="B72" s="823" t="s">
        <v>184</v>
      </c>
      <c r="C72" s="823"/>
      <c r="D72" s="762">
        <f>Input!$NR$14</f>
        <v>11627788</v>
      </c>
      <c r="E72" s="762">
        <f>Input!$NS$14</f>
        <v>13032758</v>
      </c>
      <c r="F72" s="762">
        <f>Input!$NT$14</f>
        <v>0</v>
      </c>
      <c r="G72" s="762">
        <f>Input!$NU$14</f>
        <v>66770</v>
      </c>
      <c r="H72" s="762">
        <f>Input!$NV$14</f>
        <v>0</v>
      </c>
      <c r="I72" s="762">
        <f>Input!$NW$14</f>
        <v>0</v>
      </c>
      <c r="J72" s="762">
        <f>Input!$NX$14</f>
        <v>13283910</v>
      </c>
      <c r="K72" s="762">
        <f>Input!$NY$14</f>
        <v>0</v>
      </c>
      <c r="L72" s="762">
        <f>Input!$NZ$14</f>
        <v>0</v>
      </c>
      <c r="M72" s="723">
        <f t="shared" si="12"/>
        <v>38011226</v>
      </c>
      <c r="O72" s="831">
        <f t="shared" si="14"/>
        <v>24727316</v>
      </c>
      <c r="P72" s="832">
        <f>Input!$TR$14</f>
        <v>536304</v>
      </c>
      <c r="Q72" s="832">
        <f>Input!$UB$14</f>
        <v>0</v>
      </c>
      <c r="R72" s="832">
        <f>Input!$UK$14</f>
        <v>0</v>
      </c>
      <c r="S72" s="837">
        <f t="shared" si="16"/>
        <v>25263620</v>
      </c>
      <c r="T72" s="723"/>
      <c r="U72" s="834">
        <f t="shared" si="15"/>
        <v>38011226</v>
      </c>
      <c r="V72" s="723"/>
      <c r="W72" s="828" t="s">
        <v>671</v>
      </c>
      <c r="X72" s="835">
        <f>Input!$UV$14</f>
        <v>38011226</v>
      </c>
      <c r="Y72" s="836">
        <f t="shared" si="13"/>
        <v>0</v>
      </c>
      <c r="Z72" s="723"/>
      <c r="AA72" s="723"/>
      <c r="AB72" s="723"/>
    </row>
    <row r="73" spans="1:28" s="752" customFormat="1" ht="13.8" thickBot="1">
      <c r="A73" s="460">
        <v>56</v>
      </c>
      <c r="B73" s="823" t="s">
        <v>185</v>
      </c>
      <c r="C73" s="823"/>
      <c r="D73" s="762">
        <f>Input!$OA$14</f>
        <v>0</v>
      </c>
      <c r="E73" s="762">
        <f>Input!$OB$14</f>
        <v>819349</v>
      </c>
      <c r="F73" s="762">
        <f>Input!$OC$14</f>
        <v>0</v>
      </c>
      <c r="G73" s="762">
        <f>Input!$OD$14</f>
        <v>4224548</v>
      </c>
      <c r="H73" s="762">
        <f>Input!$OE$14</f>
        <v>0</v>
      </c>
      <c r="I73" s="762">
        <f>Input!$OF$14</f>
        <v>0</v>
      </c>
      <c r="J73" s="762">
        <f>Input!$OG$14</f>
        <v>0</v>
      </c>
      <c r="K73" s="762">
        <f>Input!$OH$14</f>
        <v>0</v>
      </c>
      <c r="L73" s="762">
        <f>Input!$OI$14</f>
        <v>0</v>
      </c>
      <c r="M73" s="723">
        <f t="shared" si="12"/>
        <v>5043897</v>
      </c>
      <c r="O73" s="838">
        <f>D73+E73+G73</f>
        <v>5043897</v>
      </c>
      <c r="P73" s="832">
        <f>Input!$TS$14</f>
        <v>0</v>
      </c>
      <c r="Q73" s="839">
        <f>Input!$UC$14</f>
        <v>0</v>
      </c>
      <c r="R73" s="839">
        <f>Input!$UL$14</f>
        <v>0</v>
      </c>
      <c r="S73" s="840">
        <f>O73+P73-Q73-R73</f>
        <v>5043897</v>
      </c>
      <c r="T73" s="841"/>
      <c r="U73" s="834">
        <f t="shared" si="15"/>
        <v>5043897</v>
      </c>
      <c r="V73" s="841"/>
      <c r="W73" s="828" t="s">
        <v>185</v>
      </c>
      <c r="X73" s="835">
        <f>Input!$UW$14</f>
        <v>5043897</v>
      </c>
      <c r="Y73" s="836">
        <f t="shared" si="13"/>
        <v>0</v>
      </c>
      <c r="Z73" s="723"/>
      <c r="AA73" s="723"/>
      <c r="AB73" s="723"/>
    </row>
    <row r="74" spans="1:28" s="752" customFormat="1" ht="13.8" thickTop="1">
      <c r="A74" s="460">
        <v>57</v>
      </c>
      <c r="B74" s="823" t="s">
        <v>472</v>
      </c>
      <c r="C74" s="823"/>
      <c r="D74" s="762">
        <f>Input!$OJ$14</f>
        <v>0</v>
      </c>
      <c r="E74" s="762">
        <f>Input!$OK$14</f>
        <v>0</v>
      </c>
      <c r="F74" s="762">
        <f>Input!$OL$14</f>
        <v>527758</v>
      </c>
      <c r="G74" s="762">
        <f>Input!$OM$14</f>
        <v>0</v>
      </c>
      <c r="H74" s="762">
        <f>Input!$ON$14</f>
        <v>0</v>
      </c>
      <c r="I74" s="762">
        <f>Input!$OO$14</f>
        <v>0</v>
      </c>
      <c r="J74" s="762">
        <f>Input!$OP$14</f>
        <v>0</v>
      </c>
      <c r="K74" s="762">
        <f>Input!$OQ$14</f>
        <v>0</v>
      </c>
      <c r="L74" s="762">
        <f>Input!$OR$14</f>
        <v>0</v>
      </c>
      <c r="M74" s="723">
        <f t="shared" si="12"/>
        <v>527758</v>
      </c>
      <c r="O74" s="492"/>
      <c r="P74" s="842">
        <f>Input!$TT$14</f>
        <v>0</v>
      </c>
      <c r="Q74" s="843"/>
      <c r="R74" s="844"/>
      <c r="S74" s="845">
        <f>SUM(S65:S73)</f>
        <v>737232401</v>
      </c>
      <c r="T74" s="844"/>
      <c r="U74" s="834">
        <f t="shared" si="15"/>
        <v>527758</v>
      </c>
      <c r="V74" s="844"/>
      <c r="W74" s="828" t="s">
        <v>186</v>
      </c>
      <c r="X74" s="835">
        <f>Input!$UX$14</f>
        <v>527758</v>
      </c>
      <c r="Y74" s="836">
        <f t="shared" si="13"/>
        <v>0</v>
      </c>
      <c r="Z74" s="723"/>
      <c r="AA74" s="723"/>
      <c r="AB74" s="723"/>
    </row>
    <row r="75" spans="1:28" s="752" customFormat="1">
      <c r="A75" s="460">
        <v>58</v>
      </c>
      <c r="B75" s="846" t="s">
        <v>602</v>
      </c>
      <c r="C75" s="846"/>
      <c r="D75" s="762">
        <f>Input!$OS$14</f>
        <v>1290170</v>
      </c>
      <c r="E75" s="762">
        <f>Input!$OT$14</f>
        <v>4778825</v>
      </c>
      <c r="F75" s="762">
        <f>Input!$OU$14</f>
        <v>0</v>
      </c>
      <c r="G75" s="762">
        <f>Input!$OV$14</f>
        <v>2907444</v>
      </c>
      <c r="H75" s="762">
        <f>Input!$OW$14</f>
        <v>0</v>
      </c>
      <c r="I75" s="762">
        <f>Input!$OX$14</f>
        <v>0</v>
      </c>
      <c r="J75" s="762">
        <f>Input!$OY$14</f>
        <v>0</v>
      </c>
      <c r="K75" s="762">
        <f>Input!$OZ$14</f>
        <v>0</v>
      </c>
      <c r="L75" s="762">
        <f>Input!$PA$14</f>
        <v>0</v>
      </c>
      <c r="M75" s="723">
        <f t="shared" si="12"/>
        <v>8976439</v>
      </c>
      <c r="O75" s="492"/>
      <c r="P75" s="492">
        <f>SUM(P65:P74)</f>
        <v>8976439</v>
      </c>
      <c r="Q75" s="843" t="s">
        <v>672</v>
      </c>
      <c r="R75" s="844"/>
      <c r="S75" s="847"/>
      <c r="T75" s="844"/>
      <c r="U75" s="834">
        <f t="shared" si="15"/>
        <v>8976439</v>
      </c>
      <c r="V75" s="844"/>
      <c r="W75" s="828" t="s">
        <v>673</v>
      </c>
      <c r="X75" s="848">
        <f>M93*-1</f>
        <v>28102451</v>
      </c>
      <c r="Y75" s="836">
        <f>X75+M93</f>
        <v>0</v>
      </c>
      <c r="Z75" s="849"/>
      <c r="AA75" s="849"/>
      <c r="AB75" s="849"/>
    </row>
    <row r="76" spans="1:28" s="752" customFormat="1" ht="13.8" thickBot="1">
      <c r="A76" s="460">
        <v>59</v>
      </c>
      <c r="B76" s="850" t="s">
        <v>603</v>
      </c>
      <c r="C76" s="850"/>
      <c r="D76" s="851">
        <f>Input!$PB$14</f>
        <v>-88343</v>
      </c>
      <c r="E76" s="851">
        <f>Input!$PC$14</f>
        <v>0</v>
      </c>
      <c r="F76" s="851">
        <f>Input!$PD$14</f>
        <v>0</v>
      </c>
      <c r="G76" s="851">
        <f>Input!$PE$14</f>
        <v>0</v>
      </c>
      <c r="H76" s="851">
        <f>Input!$PF$14</f>
        <v>0</v>
      </c>
      <c r="I76" s="851">
        <f>Input!$PG$14</f>
        <v>0</v>
      </c>
      <c r="J76" s="851">
        <f>Input!$PH$14</f>
        <v>0</v>
      </c>
      <c r="K76" s="851">
        <f>Input!$PI$14</f>
        <v>0</v>
      </c>
      <c r="L76" s="851">
        <f>Input!$PJ$14</f>
        <v>191185</v>
      </c>
      <c r="M76" s="723">
        <f t="shared" si="12"/>
        <v>102842</v>
      </c>
      <c r="O76" s="492"/>
      <c r="P76" s="852" t="str">
        <f>IF(P75&lt;&gt;M75,"Out of Balance","Balanced")</f>
        <v>Balanced</v>
      </c>
      <c r="Q76" s="1213" t="s">
        <v>674</v>
      </c>
      <c r="R76" s="1214"/>
      <c r="S76" s="853">
        <f>Input!$UM$14</f>
        <v>119656862</v>
      </c>
      <c r="T76" s="492"/>
      <c r="U76" s="854">
        <f t="shared" si="15"/>
        <v>-88343</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187905502</v>
      </c>
      <c r="E77" s="769">
        <f t="shared" si="17"/>
        <v>302388452</v>
      </c>
      <c r="F77" s="769">
        <f t="shared" si="17"/>
        <v>527758</v>
      </c>
      <c r="G77" s="769">
        <f t="shared" si="17"/>
        <v>247513732</v>
      </c>
      <c r="H77" s="769">
        <f t="shared" si="17"/>
        <v>95714</v>
      </c>
      <c r="I77" s="769">
        <f t="shared" si="17"/>
        <v>0</v>
      </c>
      <c r="J77" s="769">
        <f t="shared" si="17"/>
        <v>13334117</v>
      </c>
      <c r="K77" s="769">
        <f t="shared" si="17"/>
        <v>0</v>
      </c>
      <c r="L77" s="769">
        <f t="shared" si="17"/>
        <v>191185</v>
      </c>
      <c r="M77" s="769">
        <f t="shared" si="12"/>
        <v>751956460</v>
      </c>
      <c r="O77" s="320"/>
      <c r="P77" s="492"/>
      <c r="Q77" s="859" t="s">
        <v>676</v>
      </c>
      <c r="R77" s="860"/>
      <c r="S77" s="861">
        <f>Input!$UN$14</f>
        <v>0</v>
      </c>
      <c r="T77" s="320"/>
      <c r="U77" s="862">
        <f>SUM(U65:U76)</f>
        <v>751669561</v>
      </c>
      <c r="V77" s="320"/>
      <c r="W77" s="320"/>
      <c r="X77" s="863">
        <f>SUM(X65:X76)</f>
        <v>770979630</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617575539</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Input!$PK$14</f>
        <v>0</v>
      </c>
      <c r="E80" s="762">
        <f>Input!$PL$14</f>
        <v>0</v>
      </c>
      <c r="F80" s="762">
        <f>Input!$PM$14</f>
        <v>0</v>
      </c>
      <c r="G80" s="762">
        <f>Input!$PN$14</f>
        <v>0</v>
      </c>
      <c r="H80" s="762">
        <f>Input!$PO$14</f>
        <v>0</v>
      </c>
      <c r="I80" s="762">
        <f>Input!$PP$14</f>
        <v>0</v>
      </c>
      <c r="J80" s="762">
        <f>Input!$PQ$14</f>
        <v>-24024565</v>
      </c>
      <c r="K80" s="762">
        <f>Input!$PR$14</f>
        <v>0</v>
      </c>
      <c r="L80" s="762">
        <f>Input!$PS$14</f>
        <v>0</v>
      </c>
      <c r="M80" s="723">
        <f>D80+E80+F80+G80+H80+I80+J80+K80+L80</f>
        <v>-24024565</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Input!$PT$14</f>
        <v>-16486414</v>
      </c>
      <c r="E81" s="762">
        <f>Input!$PU$14</f>
        <v>-5628252</v>
      </c>
      <c r="F81" s="762">
        <f>Input!$PV$14</f>
        <v>-690689</v>
      </c>
      <c r="G81" s="762">
        <f>Input!$PW$14</f>
        <v>-15518198</v>
      </c>
      <c r="H81" s="762">
        <f>Input!$PX$14</f>
        <v>-54207</v>
      </c>
      <c r="I81" s="762">
        <f>Input!$PY$14</f>
        <v>18138857</v>
      </c>
      <c r="J81" s="762">
        <f>Input!$PZ$14</f>
        <v>19819216</v>
      </c>
      <c r="K81" s="762">
        <f>Input!$QA$14</f>
        <v>0</v>
      </c>
      <c r="L81" s="762">
        <f>Input!$QB$14</f>
        <v>0</v>
      </c>
      <c r="M81" s="723">
        <f>D81+E81+F81+G81+H81+I81+J81+K81+L81</f>
        <v>-419687</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Input!$QC$14</f>
        <v>0</v>
      </c>
      <c r="E82" s="762">
        <f>Input!$QD$14</f>
        <v>0</v>
      </c>
      <c r="F82" s="762">
        <f>Input!$QE$14</f>
        <v>0</v>
      </c>
      <c r="G82" s="762">
        <f>Input!$QF$14</f>
        <v>0</v>
      </c>
      <c r="H82" s="762">
        <f>Input!$QG$14</f>
        <v>0</v>
      </c>
      <c r="I82" s="762">
        <f>Input!$QH$14</f>
        <v>0</v>
      </c>
      <c r="J82" s="762">
        <f>Input!$QI$14</f>
        <v>12690433</v>
      </c>
      <c r="K82" s="762">
        <f>Input!$QJ$14</f>
        <v>0</v>
      </c>
      <c r="L82" s="762">
        <f>Input!$QK$14</f>
        <v>0</v>
      </c>
      <c r="M82" s="723">
        <f>D82+E82+F82+G82+H82+I82+J82+K82+L82</f>
        <v>12690433</v>
      </c>
      <c r="O82" s="492"/>
      <c r="P82" s="1218" t="str">
        <f>IF(M91&lt;0,"Footnote 11 is N/A - No Data Entry Required","Footnote 11")</f>
        <v>Footnote 11</v>
      </c>
      <c r="Q82" s="1219"/>
      <c r="R82" s="1219"/>
      <c r="S82" s="1220"/>
      <c r="T82" s="443"/>
      <c r="U82" s="443"/>
      <c r="V82" s="320"/>
      <c r="W82" s="320"/>
      <c r="X82" s="320"/>
      <c r="Y82" s="320"/>
      <c r="Z82" s="320"/>
      <c r="AA82" s="320"/>
      <c r="AB82" s="320"/>
    </row>
    <row r="83" spans="1:28" s="752" customFormat="1" ht="13.8" thickTop="1">
      <c r="A83" s="460">
        <v>66</v>
      </c>
      <c r="B83" s="752" t="s">
        <v>477</v>
      </c>
      <c r="D83" s="762">
        <f>Input!$QL$14</f>
        <v>-10383711</v>
      </c>
      <c r="E83" s="762">
        <f>Input!$QM$14</f>
        <v>0</v>
      </c>
      <c r="F83" s="762">
        <f>Input!$QN$14</f>
        <v>0</v>
      </c>
      <c r="G83" s="762">
        <f>Input!$QO$14</f>
        <v>0</v>
      </c>
      <c r="H83" s="762">
        <f>Input!$QP$14</f>
        <v>0</v>
      </c>
      <c r="I83" s="762">
        <f>Input!$QQ$14</f>
        <v>0</v>
      </c>
      <c r="J83" s="762">
        <f>Input!$QR$14</f>
        <v>0</v>
      </c>
      <c r="K83" s="762">
        <f>Input!$QS$14</f>
        <v>0</v>
      </c>
      <c r="L83" s="762">
        <f>Input!$QT$14</f>
        <v>0</v>
      </c>
      <c r="M83" s="723">
        <f>D83+E83+F83+G83+H83+I83+J83+K83+L83</f>
        <v>-10383711</v>
      </c>
      <c r="O83" s="723"/>
      <c r="P83" s="869" t="s">
        <v>678</v>
      </c>
      <c r="Q83" s="870"/>
      <c r="R83" s="871"/>
      <c r="S83" s="872">
        <f>IF(M91&lt;0,"N/A",M91)</f>
        <v>19146076</v>
      </c>
      <c r="T83" s="492"/>
      <c r="U83" s="443"/>
      <c r="V83" s="320"/>
      <c r="W83" s="320"/>
      <c r="X83" s="443"/>
      <c r="Y83" s="443"/>
      <c r="Z83" s="320"/>
      <c r="AA83" s="320"/>
      <c r="AB83" s="320"/>
    </row>
    <row r="84" spans="1:28" s="752" customFormat="1">
      <c r="A84" s="460">
        <v>67</v>
      </c>
      <c r="B84" s="858" t="s">
        <v>155</v>
      </c>
      <c r="C84" s="858"/>
      <c r="D84" s="769">
        <f t="shared" ref="D84:L84" si="18">SUM(D80:D83)</f>
        <v>-26870125</v>
      </c>
      <c r="E84" s="769">
        <f t="shared" si="18"/>
        <v>-5628252</v>
      </c>
      <c r="F84" s="769">
        <f t="shared" si="18"/>
        <v>-690689</v>
      </c>
      <c r="G84" s="769">
        <f t="shared" si="18"/>
        <v>-15518198</v>
      </c>
      <c r="H84" s="769">
        <f t="shared" si="18"/>
        <v>-54207</v>
      </c>
      <c r="I84" s="769">
        <f t="shared" si="18"/>
        <v>18138857</v>
      </c>
      <c r="J84" s="769">
        <f t="shared" si="18"/>
        <v>8485084</v>
      </c>
      <c r="K84" s="769">
        <f t="shared" si="18"/>
        <v>0</v>
      </c>
      <c r="L84" s="769">
        <f t="shared" si="18"/>
        <v>0</v>
      </c>
      <c r="M84" s="769">
        <f>D84+E84+F84+G84+H84+I84+J84+K84+L84</f>
        <v>-22137530</v>
      </c>
      <c r="O84" s="723"/>
      <c r="P84" s="873" t="s">
        <v>679</v>
      </c>
      <c r="Q84" s="492"/>
      <c r="R84" s="492"/>
      <c r="S84" s="874">
        <f>Input!$UY$14</f>
        <v>53974307</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f>IF(M91&lt;0,"",S83-S84)</f>
        <v>-34828231</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Input!$QU$14</f>
        <v>0</v>
      </c>
      <c r="E87" s="762">
        <f>Input!$QV$14</f>
        <v>-27441380</v>
      </c>
      <c r="F87" s="762">
        <f>Input!$QW$14</f>
        <v>0</v>
      </c>
      <c r="G87" s="762">
        <f>Input!$QX$14</f>
        <v>-5419763</v>
      </c>
      <c r="H87" s="762">
        <f>Input!$QY$14</f>
        <v>0</v>
      </c>
      <c r="I87" s="762">
        <f>Input!$QZ$14</f>
        <v>-2101079</v>
      </c>
      <c r="J87" s="762">
        <f>Input!$RA$14</f>
        <v>0</v>
      </c>
      <c r="K87" s="762">
        <f>Input!$RB$14</f>
        <v>0</v>
      </c>
      <c r="L87" s="762">
        <f>Input!$RC$14</f>
        <v>0</v>
      </c>
      <c r="M87" s="723">
        <f>D87+E87+F87+G87+H87+I87+J87+K87+L87</f>
        <v>-34962222</v>
      </c>
      <c r="O87" s="320"/>
      <c r="P87" s="873" t="s">
        <v>681</v>
      </c>
      <c r="Q87" s="320"/>
      <c r="R87" s="492"/>
      <c r="S87" s="878">
        <f>Input!$UZ$14</f>
        <v>-34962222</v>
      </c>
      <c r="T87" s="320"/>
      <c r="U87" s="320"/>
      <c r="V87" s="320"/>
      <c r="W87" s="320"/>
      <c r="X87" s="443"/>
      <c r="Y87" s="443"/>
      <c r="Z87" s="320"/>
      <c r="AA87" s="320"/>
      <c r="AB87" s="320"/>
    </row>
    <row r="88" spans="1:28" s="752" customFormat="1">
      <c r="A88" s="460">
        <v>71</v>
      </c>
      <c r="B88" s="752" t="s">
        <v>480</v>
      </c>
      <c r="D88" s="762">
        <f>Input!$RD$14</f>
        <v>0</v>
      </c>
      <c r="E88" s="762">
        <f>Input!$RE$14</f>
        <v>0</v>
      </c>
      <c r="F88" s="762">
        <f>Input!$RF$14</f>
        <v>0</v>
      </c>
      <c r="G88" s="762">
        <f>Input!$RG$14</f>
        <v>0</v>
      </c>
      <c r="H88" s="762">
        <f>Input!$RH$14</f>
        <v>0</v>
      </c>
      <c r="I88" s="762">
        <f>Input!$RI$14</f>
        <v>133991</v>
      </c>
      <c r="J88" s="762">
        <f>Input!$RJ$14</f>
        <v>0</v>
      </c>
      <c r="K88" s="762">
        <f>Input!$RK$14</f>
        <v>0</v>
      </c>
      <c r="L88" s="762">
        <f>Input!$RL$14</f>
        <v>0</v>
      </c>
      <c r="M88" s="723">
        <f>D88+E88+F88+G88+H88+I88+J88+K88+L88</f>
        <v>133991</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0</v>
      </c>
      <c r="E89" s="769">
        <f t="shared" si="19"/>
        <v>-27441380</v>
      </c>
      <c r="F89" s="769">
        <f t="shared" si="19"/>
        <v>0</v>
      </c>
      <c r="G89" s="769">
        <f t="shared" si="19"/>
        <v>-5419763</v>
      </c>
      <c r="H89" s="769">
        <f t="shared" si="19"/>
        <v>0</v>
      </c>
      <c r="I89" s="769">
        <f t="shared" si="19"/>
        <v>-1967088</v>
      </c>
      <c r="J89" s="769">
        <f t="shared" si="19"/>
        <v>0</v>
      </c>
      <c r="K89" s="769">
        <f t="shared" si="19"/>
        <v>0</v>
      </c>
      <c r="L89" s="769">
        <f t="shared" si="19"/>
        <v>0</v>
      </c>
      <c r="M89" s="769">
        <f>D89+E89+F89+G89+H89+I89+J89+K89+L89</f>
        <v>-34828231</v>
      </c>
      <c r="O89" s="320"/>
      <c r="P89" s="873" t="s">
        <v>683</v>
      </c>
      <c r="Q89" s="320"/>
      <c r="R89" s="320"/>
      <c r="S89" s="875">
        <f>IFERROR(S85-S87,"")</f>
        <v>133991</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-979622</v>
      </c>
      <c r="E91" s="769">
        <f t="shared" si="20"/>
        <v>6983824</v>
      </c>
      <c r="F91" s="769">
        <f t="shared" si="20"/>
        <v>-224133</v>
      </c>
      <c r="G91" s="769">
        <f t="shared" si="20"/>
        <v>100086</v>
      </c>
      <c r="H91" s="769">
        <f t="shared" si="20"/>
        <v>-329726</v>
      </c>
      <c r="I91" s="769">
        <f t="shared" si="20"/>
        <v>12006907</v>
      </c>
      <c r="J91" s="769">
        <f t="shared" si="20"/>
        <v>1779925</v>
      </c>
      <c r="K91" s="769">
        <f t="shared" si="20"/>
        <v>0</v>
      </c>
      <c r="L91" s="769">
        <f>L63-L77+L84+L89</f>
        <v>-191185</v>
      </c>
      <c r="M91" s="769">
        <f>D91+E91+F91+G91+H91+I91+J91+K91+L91</f>
        <v>19146076</v>
      </c>
      <c r="O91" s="320"/>
      <c r="P91" s="881" t="s">
        <v>684</v>
      </c>
      <c r="Q91" s="882"/>
      <c r="R91" s="882"/>
      <c r="S91" s="883">
        <f>IFERROR((S89+S87)-S85,"")</f>
        <v>0</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Input!$RM$14</f>
        <v>0</v>
      </c>
      <c r="E93" s="762">
        <f>Input!$RN$14</f>
        <v>0</v>
      </c>
      <c r="F93" s="762">
        <f>Input!$RO$14</f>
        <v>0</v>
      </c>
      <c r="G93" s="762">
        <f>Input!$RP$14</f>
        <v>0</v>
      </c>
      <c r="H93" s="762">
        <f>Input!$RQ$14</f>
        <v>0</v>
      </c>
      <c r="I93" s="762">
        <f>Input!$RR$14</f>
        <v>0</v>
      </c>
      <c r="J93" s="762">
        <f>Input!$RS$14</f>
        <v>0</v>
      </c>
      <c r="K93" s="762">
        <f>Input!$RT$14</f>
        <v>0</v>
      </c>
      <c r="L93" s="762">
        <f>Input!$RU$14</f>
        <v>-28102451</v>
      </c>
      <c r="M93" s="723">
        <f>D93+E93+F93+G93+H93+I93+J93+K93+L93</f>
        <v>-28102451</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Input!$RV$14</f>
        <v>0</v>
      </c>
      <c r="E94" s="762">
        <f>Input!$RW$14</f>
        <v>0</v>
      </c>
      <c r="F94" s="762">
        <f>Input!$RX$14</f>
        <v>0</v>
      </c>
      <c r="G94" s="762">
        <f>Input!$RY$14</f>
        <v>0</v>
      </c>
      <c r="H94" s="762">
        <f>Input!$RZ$14</f>
        <v>0</v>
      </c>
      <c r="I94" s="762">
        <f>Input!$SA$14</f>
        <v>0</v>
      </c>
      <c r="J94" s="762">
        <f>Input!$SB$14</f>
        <v>0</v>
      </c>
      <c r="K94" s="762">
        <f>Input!$SC$14</f>
        <v>0</v>
      </c>
      <c r="L94" s="762">
        <f>Input!$SD$14</f>
        <v>-280343</v>
      </c>
      <c r="M94" s="723">
        <f>D94+E94+F94+G94+H94+I94+J94+K94+L94</f>
        <v>-280343</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Input!$SE$14</f>
        <v>0</v>
      </c>
      <c r="E95" s="762">
        <f>Input!$SF$14</f>
        <v>0</v>
      </c>
      <c r="F95" s="762">
        <f>Input!$SG$14</f>
        <v>0</v>
      </c>
      <c r="G95" s="762">
        <f>Input!$SH$14</f>
        <v>0</v>
      </c>
      <c r="H95" s="762">
        <f>Input!$SI$14</f>
        <v>0</v>
      </c>
      <c r="I95" s="762">
        <f>Input!$SJ$14</f>
        <v>0</v>
      </c>
      <c r="J95" s="762">
        <f>Input!$SK$14</f>
        <v>0</v>
      </c>
      <c r="K95" s="762">
        <f>Input!$SL$14</f>
        <v>0</v>
      </c>
      <c r="L95" s="762">
        <f>Input!$SM$14</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Input!$SN$14</f>
        <v>0</v>
      </c>
      <c r="E96" s="762">
        <f>Input!$SO$14</f>
        <v>0</v>
      </c>
      <c r="F96" s="762">
        <f>Input!$SP$14</f>
        <v>0</v>
      </c>
      <c r="G96" s="762">
        <f>Input!$SQ$14</f>
        <v>0</v>
      </c>
      <c r="H96" s="762">
        <f>Input!$SR$14</f>
        <v>0</v>
      </c>
      <c r="I96" s="762">
        <f>Input!$SS$14</f>
        <v>0</v>
      </c>
      <c r="J96" s="762">
        <f>Input!$ST$14</f>
        <v>0</v>
      </c>
      <c r="K96" s="762">
        <f>Input!$SU$14</f>
        <v>0</v>
      </c>
      <c r="L96" s="762">
        <f>Input!$SV$14</f>
        <v>3868047</v>
      </c>
      <c r="M96" s="723">
        <f>D96+E96+F96+G96+H96+I96+J96+K96+L96</f>
        <v>3868047</v>
      </c>
      <c r="O96" s="884"/>
      <c r="P96" s="320"/>
      <c r="Q96" s="320"/>
      <c r="R96" s="320"/>
      <c r="S96" s="320"/>
      <c r="Y96" s="320"/>
      <c r="Z96" s="320"/>
      <c r="AA96" s="320"/>
      <c r="AB96" s="320"/>
    </row>
    <row r="97" spans="1:28" s="752" customFormat="1">
      <c r="A97" s="460">
        <v>79</v>
      </c>
      <c r="B97" s="320" t="s">
        <v>486</v>
      </c>
      <c r="C97" s="320"/>
      <c r="D97" s="762">
        <f>Input!$SW$14</f>
        <v>1290170</v>
      </c>
      <c r="E97" s="762">
        <f>Input!$SX$14</f>
        <v>4778825</v>
      </c>
      <c r="F97" s="762">
        <f>Input!$SY$14</f>
        <v>0</v>
      </c>
      <c r="G97" s="762">
        <f>Input!$SZ$14</f>
        <v>2907444</v>
      </c>
      <c r="H97" s="762">
        <f>Input!$TA$14</f>
        <v>0</v>
      </c>
      <c r="I97" s="762">
        <f>Input!$TB$14</f>
        <v>0</v>
      </c>
      <c r="J97" s="762">
        <f>Input!$TC$14</f>
        <v>24024565</v>
      </c>
      <c r="K97" s="762">
        <f>Input!$TD$14</f>
        <v>0</v>
      </c>
      <c r="L97" s="762">
        <f>Input!$TE$14</f>
        <v>0</v>
      </c>
      <c r="M97" s="723">
        <f>D97+E97+F97+G97+H97+I97+J97+K97+L97</f>
        <v>33001004</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310548</v>
      </c>
      <c r="E98" s="886">
        <f t="shared" si="21"/>
        <v>11762649</v>
      </c>
      <c r="F98" s="886">
        <f t="shared" si="21"/>
        <v>-224133</v>
      </c>
      <c r="G98" s="886">
        <f t="shared" si="21"/>
        <v>3007530</v>
      </c>
      <c r="H98" s="886">
        <f t="shared" si="21"/>
        <v>-329726</v>
      </c>
      <c r="I98" s="886">
        <f t="shared" si="21"/>
        <v>12006907</v>
      </c>
      <c r="J98" s="886">
        <f t="shared" si="21"/>
        <v>25804490</v>
      </c>
      <c r="K98" s="886">
        <f t="shared" si="21"/>
        <v>0</v>
      </c>
      <c r="L98" s="886">
        <f t="shared" si="21"/>
        <v>-24705932</v>
      </c>
      <c r="M98" s="886">
        <f>SUM(M91:M97)</f>
        <v>27632333</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4" t="str">
        <f>Input!$VC$14</f>
        <v>Rebecca Aguilar</v>
      </c>
      <c r="Q103" s="1225"/>
      <c r="R103" s="1224" t="str">
        <f>Input!$VD$14</f>
        <v>806-743-7381</v>
      </c>
      <c r="S103" s="1225"/>
      <c r="T103" s="320"/>
      <c r="U103" s="1226" t="str">
        <f>HYPERLINK("Mailto:"&amp;Input!$VE$14,Input!$VE$14)</f>
        <v>rebecca.aguilar@ttuhsc.edu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Input!$TF$14</f>
        <v>27632333</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IF($L$123&lt;&gt;Input!$F$14,"Out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372327895</v>
      </c>
      <c r="E110" s="723">
        <f>SUM($E$10:$E$14)+SUM($E$19:$E$28)+SUM($E$50)+$E$53+SUM($E$56:$E$61)+SUM($E$65:$E$76)+SUM($E$80:$E$83)+SUM($E$87:$E$88)+SUM($E$93:$E$97)+SUM($E$32:$E$41)+$E$47</f>
        <v>616539553</v>
      </c>
      <c r="F110" s="723">
        <f>SUM($F$10:$F$14)+SUM($F$19:$F$28)+SUM($F$50)+$F$53+SUM($F$56:$F$61)+SUM($F$65:$F$76)+SUM($F$80:$F$83)+SUM($F$87:$F$88)+SUM($F$93:$F$97)+SUM($F$32:$F$41)+$F$47</f>
        <v>831383</v>
      </c>
      <c r="G110" s="723">
        <f>SUM($G$10:$G$14)+SUM($G$19:$G$28)+SUM($G$50)+$G$53+SUM($G$56:$G$61)+SUM($G$65:$G$76)+SUM($G$80:$G$83)+SUM($G$87:$G$88)+SUM($G$93:$G$97)+SUM($G$32:$G$41)+$G$47</f>
        <v>498034994</v>
      </c>
      <c r="H110" s="723">
        <f>SUM($H$10:$H$14)+SUM($H$19:$H$28)+SUM($H$50)+$H$53+SUM($H$56:$H$61)+SUM($H$65:$H$76)+SUM($H$80:$H$83)+SUM($H$87:$H$88)+SUM($H$93:$H$97)+SUM($H$32:$H$41)+$H$47</f>
        <v>-138298</v>
      </c>
      <c r="I110" s="723">
        <f>SUM($I$10:$I$14)+SUM($I$19:$I$28)+SUM($I$50)+$I$53+SUM($I$56:$I$61)+SUM($I$65:$I$76)+SUM($I$80:$I$83)+SUM($I$87:$I$88)+SUM($I$93:$I$97)+SUM($I$32:$I$41)+$I$47</f>
        <v>12006907</v>
      </c>
      <c r="J110" s="723">
        <f>SUM($J$10:$J$14)+SUM($J$19:$J$28)+SUM($J$50)+$J$53+SUM($J$56:$J$61)+SUM($J$65:$J$76)+SUM($J$80:$J$83)+SUM($J$87:$J$88)+SUM($J$93:$J$97)+SUM($J$32:$J$41)+$J$47</f>
        <v>52472724</v>
      </c>
      <c r="K110" s="723">
        <f>SUM($K$10:$K$14)+SUM($K$19:$K$28)+SUM($K$50)+$K$53+SUM($K$56:$K$61)+SUM($K$65:$K$76)+SUM($K$80:$K$83)+SUM($K$87:$K$88)+SUM($K$93:$K$97)+SUM($K$32:$K$41)+$K$47</f>
        <v>0</v>
      </c>
      <c r="L110" s="723">
        <f>SUM($L$10:$L$14)+SUM($L$19:$L$28)+SUM($L$50)+$L$53+SUM($L$56:$L$61)+SUM($L$65:$L$76)+SUM($L$80:$L$83)+SUM($L$87:$L$88)+SUM($L$93:$L$97)+SUM($L$32:$L$41)+$L$47</f>
        <v>-24323562</v>
      </c>
    </row>
    <row r="111" spans="1:28" s="320" customFormat="1">
      <c r="A111" s="322"/>
      <c r="L111" s="723">
        <f>SUM($D$110:$L$110)</f>
        <v>1527751596</v>
      </c>
    </row>
    <row r="112" spans="1:28" s="320" customFormat="1">
      <c r="A112" s="322"/>
      <c r="J112" s="320" t="s">
        <v>690</v>
      </c>
      <c r="L112" s="723">
        <f>$M$105</f>
        <v>27632333</v>
      </c>
    </row>
    <row r="113" spans="1:12" s="320" customFormat="1">
      <c r="A113" s="322"/>
      <c r="J113" s="320" t="s">
        <v>691</v>
      </c>
      <c r="L113" s="492">
        <f>$Q$32</f>
        <v>81847398</v>
      </c>
    </row>
    <row r="114" spans="1:12" s="320" customFormat="1">
      <c r="A114" s="322"/>
      <c r="J114" s="320" t="s">
        <v>691</v>
      </c>
      <c r="L114" s="492">
        <f>$R$34</f>
        <v>-10327533</v>
      </c>
    </row>
    <row r="115" spans="1:12" s="320" customFormat="1">
      <c r="A115" s="322"/>
      <c r="J115" s="320" t="s">
        <v>521</v>
      </c>
      <c r="L115" s="492">
        <f>SUM($P$65:$P$74)</f>
        <v>8976439</v>
      </c>
    </row>
    <row r="116" spans="1:12" s="320" customFormat="1">
      <c r="A116" s="322"/>
      <c r="J116" s="320" t="s">
        <v>692</v>
      </c>
      <c r="L116" s="492">
        <f>$S$76+$S$77</f>
        <v>119656862</v>
      </c>
    </row>
    <row r="117" spans="1:12" s="320" customFormat="1">
      <c r="A117" s="322"/>
      <c r="J117" s="320" t="s">
        <v>693</v>
      </c>
      <c r="L117" s="492">
        <f>SUM($Q$65:$Q$73)</f>
        <v>595077</v>
      </c>
    </row>
    <row r="118" spans="1:12" s="320" customFormat="1">
      <c r="A118" s="322"/>
      <c r="J118" s="320" t="s">
        <v>694</v>
      </c>
      <c r="L118" s="492">
        <f>SUM($R$65:$R$73)</f>
        <v>68551</v>
      </c>
    </row>
    <row r="119" spans="1:12" s="320" customFormat="1">
      <c r="A119" s="322"/>
      <c r="J119" s="320" t="s">
        <v>695</v>
      </c>
      <c r="L119" s="492">
        <f>SUM($X$65:$X$74)</f>
        <v>742877179</v>
      </c>
    </row>
    <row r="120" spans="1:12" s="320" customFormat="1">
      <c r="A120" s="322"/>
      <c r="J120" s="320" t="s">
        <v>696</v>
      </c>
      <c r="L120" s="492">
        <f>$S$84</f>
        <v>53974307</v>
      </c>
    </row>
    <row r="121" spans="1:12" s="320" customFormat="1">
      <c r="A121" s="322"/>
      <c r="J121" s="320" t="s">
        <v>696</v>
      </c>
      <c r="L121" s="492">
        <f>$S$87</f>
        <v>-34962222</v>
      </c>
    </row>
    <row r="122" spans="1:12" s="320" customFormat="1">
      <c r="A122" s="322"/>
      <c r="J122" s="320" t="s">
        <v>697</v>
      </c>
      <c r="L122" s="443">
        <f>VLOOKUP(B2,Names!$B$10:$C$90,2,FALSE)</f>
        <v>412</v>
      </c>
    </row>
    <row r="123" spans="1:12" s="320" customFormat="1">
      <c r="A123" s="322"/>
      <c r="L123" s="898">
        <f>SUM($L$111:$L$122)</f>
        <v>2518090399</v>
      </c>
    </row>
    <row r="128" spans="1:12">
      <c r="L128" s="724"/>
    </row>
  </sheetData>
  <mergeCells count="27">
    <mergeCell ref="Q76:R76"/>
    <mergeCell ref="O60:S60"/>
    <mergeCell ref="W61:W64"/>
    <mergeCell ref="P105:V106"/>
    <mergeCell ref="P82:S82"/>
    <mergeCell ref="P100:V100"/>
    <mergeCell ref="P103:Q103"/>
    <mergeCell ref="R103:S103"/>
    <mergeCell ref="U103:V103"/>
    <mergeCell ref="R61:R64"/>
    <mergeCell ref="S61:S64"/>
    <mergeCell ref="X61:X64"/>
    <mergeCell ref="Y61:Y64"/>
    <mergeCell ref="U61:U64"/>
    <mergeCell ref="W60:Y60"/>
    <mergeCell ref="U19:Y19"/>
    <mergeCell ref="G64:K64"/>
    <mergeCell ref="P10:P11"/>
    <mergeCell ref="O61:O64"/>
    <mergeCell ref="P61:P64"/>
    <mergeCell ref="Q61:Q64"/>
    <mergeCell ref="O19:S19"/>
    <mergeCell ref="B2:F2"/>
    <mergeCell ref="B3:F3"/>
    <mergeCell ref="B4:F4"/>
    <mergeCell ref="B6:M6"/>
    <mergeCell ref="P4:Q4"/>
  </mergeCells>
  <conditionalFormatting sqref="D98:L98">
    <cfRule type="cellIs" dxfId="214" priority="15" stopIfTrue="1" operator="notEqual">
      <formula>#REF!</formula>
    </cfRule>
  </conditionalFormatting>
  <conditionalFormatting sqref="D99:M99">
    <cfRule type="cellIs" dxfId="213" priority="21" stopIfTrue="1" operator="notEqual">
      <formula>#REF!</formula>
    </cfRule>
  </conditionalFormatting>
  <conditionalFormatting sqref="G64:K64">
    <cfRule type="expression" dxfId="212" priority="14">
      <formula>$R$98&lt;&gt;0</formula>
    </cfRule>
    <cfRule type="expression" dxfId="211" priority="37">
      <formula>$T$93&gt;0</formula>
    </cfRule>
  </conditionalFormatting>
  <conditionalFormatting sqref="M15">
    <cfRule type="cellIs" dxfId="210" priority="16" stopIfTrue="1" operator="notEqual">
      <formula>SUM($M$10:$M$14)</formula>
    </cfRule>
  </conditionalFormatting>
  <conditionalFormatting sqref="M62">
    <cfRule type="cellIs" dxfId="209" priority="17" stopIfTrue="1" operator="notEqual">
      <formula>SUM($M$56:$M$61)</formula>
    </cfRule>
  </conditionalFormatting>
  <conditionalFormatting sqref="M77">
    <cfRule type="cellIs" dxfId="208" priority="20" stopIfTrue="1" operator="notEqual">
      <formula>SUM($M$65:$M$76)</formula>
    </cfRule>
  </conditionalFormatting>
  <conditionalFormatting sqref="M84">
    <cfRule type="cellIs" dxfId="207" priority="18" stopIfTrue="1" operator="notEqual">
      <formula>SUM($M$80:$M$83)</formula>
    </cfRule>
  </conditionalFormatting>
  <conditionalFormatting sqref="M89">
    <cfRule type="cellIs" dxfId="206" priority="19" stopIfTrue="1" operator="notEqual">
      <formula>SUM($M$87:$M$88)</formula>
    </cfRule>
  </conditionalFormatting>
  <conditionalFormatting sqref="O12">
    <cfRule type="expression" dxfId="205" priority="11">
      <formula>$Q$12&lt;&gt;$N$12</formula>
    </cfRule>
    <cfRule type="expression" dxfId="204" priority="60">
      <formula>$P$12&lt;&gt;$M$12</formula>
    </cfRule>
  </conditionalFormatting>
  <conditionalFormatting sqref="O13">
    <cfRule type="expression" dxfId="203" priority="12">
      <formula>$Q$13&lt;&gt;$N$13</formula>
    </cfRule>
    <cfRule type="expression" dxfId="202" priority="61">
      <formula>$P$13&lt;&gt;$M$13</formula>
    </cfRule>
  </conditionalFormatting>
  <conditionalFormatting sqref="O11:P11">
    <cfRule type="expression" dxfId="201" priority="13">
      <formula>#REF!&lt;&gt;$N$11</formula>
    </cfRule>
  </conditionalFormatting>
  <conditionalFormatting sqref="P76">
    <cfRule type="expression" dxfId="200" priority="5">
      <formula>$P$75&lt;&gt;$M$75</formula>
    </cfRule>
  </conditionalFormatting>
  <conditionalFormatting sqref="P94:P101 Q100:R100 U100:V100 S100:T102 U101 R102 S105:U106">
    <cfRule type="cellIs" dxfId="199" priority="6" stopIfTrue="1" operator="notEqual">
      <formula>#REF!</formula>
    </cfRule>
  </conditionalFormatting>
  <conditionalFormatting sqref="Q35">
    <cfRule type="expression" dxfId="198" priority="1">
      <formula>#REF!&lt;&gt;0</formula>
    </cfRule>
  </conditionalFormatting>
  <conditionalFormatting sqref="Q93:Q100 U93:W100 T95:T102 R99:S102 O93:O100 R95:R97 S95:S98 X95:AB102">
    <cfRule type="cellIs" dxfId="197" priority="38" stopIfTrue="1" operator="notEqual">
      <formula>#REF!</formula>
    </cfRule>
  </conditionalFormatting>
  <conditionalFormatting sqref="Q36:R36">
    <cfRule type="expression" dxfId="196" priority="3">
      <formula>#REF!&lt;&gt;#REF!</formula>
    </cfRule>
  </conditionalFormatting>
  <conditionalFormatting sqref="R35">
    <cfRule type="expression" dxfId="195" priority="2">
      <formula>#REF!&lt;&gt;0</formula>
    </cfRule>
  </conditionalFormatting>
  <conditionalFormatting sqref="S84 S87">
    <cfRule type="expression" dxfId="194" priority="7" stopIfTrue="1">
      <formula>$M$91&gt;=0</formula>
    </cfRule>
    <cfRule type="expression" priority="8">
      <formula>$M$91&lt;0</formula>
    </cfRule>
    <cfRule type="expression" dxfId="193" priority="29" stopIfTrue="1">
      <formula>$M$91&gt;=0</formula>
    </cfRule>
    <cfRule type="expression" priority="30">
      <formula>$M$91&lt;0</formula>
    </cfRule>
    <cfRule type="expression" dxfId="192" priority="56" stopIfTrue="1">
      <formula>$N$91&gt;=0</formula>
    </cfRule>
    <cfRule type="expression" priority="57">
      <formula>$N$91&lt;0</formula>
    </cfRule>
  </conditionalFormatting>
  <conditionalFormatting sqref="S91">
    <cfRule type="expression" priority="9" stopIfTrue="1">
      <formula>$N$91&lt;0</formula>
    </cfRule>
    <cfRule type="expression" dxfId="191" priority="10">
      <formula>$T$91&lt;&gt;0</formula>
    </cfRule>
    <cfRule type="expression" priority="31" stopIfTrue="1">
      <formula>$N$91&lt;0</formula>
    </cfRule>
    <cfRule type="expression" dxfId="190" priority="32">
      <formula>$T$91&lt;&gt;0</formula>
    </cfRule>
    <cfRule type="expression" priority="58" stopIfTrue="1">
      <formula>$N$91&lt;0</formula>
    </cfRule>
    <cfRule type="expression" dxfId="189" priority="59">
      <formula>$T$91&lt;&gt;0</formula>
    </cfRule>
  </conditionalFormatting>
  <conditionalFormatting sqref="Y78">
    <cfRule type="expression" dxfId="188" priority="4">
      <formula>$Y$77&lt;&gt;0</formula>
    </cfRule>
  </conditionalFormatting>
  <hyperlinks>
    <hyperlink ref="O2" location="Index!A1" display="Return to Index" xr:uid="{00000000-0004-0000-38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7C80"/>
    <pageSetUpPr fitToPage="1"/>
  </sheetPr>
  <dimension ref="A1:S783"/>
  <sheetViews>
    <sheetView showGridLines="0" zoomScale="85" zoomScaleNormal="85" workbookViewId="0">
      <pane xSplit="5" ySplit="10" topLeftCell="F17" activePane="bottomRight" state="frozen"/>
      <selection pane="topRight" activeCell="C36" sqref="C36"/>
      <selection pane="bottomLeft" activeCell="C36" sqref="C36"/>
      <selection pane="bottomRight" activeCell="H4" sqref="H4"/>
    </sheetView>
  </sheetViews>
  <sheetFormatPr defaultColWidth="9.109375" defaultRowHeight="13.2"/>
  <cols>
    <col min="1" max="1" width="6.88671875" style="10" customWidth="1"/>
    <col min="2" max="2" width="8.88671875" style="10" customWidth="1"/>
    <col min="3" max="3" width="8.109375" style="7" customWidth="1"/>
    <col min="4" max="4" width="6.6640625" style="7" customWidth="1"/>
    <col min="5" max="5" width="25.109375" style="7" customWidth="1"/>
    <col min="6" max="6" width="13.5546875" style="149" customWidth="1"/>
    <col min="7" max="7" width="15.33203125" style="7" customWidth="1"/>
    <col min="8" max="8" width="13.33203125" style="149" customWidth="1"/>
    <col min="9" max="9" width="14.33203125" style="7" customWidth="1"/>
    <col min="10" max="11" width="13.33203125" style="7" customWidth="1"/>
    <col min="12" max="12" width="17" style="7" customWidth="1"/>
    <col min="13" max="13" width="17.6640625" style="7" customWidth="1"/>
    <col min="14" max="14" width="14.88671875" style="7" customWidth="1"/>
    <col min="15" max="15" width="13.33203125" style="10" customWidth="1"/>
    <col min="16" max="16" width="4.88671875" style="7" customWidth="1"/>
    <col min="17" max="17" width="22.44140625" style="7" customWidth="1"/>
    <col min="18" max="18" width="20.109375" style="7" customWidth="1"/>
    <col min="19" max="19" width="16.44140625" style="7" customWidth="1"/>
    <col min="20" max="20" width="26" style="7" customWidth="1"/>
    <col min="21" max="16384" width="9.109375" style="7"/>
  </cols>
  <sheetData>
    <row r="1" spans="1:19" ht="13.8" thickBot="1">
      <c r="B1" s="7" t="s">
        <v>247</v>
      </c>
      <c r="F1" s="15"/>
      <c r="H1" s="16" t="s">
        <v>248</v>
      </c>
      <c r="I1" s="15"/>
      <c r="M1" s="162" t="s">
        <v>51</v>
      </c>
    </row>
    <row r="2" spans="1:19">
      <c r="F2" s="15"/>
      <c r="H2" s="16" t="s">
        <v>249</v>
      </c>
      <c r="I2" s="15"/>
    </row>
    <row r="3" spans="1:19">
      <c r="F3" s="15"/>
      <c r="H3" s="189" t="s">
        <v>250</v>
      </c>
      <c r="I3" s="15"/>
    </row>
    <row r="4" spans="1:19">
      <c r="B4" s="150" t="s">
        <v>221</v>
      </c>
      <c r="F4" s="15"/>
      <c r="H4" s="15"/>
      <c r="I4" s="15"/>
    </row>
    <row r="5" spans="1:19">
      <c r="C5" s="109"/>
      <c r="F5" s="15"/>
      <c r="H5" s="15"/>
      <c r="I5" s="15"/>
    </row>
    <row r="6" spans="1:19">
      <c r="C6" s="109"/>
      <c r="F6" s="15"/>
      <c r="H6" s="15"/>
      <c r="I6" s="15"/>
    </row>
    <row r="7" spans="1:19">
      <c r="A7" s="10" t="s">
        <v>222</v>
      </c>
      <c r="C7" s="109"/>
      <c r="F7" s="15"/>
      <c r="H7" s="15"/>
      <c r="I7" s="15"/>
    </row>
    <row r="8" spans="1:19">
      <c r="A8" s="10" t="s">
        <v>59</v>
      </c>
      <c r="C8" s="109"/>
      <c r="F8" s="7"/>
      <c r="H8" s="7"/>
    </row>
    <row r="9" spans="1:19" ht="15.75" customHeight="1">
      <c r="A9" s="10" t="s">
        <v>223</v>
      </c>
      <c r="C9" s="109"/>
      <c r="D9" s="7" t="s">
        <v>251</v>
      </c>
      <c r="F9" s="1114" t="s">
        <v>252</v>
      </c>
      <c r="G9" s="1115"/>
      <c r="H9" s="1114" t="s">
        <v>253</v>
      </c>
      <c r="I9" s="1115"/>
      <c r="J9" s="1114" t="s">
        <v>254</v>
      </c>
      <c r="K9" s="1115"/>
      <c r="Q9" s="1116" t="s">
        <v>14</v>
      </c>
      <c r="R9" s="1117"/>
      <c r="S9" s="1118"/>
    </row>
    <row r="10" spans="1:19" s="142" customFormat="1" ht="51.75" customHeight="1">
      <c r="A10" s="151" t="s">
        <v>227</v>
      </c>
      <c r="B10" s="151"/>
      <c r="C10" s="116" t="s">
        <v>99</v>
      </c>
      <c r="D10" s="116" t="s">
        <v>100</v>
      </c>
      <c r="E10" s="116"/>
      <c r="F10" s="152" t="s">
        <v>255</v>
      </c>
      <c r="G10" s="152" t="s">
        <v>256</v>
      </c>
      <c r="H10" s="152" t="s">
        <v>257</v>
      </c>
      <c r="I10" s="152" t="s">
        <v>258</v>
      </c>
      <c r="J10" s="152" t="s">
        <v>257</v>
      </c>
      <c r="K10" s="144" t="s">
        <v>259</v>
      </c>
      <c r="L10" s="153" t="s">
        <v>260</v>
      </c>
      <c r="M10" s="153" t="s">
        <v>261</v>
      </c>
      <c r="N10" s="143" t="s">
        <v>262</v>
      </c>
      <c r="O10" s="117"/>
      <c r="Q10" s="145" t="s">
        <v>16</v>
      </c>
      <c r="R10" s="145" t="s">
        <v>17</v>
      </c>
      <c r="S10" s="145" t="s">
        <v>18</v>
      </c>
    </row>
    <row r="11" spans="1:19" ht="12.75" customHeight="1">
      <c r="A11" s="10">
        <v>390</v>
      </c>
      <c r="C11" s="24" t="s">
        <v>110</v>
      </c>
      <c r="D11" s="137" t="str">
        <f t="shared" ref="D11:D22" si="0">$D$9</f>
        <v>FY 17</v>
      </c>
      <c r="E11" s="25" t="s">
        <v>112</v>
      </c>
      <c r="F11" s="11">
        <f>'SWM FGD'!$X$21</f>
        <v>28259863</v>
      </c>
      <c r="G11" s="12">
        <f>'SWM FGD'!$X$22</f>
        <v>2603253</v>
      </c>
      <c r="H11" s="11">
        <f>'SWM FGD'!$X$27</f>
        <v>236246</v>
      </c>
      <c r="I11" s="11">
        <f>'SWM FGD'!$X$30</f>
        <v>0</v>
      </c>
      <c r="J11" s="11">
        <f>'SWM FGD'!$X$35</f>
        <v>6687827</v>
      </c>
      <c r="K11" s="11">
        <f>'SWM FGD'!$X$38</f>
        <v>0</v>
      </c>
      <c r="L11" s="11">
        <f>'SWM FGD'!$X$43</f>
        <v>0</v>
      </c>
      <c r="M11" s="11">
        <f>'SWM FGD'!$X$47</f>
        <v>0</v>
      </c>
      <c r="N11" s="11">
        <f>'SWM FGD'!$Y$49</f>
        <v>37550943</v>
      </c>
      <c r="O11" s="154" t="str">
        <f t="shared" ref="O11:O18" si="1">IF((F11+G11+J11+K11+L11-M11)&lt;&gt;N11,"Error","Balanced")</f>
        <v>Balanced</v>
      </c>
      <c r="Q11" s="15" t="str">
        <f>'SWM FGD'!$P$103</f>
        <v>John Schmidt</v>
      </c>
      <c r="R11" s="15" t="str">
        <f>'SWM FGD'!$R$103</f>
        <v>214-648-0888</v>
      </c>
      <c r="S11" s="15" t="str">
        <f>'SWM FGD'!$U$103</f>
        <v>john.schmidt@utsouthwestern.edu</v>
      </c>
    </row>
    <row r="12" spans="1:19">
      <c r="A12" s="10">
        <v>400</v>
      </c>
      <c r="C12" s="24">
        <v>104952</v>
      </c>
      <c r="D12" s="137" t="str">
        <f t="shared" si="0"/>
        <v>FY 17</v>
      </c>
      <c r="E12" s="25" t="s">
        <v>128</v>
      </c>
      <c r="F12" s="12">
        <f>'MBG FGD'!$X$21</f>
        <v>51191427</v>
      </c>
      <c r="G12" s="12">
        <f>'MBG FGD'!$X$22</f>
        <v>5311457</v>
      </c>
      <c r="H12" s="12">
        <f>'MBG FGD'!$X$27</f>
        <v>871233</v>
      </c>
      <c r="I12" s="12">
        <f>'MBG FGD'!$X$30</f>
        <v>0</v>
      </c>
      <c r="J12" s="12">
        <f>'MBG FGD'!$X$35</f>
        <v>1256902</v>
      </c>
      <c r="K12" s="12">
        <f>'MBG FGD'!$X$38</f>
        <v>0</v>
      </c>
      <c r="L12" s="12">
        <f>'MBG FGD'!$X$43</f>
        <v>0</v>
      </c>
      <c r="M12" s="12">
        <f>'MBG FGD'!$X$47</f>
        <v>0</v>
      </c>
      <c r="N12" s="12">
        <f>'MBG FGD'!$Y$49</f>
        <v>57759786</v>
      </c>
      <c r="O12" s="154" t="str">
        <f t="shared" si="1"/>
        <v>Balanced</v>
      </c>
      <c r="Q12" s="15" t="str">
        <f>'MBG FGD'!$P$103</f>
        <v>Joshua Tucker</v>
      </c>
      <c r="R12" s="15">
        <f>'MBG FGD'!$R$103</f>
        <v>0</v>
      </c>
      <c r="S12" s="15" t="str">
        <f>'MBG FGD'!$U$103</f>
        <v>joatucker@utmb.edu</v>
      </c>
    </row>
    <row r="13" spans="1:19">
      <c r="A13" s="10">
        <v>410</v>
      </c>
      <c r="C13" s="24" t="s">
        <v>124</v>
      </c>
      <c r="D13" s="137" t="str">
        <f t="shared" si="0"/>
        <v>FY 17</v>
      </c>
      <c r="E13" s="25" t="s">
        <v>125</v>
      </c>
      <c r="F13" s="12">
        <f>'HSH FGD'!$X$21</f>
        <v>71796372</v>
      </c>
      <c r="G13" s="12">
        <f>'HSH FGD'!$X$22</f>
        <v>1839654</v>
      </c>
      <c r="H13" s="12">
        <f>'HSH FGD'!$X$27</f>
        <v>1051414</v>
      </c>
      <c r="I13" s="12">
        <f>'HSH FGD'!$X$30</f>
        <v>0</v>
      </c>
      <c r="J13" s="12">
        <f>'HSH FGD'!$X$35</f>
        <v>6929564</v>
      </c>
      <c r="K13" s="12">
        <f>'HSH FGD'!$X$38</f>
        <v>0</v>
      </c>
      <c r="L13" s="12">
        <f>'HSH FGD'!$X$43</f>
        <v>0</v>
      </c>
      <c r="M13" s="12">
        <f>'HSH FGD'!$X$47</f>
        <v>0</v>
      </c>
      <c r="N13" s="12">
        <f>'HSH FGD'!$Y$49</f>
        <v>80565590</v>
      </c>
      <c r="O13" s="154" t="str">
        <f t="shared" si="1"/>
        <v>Balanced</v>
      </c>
      <c r="Q13" s="15" t="str">
        <f>'HSH FGD'!$P$103</f>
        <v>Scott Barnett</v>
      </c>
      <c r="R13" s="15" t="str">
        <f>'HSH FGD'!$R$103</f>
        <v>713-500-4915</v>
      </c>
      <c r="S13" s="15" t="str">
        <f>'HSH FGD'!$U$103</f>
        <v>Scott.Barnett@uth.tmc.edu</v>
      </c>
    </row>
    <row r="14" spans="1:19">
      <c r="A14" s="10">
        <v>420</v>
      </c>
      <c r="C14" s="24" t="s">
        <v>113</v>
      </c>
      <c r="D14" s="137" t="str">
        <f t="shared" si="0"/>
        <v>FY 17</v>
      </c>
      <c r="E14" s="25" t="s">
        <v>114</v>
      </c>
      <c r="F14" s="12">
        <f>'HSSA FGD'!$X$21</f>
        <v>55639094</v>
      </c>
      <c r="G14" s="12">
        <f>'HSSA FGD'!$X$22</f>
        <v>3476784</v>
      </c>
      <c r="H14" s="12">
        <f>'HSSA FGD'!$X$27</f>
        <v>1597381</v>
      </c>
      <c r="I14" s="12">
        <f>'HSSA FGD'!$X$30</f>
        <v>0</v>
      </c>
      <c r="J14" s="12">
        <f>'HSSA FGD'!$X$35</f>
        <v>3430208</v>
      </c>
      <c r="K14" s="12">
        <f>'HSSA FGD'!$X$38</f>
        <v>0</v>
      </c>
      <c r="L14" s="12">
        <f>'HSSA FGD'!$X$43</f>
        <v>0</v>
      </c>
      <c r="M14" s="12">
        <f>'HSSA FGD'!$X$47</f>
        <v>0</v>
      </c>
      <c r="N14" s="12">
        <f>'HSSA FGD'!$Y$49</f>
        <v>62546086</v>
      </c>
      <c r="O14" s="154" t="str">
        <f t="shared" si="1"/>
        <v>Balanced</v>
      </c>
      <c r="Q14" s="15" t="str">
        <f>'HSSA FGD'!$P$103</f>
        <v>Yinwen Li</v>
      </c>
      <c r="R14" s="15" t="str">
        <f>'HSSA FGD'!$R$103</f>
        <v>210-562-6268</v>
      </c>
      <c r="S14" s="15" t="str">
        <f>'HSSA FGD'!$U$103</f>
        <v>liy2@uthscsa.edu</v>
      </c>
    </row>
    <row r="15" spans="1:19">
      <c r="A15" s="10">
        <v>430</v>
      </c>
      <c r="C15" s="24" t="s">
        <v>126</v>
      </c>
      <c r="D15" s="137" t="str">
        <f t="shared" si="0"/>
        <v>FY 17</v>
      </c>
      <c r="E15" s="25" t="s">
        <v>127</v>
      </c>
      <c r="F15" s="12">
        <f>'MDA FGD'!$X$21</f>
        <v>1833860</v>
      </c>
      <c r="G15" s="12">
        <f>'MDA FGD'!$X$22</f>
        <v>3545</v>
      </c>
      <c r="H15" s="12">
        <f>'MDA FGD'!$X$27</f>
        <v>1200</v>
      </c>
      <c r="I15" s="12">
        <f>'MDA FGD'!$X$30</f>
        <v>2345</v>
      </c>
      <c r="J15" s="12">
        <f>'MDA FGD'!$X$35</f>
        <v>245732</v>
      </c>
      <c r="K15" s="12">
        <f>'MDA FGD'!$X$38</f>
        <v>0</v>
      </c>
      <c r="L15" s="12">
        <f>'MDA FGD'!$X$43</f>
        <v>0</v>
      </c>
      <c r="M15" s="12">
        <f>'MDA FGD'!$X$47</f>
        <v>0</v>
      </c>
      <c r="N15" s="12">
        <f>'MDA FGD'!$Y$49</f>
        <v>2083137</v>
      </c>
      <c r="O15" s="154" t="str">
        <f t="shared" si="1"/>
        <v>Balanced</v>
      </c>
      <c r="Q15" s="15" t="str">
        <f>'MDA FGD'!$P$103</f>
        <v>Duy</v>
      </c>
      <c r="R15" s="15" t="str">
        <f>'MDA FGD'!$R$103</f>
        <v>713-745-8630</v>
      </c>
      <c r="S15" s="15" t="str">
        <f>'MDA FGD'!$U$103</f>
        <v>ddtran2@mdanderson.org</v>
      </c>
    </row>
    <row r="16" spans="1:19">
      <c r="A16" s="10">
        <v>440</v>
      </c>
      <c r="C16" s="190">
        <v>42439</v>
      </c>
      <c r="D16" s="137" t="str">
        <f t="shared" si="0"/>
        <v>FY 17</v>
      </c>
      <c r="E16" s="25" t="s">
        <v>120</v>
      </c>
      <c r="F16" s="12">
        <f>'THC FGD'!$X$21</f>
        <v>645312</v>
      </c>
      <c r="G16" s="12">
        <f>'THC FGD'!$X$22</f>
        <v>0</v>
      </c>
      <c r="H16" s="12">
        <f>'THC FGD'!$X$27</f>
        <v>0</v>
      </c>
      <c r="I16" s="12">
        <f>'THC FGD'!$X$30</f>
        <v>0</v>
      </c>
      <c r="J16" s="12">
        <f>'THC FGD'!$X$35</f>
        <v>0</v>
      </c>
      <c r="K16" s="12">
        <f>'THC FGD'!$X$38</f>
        <v>0</v>
      </c>
      <c r="L16" s="12">
        <f>'THC FGD'!$X$43</f>
        <v>0</v>
      </c>
      <c r="M16" s="12">
        <f>'THC FGD'!$X$47</f>
        <v>0</v>
      </c>
      <c r="N16" s="12">
        <f>'THC FGD'!$Y$49</f>
        <v>645312</v>
      </c>
      <c r="O16" s="154" t="str">
        <f t="shared" si="1"/>
        <v>Balanced</v>
      </c>
      <c r="Q16" s="15" t="str">
        <f>'THC FGD'!$P$103</f>
        <v>Bob Armstrong</v>
      </c>
      <c r="R16" s="15" t="str">
        <f>'THC FGD'!$R$103</f>
        <v>903-877-7710</v>
      </c>
      <c r="S16" s="15" t="str">
        <f>'THC FGD'!$U$103</f>
        <v>bob.armstrong@uthct.edu</v>
      </c>
    </row>
    <row r="17" spans="1:19">
      <c r="A17" s="10">
        <v>450</v>
      </c>
      <c r="C17" s="24" t="s">
        <v>115</v>
      </c>
      <c r="D17" s="137" t="str">
        <f t="shared" si="0"/>
        <v>FY 17</v>
      </c>
      <c r="E17" s="25" t="s">
        <v>116</v>
      </c>
      <c r="F17" s="12">
        <f>'TAMHSC FGD'!$X$21</f>
        <v>54055783</v>
      </c>
      <c r="G17" s="12">
        <f>'TAMHSC FGD'!$X$22</f>
        <v>5102910</v>
      </c>
      <c r="H17" s="12">
        <f>'TAMHSC FGD'!$X$27</f>
        <v>1584955</v>
      </c>
      <c r="I17" s="12">
        <f>'TAMHSC FGD'!$X$30</f>
        <v>0</v>
      </c>
      <c r="J17" s="12">
        <f>'TAMHSC FGD'!$X$35</f>
        <v>2560450</v>
      </c>
      <c r="K17" s="12">
        <f>'TAMHSC FGD'!$X$38</f>
        <v>0</v>
      </c>
      <c r="L17" s="12">
        <f>'TAMHSC FGD'!$X$43</f>
        <v>0</v>
      </c>
      <c r="M17" s="12">
        <f>'TAMHSC FGD'!$X$47</f>
        <v>0</v>
      </c>
      <c r="N17" s="12">
        <f>'TAMHSC FGD'!$Y$49</f>
        <v>61719143</v>
      </c>
      <c r="O17" s="154" t="str">
        <f t="shared" si="1"/>
        <v>Balanced</v>
      </c>
      <c r="Q17" s="15" t="str">
        <f>'TAMHSC FGD'!$P$103</f>
        <v>Tracy Crowley</v>
      </c>
      <c r="R17" s="15" t="str">
        <f>'TAMHSC FGD'!$R$103</f>
        <v>979-458-6077</v>
      </c>
      <c r="S17" s="15" t="str">
        <f>'TAMHSC FGD'!$U$103</f>
        <v>tcrowley@tamus.edu</v>
      </c>
    </row>
    <row r="18" spans="1:19">
      <c r="A18" s="10">
        <v>460</v>
      </c>
      <c r="C18" s="24" t="s">
        <v>117</v>
      </c>
      <c r="D18" s="137" t="str">
        <f t="shared" si="0"/>
        <v>FY 17</v>
      </c>
      <c r="E18" s="25" t="s">
        <v>118</v>
      </c>
      <c r="F18" s="12">
        <f>'UNTHSC1 FGD'!$X$21</f>
        <v>34477812</v>
      </c>
      <c r="G18" s="12">
        <f>'UNTHSC1 FGD'!$X$22</f>
        <v>2857286</v>
      </c>
      <c r="H18" s="12">
        <f>'UNTHSC1 FGD'!$X$27</f>
        <v>0</v>
      </c>
      <c r="I18" s="12">
        <f>'UNTHSC1 FGD'!$X$30</f>
        <v>0</v>
      </c>
      <c r="J18" s="12">
        <f>'UNTHSC1 FGD'!$X$35</f>
        <v>0</v>
      </c>
      <c r="K18" s="12">
        <f>'UNTHSC1 FGD'!$X$38</f>
        <v>2204182</v>
      </c>
      <c r="L18" s="12">
        <f>'UNTHSC1 FGD'!$X$43</f>
        <v>0</v>
      </c>
      <c r="M18" s="12">
        <f>'UNTHSC1 FGD'!$X$47</f>
        <v>0</v>
      </c>
      <c r="N18" s="12">
        <f>'UNTHSC1 FGD'!$Y$49</f>
        <v>39539280</v>
      </c>
      <c r="O18" s="154" t="str">
        <f t="shared" si="1"/>
        <v>Balanced</v>
      </c>
      <c r="Q18" s="15" t="str">
        <f>'UNTHSC1 FGD'!$P$103</f>
        <v>Julie Meisinger</v>
      </c>
      <c r="R18" s="15" t="str">
        <f>'UNTHSC1 FGD'!$R$103</f>
        <v>817-735-2609</v>
      </c>
      <c r="S18" s="15" t="str">
        <f>'UNTHSC1 FGD'!$U$103</f>
        <v>julie.meisinger@unthsc.edu</v>
      </c>
    </row>
    <row r="19" spans="1:19">
      <c r="A19" s="10">
        <v>470</v>
      </c>
      <c r="C19" s="190">
        <v>412</v>
      </c>
      <c r="D19" s="137" t="str">
        <f t="shared" si="0"/>
        <v>FY 17</v>
      </c>
      <c r="E19" s="25" t="s">
        <v>123</v>
      </c>
      <c r="F19" s="51">
        <f>'TTUHSC FGD'!$X$21</f>
        <v>71519865</v>
      </c>
      <c r="G19" s="51">
        <f>'TTUHSC FGD'!$X$22</f>
        <v>10327533</v>
      </c>
      <c r="H19" s="51">
        <f>'TTUHSC FGD'!$X$27</f>
        <v>3542463</v>
      </c>
      <c r="I19" s="51">
        <f>'TTUHSC FGD'!$X$30</f>
        <v>0</v>
      </c>
      <c r="J19" s="12">
        <f>'TTUHSC FGD'!$X$35</f>
        <v>3793657</v>
      </c>
      <c r="K19" s="12">
        <f>'TTUHSC FGD'!$X$38</f>
        <v>0</v>
      </c>
      <c r="L19" s="12">
        <f>'TTUHSC FGD'!$X$43</f>
        <v>0</v>
      </c>
      <c r="M19" s="12">
        <f>'TTUHSC FGD'!$X$47</f>
        <v>0</v>
      </c>
      <c r="N19" s="12">
        <f>'TTUHSC FGD'!$Y$49</f>
        <v>85641055</v>
      </c>
      <c r="O19" s="154" t="str">
        <f>IF((F19+G19+J19+K19+L19-M19)&lt;&gt;N19,"Error","Balanced")</f>
        <v>Balanced</v>
      </c>
      <c r="Q19" s="15" t="str">
        <f>'TTUHSC FGD'!$P$103</f>
        <v>Rebecca Aguilar</v>
      </c>
      <c r="R19" s="15" t="str">
        <f>'TTUHSC FGD'!$R$103</f>
        <v>806-743-7381</v>
      </c>
      <c r="S19" s="15" t="str">
        <f>'TTUHSC FGD'!$U$103</f>
        <v>rebecca.aguilar@ttuhsc.edu</v>
      </c>
    </row>
    <row r="20" spans="1:19">
      <c r="A20" s="10">
        <v>480</v>
      </c>
      <c r="C20" s="190">
        <v>862</v>
      </c>
      <c r="D20" s="137" t="str">
        <f t="shared" si="0"/>
        <v>FY 17</v>
      </c>
      <c r="E20" s="25" t="s">
        <v>243</v>
      </c>
      <c r="F20" s="51">
        <f>'TTUHSCEP FGD'!$X$21</f>
        <v>13256992</v>
      </c>
      <c r="G20" s="51">
        <f>'TTUHSCEP FGD'!$X$22</f>
        <v>2954414</v>
      </c>
      <c r="H20" s="51">
        <f>'TTUHSCEP FGD'!$X$27</f>
        <v>336609</v>
      </c>
      <c r="I20" s="51">
        <f>'TTUHSCEP FGD'!$X$30</f>
        <v>0</v>
      </c>
      <c r="J20" s="12">
        <f>'TTUHSCEP FGD'!$X$35</f>
        <v>238280</v>
      </c>
      <c r="K20" s="12">
        <f>'TTUHSCEP FGD'!$X$38</f>
        <v>0</v>
      </c>
      <c r="L20" s="12">
        <f>'TTUHSCEP FGD'!$X$43</f>
        <v>0</v>
      </c>
      <c r="M20" s="12">
        <f>'TTUHSCEP FGD'!$X$47</f>
        <v>0</v>
      </c>
      <c r="N20" s="12">
        <f>'TTUHSCEP FGD'!$Y$49</f>
        <v>16449686</v>
      </c>
      <c r="O20" s="154" t="str">
        <f t="shared" ref="O20:O22" si="2">IF((F20+G20+J20+K20+L20-M20)&lt;&gt;N20,"Error","Balanced")</f>
        <v>Balanced</v>
      </c>
      <c r="Q20" s="15" t="str">
        <f>'TTUHSCEP FGD'!$P$103</f>
        <v xml:space="preserve">Robert Ortega </v>
      </c>
      <c r="R20" s="15" t="str">
        <f>'TTUHSCEP FGD'!$R$103</f>
        <v>(915) 215 - 4378</v>
      </c>
      <c r="S20" s="15" t="str">
        <f>'TTUHSCEP FGD'!$U$103</f>
        <v>Robert.ortega@ttuhsc.edu</v>
      </c>
    </row>
    <row r="21" spans="1:19">
      <c r="A21" s="10">
        <v>500</v>
      </c>
      <c r="C21" s="190">
        <v>203599</v>
      </c>
      <c r="D21" s="137" t="str">
        <f t="shared" si="0"/>
        <v>FY 17</v>
      </c>
      <c r="E21" s="25" t="s">
        <v>245</v>
      </c>
      <c r="F21" s="51">
        <f>'RGVM FGD'!$X$21</f>
        <v>4843685</v>
      </c>
      <c r="G21" s="51">
        <f>'RGVM FGD'!$X$22</f>
        <v>101235</v>
      </c>
      <c r="H21" s="51">
        <f>'RGVM FGD'!$X$27</f>
        <v>77417</v>
      </c>
      <c r="I21" s="51">
        <f>'RGVM FGD'!$X$30</f>
        <v>0</v>
      </c>
      <c r="J21" s="12">
        <f>'RGVM FGD'!$X$35</f>
        <v>64059</v>
      </c>
      <c r="K21" s="12">
        <f>'RGVM FGD'!$X$38</f>
        <v>0</v>
      </c>
      <c r="L21" s="12">
        <f>'RGVM FGD'!$X$43</f>
        <v>0</v>
      </c>
      <c r="M21" s="12">
        <f>'RGVM FGD'!$X$47</f>
        <v>0</v>
      </c>
      <c r="N21" s="12">
        <f>'RGVM FGD'!$Y$49</f>
        <v>5008979</v>
      </c>
      <c r="O21" s="154" t="str">
        <f>IF((F21+G21+J21+K21+L21-M21)&lt;&gt;N21,"Error","Balanced")</f>
        <v>Balanced</v>
      </c>
      <c r="Q21" s="13" t="str">
        <f>'RGVM FGD'!$P$103</f>
        <v>Lilia M. St. Clair</v>
      </c>
      <c r="R21" s="15" t="str">
        <f>'RGVM FGD'!$R$103</f>
        <v>956-665-7906</v>
      </c>
      <c r="S21" s="15" t="str">
        <f>'RGVM FGD'!$U$103</f>
        <v>lilia.stclair@utrgv.edu</v>
      </c>
    </row>
    <row r="22" spans="1:19">
      <c r="A22" s="10">
        <v>510</v>
      </c>
      <c r="C22" s="190">
        <v>203658</v>
      </c>
      <c r="D22" s="137" t="str">
        <f t="shared" si="0"/>
        <v>FY 17</v>
      </c>
      <c r="E22" s="25" t="s">
        <v>244</v>
      </c>
      <c r="F22" s="51">
        <f>'AUSM FGD'!$X$21</f>
        <v>3489213</v>
      </c>
      <c r="G22" s="51">
        <f>'AUSM FGD'!$X$22</f>
        <v>1471585</v>
      </c>
      <c r="H22" s="51">
        <f>'AUSM FGD'!$X$27</f>
        <v>0</v>
      </c>
      <c r="I22" s="51">
        <f>'AUSM FGD'!$X$30</f>
        <v>0</v>
      </c>
      <c r="J22" s="12">
        <f>'AUSM FGD'!$X$35</f>
        <v>0</v>
      </c>
      <c r="K22" s="12">
        <f>'AUSM FGD'!$X$38</f>
        <v>0</v>
      </c>
      <c r="L22" s="12">
        <f>'AUSM FGD'!$X$43</f>
        <v>0</v>
      </c>
      <c r="M22" s="12">
        <f>'AUSM FGD'!$X$47</f>
        <v>0</v>
      </c>
      <c r="N22" s="12">
        <f>'AUSM FGD'!$Y$49</f>
        <v>4960798</v>
      </c>
      <c r="O22" s="154" t="str">
        <f t="shared" si="2"/>
        <v>Balanced</v>
      </c>
      <c r="Q22" s="13" t="str">
        <f>'AUSM FGD'!$P$103</f>
        <v>Marcy Lowther</v>
      </c>
      <c r="R22" s="15" t="str">
        <f>'AUSM FGD'!$R$103</f>
        <v>512-471-28008</v>
      </c>
      <c r="S22" s="15" t="str">
        <f>'AUSM FGD'!$U$103</f>
        <v>mlowther@austin.utexas.edu</v>
      </c>
    </row>
    <row r="23" spans="1:19">
      <c r="C23" s="24"/>
      <c r="D23" s="137"/>
      <c r="E23" s="25"/>
      <c r="F23" s="12"/>
      <c r="G23" s="12"/>
      <c r="H23" s="12"/>
      <c r="I23" s="12"/>
      <c r="J23" s="12"/>
      <c r="K23" s="12"/>
      <c r="L23" s="12"/>
      <c r="M23" s="12"/>
      <c r="N23" s="12"/>
      <c r="O23" s="154"/>
      <c r="Q23" s="15"/>
      <c r="R23" s="15"/>
      <c r="S23" s="15"/>
    </row>
    <row r="24" spans="1:19" ht="13.8" thickBot="1">
      <c r="A24" s="146"/>
      <c r="B24" s="146"/>
      <c r="C24" s="129"/>
      <c r="D24" s="146">
        <f>COUNTA(D11:D23)</f>
        <v>12</v>
      </c>
      <c r="E24" s="147" t="s">
        <v>129</v>
      </c>
      <c r="F24" s="155">
        <f t="shared" ref="F24:N24" si="3">SUM(F11:F23)</f>
        <v>391009278</v>
      </c>
      <c r="G24" s="156">
        <f t="shared" si="3"/>
        <v>36049656</v>
      </c>
      <c r="H24" s="155">
        <f t="shared" si="3"/>
        <v>9298918</v>
      </c>
      <c r="I24" s="155">
        <f t="shared" si="3"/>
        <v>2345</v>
      </c>
      <c r="J24" s="155">
        <f t="shared" si="3"/>
        <v>25206679</v>
      </c>
      <c r="K24" s="155">
        <f t="shared" si="3"/>
        <v>2204182</v>
      </c>
      <c r="L24" s="155">
        <f t="shared" si="3"/>
        <v>0</v>
      </c>
      <c r="M24" s="155">
        <f t="shared" si="3"/>
        <v>0</v>
      </c>
      <c r="N24" s="155">
        <f t="shared" si="3"/>
        <v>454469795</v>
      </c>
    </row>
    <row r="25" spans="1:19" s="15" customFormat="1" ht="13.8" thickTop="1">
      <c r="A25" s="14"/>
      <c r="B25" s="14"/>
      <c r="O25" s="14"/>
    </row>
    <row r="26" spans="1:19" s="15" customFormat="1">
      <c r="A26" s="14"/>
      <c r="B26" s="14"/>
      <c r="D26" s="15" t="s">
        <v>263</v>
      </c>
      <c r="O26" s="14"/>
    </row>
    <row r="27" spans="1:19" s="15" customFormat="1">
      <c r="A27" s="14"/>
      <c r="B27" s="14"/>
      <c r="O27" s="14"/>
    </row>
    <row r="28" spans="1:19" s="15" customFormat="1">
      <c r="A28" s="14"/>
      <c r="B28" s="14"/>
      <c r="O28" s="14"/>
    </row>
    <row r="29" spans="1:19" s="15" customFormat="1">
      <c r="A29" s="14"/>
      <c r="B29" s="14"/>
      <c r="O29" s="14"/>
    </row>
    <row r="30" spans="1:19" s="15" customFormat="1">
      <c r="A30" s="14"/>
      <c r="B30" s="14"/>
      <c r="O30" s="14"/>
    </row>
    <row r="31" spans="1:19" s="15" customFormat="1">
      <c r="A31" s="14"/>
      <c r="B31" s="14"/>
      <c r="O31" s="14"/>
    </row>
    <row r="32" spans="1:19" s="15" customFormat="1">
      <c r="A32" s="14"/>
      <c r="B32" s="14"/>
      <c r="O32" s="14"/>
    </row>
    <row r="33" spans="1:15" s="15" customFormat="1">
      <c r="A33" s="14"/>
      <c r="B33" s="14"/>
      <c r="O33" s="14"/>
    </row>
    <row r="34" spans="1:15" s="15" customFormat="1">
      <c r="A34" s="14"/>
      <c r="B34" s="14"/>
      <c r="O34" s="14"/>
    </row>
    <row r="35" spans="1:15" s="15" customFormat="1">
      <c r="A35" s="14"/>
      <c r="B35" s="14"/>
      <c r="O35" s="14"/>
    </row>
    <row r="36" spans="1:15" s="15" customFormat="1">
      <c r="A36" s="14"/>
      <c r="B36" s="14"/>
      <c r="O36" s="14"/>
    </row>
    <row r="37" spans="1:15" s="15" customFormat="1">
      <c r="A37" s="14"/>
      <c r="B37" s="14"/>
      <c r="O37" s="14"/>
    </row>
    <row r="38" spans="1:15" s="15" customFormat="1">
      <c r="A38" s="14"/>
      <c r="B38" s="14"/>
      <c r="C38" s="14"/>
      <c r="D38" s="17"/>
      <c r="O38" s="14"/>
    </row>
    <row r="39" spans="1:15" s="15" customFormat="1">
      <c r="A39" s="14"/>
      <c r="B39" s="14"/>
      <c r="C39" s="14"/>
      <c r="F39" s="28">
        <f>F43-F24</f>
        <v>-85003499</v>
      </c>
      <c r="G39" s="28">
        <f t="shared" ref="G39:N39" si="4">G43-G24</f>
        <v>-10257309</v>
      </c>
      <c r="H39" s="28">
        <f t="shared" si="4"/>
        <v>-2746491</v>
      </c>
      <c r="I39" s="28">
        <f t="shared" si="4"/>
        <v>8876</v>
      </c>
      <c r="J39" s="28">
        <f t="shared" si="4"/>
        <v>1487190</v>
      </c>
      <c r="K39" s="28">
        <f t="shared" si="4"/>
        <v>-416556</v>
      </c>
      <c r="L39" s="28">
        <f t="shared" si="4"/>
        <v>0</v>
      </c>
      <c r="M39" s="28">
        <f t="shared" si="4"/>
        <v>0</v>
      </c>
      <c r="N39" s="28">
        <f t="shared" si="4"/>
        <v>-94190174</v>
      </c>
      <c r="O39" s="14"/>
    </row>
    <row r="40" spans="1:15" s="15" customFormat="1">
      <c r="A40" s="14"/>
      <c r="B40" s="14"/>
      <c r="C40" s="7"/>
      <c r="D40" s="7"/>
      <c r="E40" s="7"/>
      <c r="F40" s="13"/>
      <c r="G40" s="13"/>
      <c r="O40" s="14"/>
    </row>
    <row r="41" spans="1:15" s="15" customFormat="1">
      <c r="A41" s="14"/>
      <c r="B41" s="14"/>
      <c r="C41" s="7"/>
      <c r="D41" s="7"/>
      <c r="E41" s="7"/>
      <c r="F41" s="13"/>
      <c r="G41" s="13"/>
      <c r="O41" s="14"/>
    </row>
    <row r="42" spans="1:15" s="15" customFormat="1">
      <c r="A42" s="14"/>
      <c r="B42" s="14"/>
      <c r="C42" s="7"/>
      <c r="D42" s="7"/>
      <c r="E42" s="7"/>
      <c r="F42" s="13"/>
      <c r="G42" s="13"/>
      <c r="O42" s="14"/>
    </row>
    <row r="43" spans="1:15" s="15" customFormat="1" ht="13.8" thickBot="1">
      <c r="A43" s="14"/>
      <c r="B43" s="14"/>
      <c r="C43" s="7"/>
      <c r="D43" s="7">
        <v>9</v>
      </c>
      <c r="E43" s="7" t="s">
        <v>129</v>
      </c>
      <c r="F43" s="155">
        <v>306005779</v>
      </c>
      <c r="G43" s="156">
        <v>25792347</v>
      </c>
      <c r="H43" s="155">
        <v>6552427</v>
      </c>
      <c r="I43" s="155">
        <v>11221</v>
      </c>
      <c r="J43" s="155">
        <v>26693869</v>
      </c>
      <c r="K43" s="155">
        <v>1787626</v>
      </c>
      <c r="L43" s="155">
        <v>0</v>
      </c>
      <c r="M43" s="155">
        <v>0</v>
      </c>
      <c r="N43" s="155">
        <v>360279621</v>
      </c>
      <c r="O43" s="14"/>
    </row>
    <row r="44" spans="1:15" s="15" customFormat="1" ht="13.8" thickTop="1">
      <c r="A44" s="14"/>
      <c r="B44" s="14"/>
      <c r="C44" s="7"/>
      <c r="D44" s="7"/>
      <c r="E44" s="7"/>
      <c r="F44" s="13"/>
      <c r="G44" s="13"/>
      <c r="O44" s="14"/>
    </row>
    <row r="45" spans="1:15" s="15" customFormat="1">
      <c r="A45" s="14"/>
      <c r="B45" s="14"/>
      <c r="C45" s="213"/>
      <c r="D45" s="7"/>
      <c r="E45" s="7"/>
      <c r="F45" s="13"/>
      <c r="G45" s="13"/>
      <c r="O45" s="14"/>
    </row>
    <row r="46" spans="1:15" s="15" customFormat="1">
      <c r="A46" s="14"/>
      <c r="B46" s="14"/>
      <c r="O46" s="14"/>
    </row>
    <row r="47" spans="1:15" s="15" customFormat="1">
      <c r="A47" s="14"/>
      <c r="B47" s="14"/>
      <c r="O47" s="14"/>
    </row>
    <row r="48" spans="1:15" s="15" customFormat="1">
      <c r="A48" s="14"/>
      <c r="B48" s="14"/>
      <c r="O48" s="14"/>
    </row>
    <row r="49" spans="1:15" s="15" customFormat="1">
      <c r="A49" s="14"/>
      <c r="B49" s="14"/>
      <c r="O49" s="14"/>
    </row>
    <row r="50" spans="1:15" s="15" customFormat="1">
      <c r="A50" s="14"/>
      <c r="B50" s="14"/>
      <c r="O50" s="14"/>
    </row>
    <row r="51" spans="1:15" s="15" customFormat="1">
      <c r="A51" s="14"/>
      <c r="B51" s="14"/>
      <c r="O51" s="14"/>
    </row>
    <row r="52" spans="1:15" s="15" customFormat="1">
      <c r="A52" s="14"/>
      <c r="B52" s="14"/>
      <c r="O52" s="14"/>
    </row>
    <row r="53" spans="1:15" s="15" customFormat="1">
      <c r="A53" s="14"/>
      <c r="B53" s="14"/>
      <c r="O53" s="14"/>
    </row>
    <row r="54" spans="1:15" s="15" customFormat="1">
      <c r="A54" s="14"/>
      <c r="B54" s="14"/>
      <c r="O54" s="14"/>
    </row>
    <row r="55" spans="1:15" s="15" customFormat="1">
      <c r="A55" s="14"/>
      <c r="B55" s="14"/>
      <c r="O55" s="14"/>
    </row>
    <row r="56" spans="1:15" s="15" customFormat="1">
      <c r="A56" s="14"/>
      <c r="B56" s="14"/>
      <c r="O56" s="14"/>
    </row>
    <row r="57" spans="1:15" s="15" customFormat="1">
      <c r="A57" s="14"/>
      <c r="B57" s="14"/>
      <c r="O57" s="14"/>
    </row>
    <row r="58" spans="1:15" s="15" customFormat="1">
      <c r="A58" s="14"/>
      <c r="B58" s="14"/>
      <c r="O58" s="14"/>
    </row>
    <row r="59" spans="1:15" s="15" customFormat="1">
      <c r="A59" s="14"/>
      <c r="B59" s="14"/>
      <c r="O59" s="14"/>
    </row>
    <row r="60" spans="1:15" s="15" customFormat="1">
      <c r="A60" s="14"/>
      <c r="B60" s="14"/>
      <c r="O60" s="14"/>
    </row>
    <row r="61" spans="1:15" s="15" customFormat="1">
      <c r="A61" s="14"/>
      <c r="B61" s="14"/>
      <c r="O61" s="14"/>
    </row>
    <row r="62" spans="1:15" s="15" customFormat="1">
      <c r="A62" s="14"/>
      <c r="B62" s="14"/>
      <c r="O62" s="14"/>
    </row>
    <row r="63" spans="1:15" s="15" customFormat="1">
      <c r="A63" s="14"/>
      <c r="B63" s="14"/>
      <c r="O63" s="14"/>
    </row>
    <row r="64" spans="1:15" s="15" customFormat="1">
      <c r="A64" s="14"/>
      <c r="B64" s="14"/>
      <c r="O64" s="14"/>
    </row>
    <row r="65" spans="1:15" s="15" customFormat="1">
      <c r="A65" s="14"/>
      <c r="B65" s="14"/>
      <c r="O65" s="14"/>
    </row>
    <row r="66" spans="1:15" s="15" customFormat="1">
      <c r="A66" s="14"/>
      <c r="B66" s="14"/>
      <c r="O66" s="14"/>
    </row>
    <row r="67" spans="1:15" s="15" customFormat="1">
      <c r="A67" s="14"/>
      <c r="B67" s="14"/>
      <c r="O67" s="14"/>
    </row>
    <row r="68" spans="1:15" s="15" customFormat="1">
      <c r="A68" s="14"/>
      <c r="B68" s="14"/>
      <c r="O68" s="14"/>
    </row>
    <row r="69" spans="1:15" s="15" customFormat="1">
      <c r="A69" s="14"/>
      <c r="B69" s="14"/>
      <c r="O69" s="14"/>
    </row>
    <row r="70" spans="1:15" s="15" customFormat="1">
      <c r="A70" s="14"/>
      <c r="B70" s="14"/>
      <c r="O70" s="14"/>
    </row>
    <row r="71" spans="1:15" s="15" customFormat="1">
      <c r="A71" s="14"/>
      <c r="B71" s="14"/>
      <c r="O71" s="14"/>
    </row>
    <row r="72" spans="1:15" s="15" customFormat="1">
      <c r="A72" s="14"/>
      <c r="B72" s="14"/>
      <c r="O72" s="14"/>
    </row>
    <row r="73" spans="1:15" s="15" customFormat="1">
      <c r="A73" s="14"/>
      <c r="B73" s="14"/>
      <c r="O73" s="14"/>
    </row>
    <row r="74" spans="1:15" s="15" customFormat="1">
      <c r="A74" s="14"/>
      <c r="B74" s="14"/>
      <c r="O74" s="14"/>
    </row>
    <row r="75" spans="1:15" s="15" customFormat="1">
      <c r="A75" s="14"/>
      <c r="B75" s="14"/>
      <c r="O75" s="14"/>
    </row>
    <row r="76" spans="1:15" s="15" customFormat="1">
      <c r="A76" s="14"/>
      <c r="B76" s="14"/>
      <c r="O76" s="14"/>
    </row>
    <row r="77" spans="1:15" s="15" customFormat="1">
      <c r="A77" s="14"/>
      <c r="B77" s="14"/>
      <c r="O77" s="14"/>
    </row>
    <row r="78" spans="1:15" s="15" customFormat="1">
      <c r="A78" s="14"/>
      <c r="B78" s="14"/>
      <c r="O78" s="14"/>
    </row>
    <row r="79" spans="1:15" s="15" customFormat="1">
      <c r="A79" s="14"/>
      <c r="B79" s="14"/>
      <c r="O79" s="14"/>
    </row>
    <row r="80" spans="1:15" s="15" customFormat="1">
      <c r="A80" s="14"/>
      <c r="B80" s="14"/>
      <c r="O80" s="14"/>
    </row>
    <row r="81" spans="1:15" s="15" customFormat="1">
      <c r="A81" s="14"/>
      <c r="B81" s="14"/>
      <c r="O81" s="14"/>
    </row>
    <row r="82" spans="1:15" s="15" customFormat="1">
      <c r="A82" s="14"/>
      <c r="B82" s="14"/>
      <c r="O82" s="14"/>
    </row>
    <row r="83" spans="1:15" s="15" customFormat="1">
      <c r="A83" s="14"/>
      <c r="B83" s="14"/>
      <c r="O83" s="14"/>
    </row>
    <row r="84" spans="1:15" s="15" customFormat="1">
      <c r="A84" s="14"/>
      <c r="B84" s="14"/>
      <c r="O84" s="14"/>
    </row>
    <row r="85" spans="1:15" s="15" customFormat="1">
      <c r="A85" s="14"/>
      <c r="B85" s="14"/>
      <c r="O85" s="14"/>
    </row>
    <row r="86" spans="1:15" s="15" customFormat="1">
      <c r="A86" s="14"/>
      <c r="B86" s="14"/>
      <c r="O86" s="14"/>
    </row>
    <row r="87" spans="1:15" s="15" customFormat="1">
      <c r="A87" s="14"/>
      <c r="B87" s="14"/>
      <c r="O87" s="14"/>
    </row>
    <row r="88" spans="1:15" s="15" customFormat="1">
      <c r="A88" s="14"/>
      <c r="B88" s="14"/>
      <c r="O88" s="14"/>
    </row>
    <row r="89" spans="1:15" s="15" customFormat="1">
      <c r="A89" s="14"/>
      <c r="B89" s="14"/>
      <c r="O89" s="14"/>
    </row>
    <row r="90" spans="1:15" s="15" customFormat="1">
      <c r="A90" s="14"/>
      <c r="B90" s="14"/>
      <c r="O90" s="14"/>
    </row>
    <row r="91" spans="1:15" s="15" customFormat="1">
      <c r="A91" s="14"/>
      <c r="B91" s="14"/>
      <c r="O91" s="14"/>
    </row>
    <row r="92" spans="1:15" s="15" customFormat="1">
      <c r="A92" s="14"/>
      <c r="B92" s="14"/>
      <c r="O92" s="14"/>
    </row>
    <row r="93" spans="1:15" s="15" customFormat="1">
      <c r="A93" s="14"/>
      <c r="B93" s="14"/>
      <c r="O93" s="14"/>
    </row>
    <row r="94" spans="1:15" s="15" customFormat="1">
      <c r="A94" s="14"/>
      <c r="B94" s="14"/>
      <c r="O94" s="14"/>
    </row>
    <row r="95" spans="1:15" s="15" customFormat="1">
      <c r="A95" s="14"/>
      <c r="B95" s="14"/>
      <c r="O95" s="14"/>
    </row>
    <row r="96" spans="1:15" s="15" customFormat="1">
      <c r="A96" s="14"/>
      <c r="B96" s="14"/>
      <c r="O96" s="14"/>
    </row>
    <row r="97" spans="1:15" s="15" customFormat="1">
      <c r="A97" s="14"/>
      <c r="B97" s="14"/>
      <c r="O97" s="14"/>
    </row>
    <row r="98" spans="1:15" s="15" customFormat="1">
      <c r="A98" s="14"/>
      <c r="B98" s="14"/>
      <c r="O98" s="14"/>
    </row>
    <row r="99" spans="1:15" s="15" customFormat="1">
      <c r="A99" s="14"/>
      <c r="B99" s="14"/>
      <c r="O99" s="14"/>
    </row>
    <row r="100" spans="1:15" s="15" customFormat="1">
      <c r="A100" s="14"/>
      <c r="B100" s="14"/>
      <c r="O100" s="14"/>
    </row>
    <row r="101" spans="1:15" s="15" customFormat="1">
      <c r="A101" s="14"/>
      <c r="B101" s="14"/>
      <c r="O101" s="14"/>
    </row>
    <row r="102" spans="1:15" s="15" customFormat="1">
      <c r="A102" s="14"/>
      <c r="B102" s="14"/>
      <c r="O102" s="14"/>
    </row>
    <row r="103" spans="1:15" s="15" customFormat="1">
      <c r="A103" s="14"/>
      <c r="B103" s="14"/>
      <c r="O103" s="14"/>
    </row>
    <row r="104" spans="1:15" s="15" customFormat="1">
      <c r="A104" s="14"/>
      <c r="B104" s="14"/>
      <c r="O104" s="14"/>
    </row>
    <row r="105" spans="1:15" s="15" customFormat="1">
      <c r="A105" s="14"/>
      <c r="B105" s="14"/>
      <c r="O105" s="14"/>
    </row>
    <row r="106" spans="1:15" s="15" customFormat="1">
      <c r="A106" s="14"/>
      <c r="B106" s="14"/>
      <c r="O106" s="14"/>
    </row>
    <row r="107" spans="1:15" s="15" customFormat="1">
      <c r="A107" s="14"/>
      <c r="B107" s="14"/>
      <c r="O107" s="14"/>
    </row>
    <row r="108" spans="1:15" s="15" customFormat="1">
      <c r="A108" s="14"/>
      <c r="B108" s="14"/>
      <c r="O108" s="14"/>
    </row>
    <row r="109" spans="1:15" s="15" customFormat="1">
      <c r="A109" s="14"/>
      <c r="B109" s="14"/>
      <c r="O109" s="14"/>
    </row>
    <row r="110" spans="1:15" s="15" customFormat="1">
      <c r="A110" s="14"/>
      <c r="B110" s="14"/>
      <c r="O110" s="14"/>
    </row>
    <row r="111" spans="1:15" s="15" customFormat="1">
      <c r="A111" s="14"/>
      <c r="B111" s="14"/>
      <c r="O111" s="14"/>
    </row>
    <row r="112" spans="1:15" s="15" customFormat="1">
      <c r="A112" s="14"/>
      <c r="B112" s="14"/>
      <c r="O112" s="14"/>
    </row>
    <row r="113" spans="1:15" s="15" customFormat="1">
      <c r="A113" s="14"/>
      <c r="B113" s="14"/>
      <c r="O113" s="14"/>
    </row>
    <row r="114" spans="1:15" s="15" customFormat="1">
      <c r="A114" s="14"/>
      <c r="B114" s="14"/>
      <c r="O114" s="14"/>
    </row>
    <row r="115" spans="1:15" s="15" customFormat="1">
      <c r="A115" s="14"/>
      <c r="B115" s="14"/>
      <c r="O115" s="14"/>
    </row>
    <row r="116" spans="1:15" s="15" customFormat="1">
      <c r="A116" s="14"/>
      <c r="B116" s="14"/>
      <c r="O116" s="14"/>
    </row>
    <row r="117" spans="1:15" s="15" customFormat="1">
      <c r="A117" s="14"/>
      <c r="B117" s="14"/>
      <c r="O117" s="14"/>
    </row>
    <row r="118" spans="1:15" s="15" customFormat="1">
      <c r="A118" s="14"/>
      <c r="B118" s="14"/>
      <c r="O118" s="14"/>
    </row>
    <row r="119" spans="1:15" s="15" customFormat="1">
      <c r="A119" s="14"/>
      <c r="B119" s="14"/>
      <c r="O119" s="14"/>
    </row>
    <row r="120" spans="1:15" s="15" customFormat="1">
      <c r="A120" s="14"/>
      <c r="B120" s="14"/>
      <c r="O120" s="14"/>
    </row>
    <row r="121" spans="1:15" s="15" customFormat="1">
      <c r="A121" s="14"/>
      <c r="B121" s="14"/>
      <c r="O121" s="14"/>
    </row>
    <row r="122" spans="1:15" s="15" customFormat="1">
      <c r="A122" s="14"/>
      <c r="B122" s="14"/>
      <c r="O122" s="14"/>
    </row>
    <row r="123" spans="1:15" s="15" customFormat="1">
      <c r="A123" s="14"/>
      <c r="B123" s="14"/>
      <c r="O123" s="14"/>
    </row>
    <row r="124" spans="1:15" s="15" customFormat="1">
      <c r="A124" s="14"/>
      <c r="B124" s="14"/>
      <c r="O124" s="14"/>
    </row>
    <row r="125" spans="1:15" s="15" customFormat="1">
      <c r="A125" s="14"/>
      <c r="B125" s="14"/>
      <c r="O125" s="14"/>
    </row>
    <row r="126" spans="1:15" s="15" customFormat="1">
      <c r="A126" s="14"/>
      <c r="B126" s="14"/>
      <c r="O126" s="14"/>
    </row>
    <row r="127" spans="1:15" s="15" customFormat="1">
      <c r="A127" s="14"/>
      <c r="B127" s="14"/>
      <c r="O127" s="14"/>
    </row>
    <row r="128" spans="1:15" s="15" customFormat="1">
      <c r="A128" s="14"/>
      <c r="B128" s="14"/>
      <c r="O128" s="14"/>
    </row>
    <row r="129" spans="1:15" s="15" customFormat="1">
      <c r="A129" s="14"/>
      <c r="B129" s="14"/>
      <c r="O129" s="14"/>
    </row>
    <row r="130" spans="1:15" s="15" customFormat="1">
      <c r="A130" s="14"/>
      <c r="B130" s="14"/>
      <c r="O130" s="14"/>
    </row>
    <row r="131" spans="1:15" s="15" customFormat="1">
      <c r="A131" s="14"/>
      <c r="B131" s="14"/>
      <c r="O131" s="14"/>
    </row>
    <row r="132" spans="1:15" s="15" customFormat="1">
      <c r="A132" s="14"/>
      <c r="B132" s="14"/>
      <c r="O132" s="14"/>
    </row>
    <row r="133" spans="1:15" s="15" customFormat="1">
      <c r="A133" s="14"/>
      <c r="B133" s="14"/>
      <c r="O133" s="14"/>
    </row>
    <row r="134" spans="1:15" s="15" customFormat="1">
      <c r="A134" s="14"/>
      <c r="B134" s="14"/>
      <c r="O134" s="14"/>
    </row>
    <row r="135" spans="1:15" s="15" customFormat="1">
      <c r="A135" s="14"/>
      <c r="B135" s="14"/>
      <c r="O135" s="14"/>
    </row>
    <row r="136" spans="1:15" s="15" customFormat="1">
      <c r="A136" s="14"/>
      <c r="B136" s="14"/>
      <c r="O136" s="14"/>
    </row>
    <row r="137" spans="1:15" s="15" customFormat="1">
      <c r="A137" s="14"/>
      <c r="B137" s="14"/>
      <c r="O137" s="14"/>
    </row>
    <row r="138" spans="1:15" s="15" customFormat="1">
      <c r="A138" s="14"/>
      <c r="B138" s="14"/>
      <c r="O138" s="14"/>
    </row>
    <row r="139" spans="1:15" s="15" customFormat="1">
      <c r="A139" s="14"/>
      <c r="B139" s="14"/>
      <c r="O139" s="14"/>
    </row>
    <row r="140" spans="1:15" s="15" customFormat="1">
      <c r="A140" s="14"/>
      <c r="B140" s="14"/>
      <c r="O140" s="14"/>
    </row>
    <row r="141" spans="1:15" s="15" customFormat="1">
      <c r="A141" s="14"/>
      <c r="B141" s="14"/>
      <c r="O141" s="14"/>
    </row>
    <row r="142" spans="1:15" s="15" customFormat="1">
      <c r="A142" s="14"/>
      <c r="B142" s="14"/>
      <c r="O142" s="14"/>
    </row>
    <row r="143" spans="1:15" s="15" customFormat="1">
      <c r="A143" s="14"/>
      <c r="B143" s="14"/>
      <c r="O143" s="14"/>
    </row>
    <row r="144" spans="1:15" s="15" customFormat="1">
      <c r="A144" s="14"/>
      <c r="B144" s="14"/>
      <c r="O144" s="14"/>
    </row>
    <row r="145" spans="1:15" s="15" customFormat="1">
      <c r="A145" s="14"/>
      <c r="B145" s="14"/>
      <c r="O145" s="14"/>
    </row>
    <row r="146" spans="1:15" s="15" customFormat="1">
      <c r="A146" s="14"/>
      <c r="B146" s="14"/>
      <c r="O146" s="14"/>
    </row>
    <row r="147" spans="1:15" s="15" customFormat="1">
      <c r="A147" s="14"/>
      <c r="B147" s="14"/>
      <c r="O147" s="14"/>
    </row>
    <row r="148" spans="1:15" s="15" customFormat="1">
      <c r="A148" s="14"/>
      <c r="B148" s="14"/>
      <c r="O148" s="14"/>
    </row>
    <row r="149" spans="1:15" s="15" customFormat="1">
      <c r="A149" s="14"/>
      <c r="B149" s="14"/>
      <c r="O149" s="14"/>
    </row>
    <row r="150" spans="1:15" s="15" customFormat="1">
      <c r="A150" s="14"/>
      <c r="B150" s="14"/>
      <c r="O150" s="14"/>
    </row>
    <row r="151" spans="1:15" s="15" customFormat="1">
      <c r="A151" s="14"/>
      <c r="B151" s="14"/>
      <c r="O151" s="14"/>
    </row>
    <row r="152" spans="1:15" s="15" customFormat="1">
      <c r="A152" s="14"/>
      <c r="B152" s="14"/>
      <c r="O152" s="14"/>
    </row>
    <row r="153" spans="1:15" s="15" customFormat="1">
      <c r="A153" s="14"/>
      <c r="B153" s="14"/>
      <c r="O153" s="14"/>
    </row>
    <row r="154" spans="1:15" s="15" customFormat="1">
      <c r="A154" s="14"/>
      <c r="B154" s="14"/>
      <c r="O154" s="14"/>
    </row>
    <row r="155" spans="1:15" s="15" customFormat="1">
      <c r="A155" s="14"/>
      <c r="B155" s="14"/>
      <c r="O155" s="14"/>
    </row>
    <row r="156" spans="1:15" s="15" customFormat="1">
      <c r="A156" s="14"/>
      <c r="B156" s="14"/>
      <c r="O156" s="14"/>
    </row>
    <row r="157" spans="1:15" s="15" customFormat="1">
      <c r="A157" s="14"/>
      <c r="B157" s="14"/>
      <c r="O157" s="14"/>
    </row>
    <row r="158" spans="1:15" s="15" customFormat="1">
      <c r="A158" s="14"/>
      <c r="B158" s="14"/>
      <c r="O158" s="14"/>
    </row>
    <row r="159" spans="1:15" s="15" customFormat="1">
      <c r="A159" s="14"/>
      <c r="B159" s="14"/>
      <c r="O159" s="14"/>
    </row>
    <row r="160" spans="1:15" s="15" customFormat="1">
      <c r="A160" s="14"/>
      <c r="B160" s="14"/>
      <c r="O160" s="14"/>
    </row>
    <row r="161" spans="1:15" s="15" customFormat="1">
      <c r="A161" s="14"/>
      <c r="B161" s="14"/>
      <c r="O161" s="14"/>
    </row>
    <row r="162" spans="1:15" s="15" customFormat="1">
      <c r="A162" s="14"/>
      <c r="B162" s="14"/>
      <c r="O162" s="14"/>
    </row>
    <row r="163" spans="1:15" s="15" customFormat="1">
      <c r="A163" s="14"/>
      <c r="B163" s="14"/>
      <c r="O163" s="14"/>
    </row>
    <row r="164" spans="1:15" s="15" customFormat="1">
      <c r="A164" s="14"/>
      <c r="B164" s="14"/>
      <c r="O164" s="14"/>
    </row>
    <row r="165" spans="1:15" s="15" customFormat="1">
      <c r="A165" s="14"/>
      <c r="B165" s="14"/>
      <c r="O165" s="14"/>
    </row>
    <row r="166" spans="1:15" s="15" customFormat="1">
      <c r="A166" s="14"/>
      <c r="B166" s="14"/>
      <c r="O166" s="14"/>
    </row>
    <row r="167" spans="1:15" s="15" customFormat="1">
      <c r="A167" s="14"/>
      <c r="B167" s="14"/>
      <c r="O167" s="14"/>
    </row>
    <row r="168" spans="1:15" s="15" customFormat="1">
      <c r="A168" s="14"/>
      <c r="B168" s="14"/>
      <c r="O168" s="14"/>
    </row>
    <row r="169" spans="1:15" s="15" customFormat="1">
      <c r="A169" s="14"/>
      <c r="B169" s="14"/>
      <c r="O169" s="14"/>
    </row>
    <row r="170" spans="1:15" s="15" customFormat="1">
      <c r="A170" s="14"/>
      <c r="B170" s="14"/>
      <c r="O170" s="14"/>
    </row>
    <row r="171" spans="1:15" s="15" customFormat="1">
      <c r="A171" s="14"/>
      <c r="B171" s="14"/>
      <c r="O171" s="14"/>
    </row>
    <row r="172" spans="1:15" s="15" customFormat="1">
      <c r="A172" s="14"/>
      <c r="B172" s="14"/>
      <c r="O172" s="14"/>
    </row>
    <row r="173" spans="1:15" s="15" customFormat="1">
      <c r="A173" s="14"/>
      <c r="B173" s="14"/>
      <c r="O173" s="14"/>
    </row>
    <row r="174" spans="1:15" s="15" customFormat="1">
      <c r="A174" s="14"/>
      <c r="B174" s="14"/>
      <c r="O174" s="14"/>
    </row>
    <row r="175" spans="1:15" s="15" customFormat="1">
      <c r="A175" s="14"/>
      <c r="B175" s="14"/>
      <c r="O175" s="14"/>
    </row>
    <row r="176" spans="1:15" s="15" customFormat="1">
      <c r="A176" s="14"/>
      <c r="B176" s="14"/>
      <c r="O176" s="14"/>
    </row>
    <row r="177" spans="1:15" s="15" customFormat="1">
      <c r="A177" s="14"/>
      <c r="B177" s="14"/>
      <c r="O177" s="14"/>
    </row>
    <row r="178" spans="1:15" s="15" customFormat="1">
      <c r="A178" s="14"/>
      <c r="B178" s="14"/>
      <c r="O178" s="14"/>
    </row>
    <row r="179" spans="1:15" s="15" customFormat="1">
      <c r="A179" s="14"/>
      <c r="B179" s="14"/>
      <c r="O179" s="14"/>
    </row>
    <row r="180" spans="1:15" s="15" customFormat="1">
      <c r="A180" s="14"/>
      <c r="B180" s="14"/>
      <c r="O180" s="14"/>
    </row>
    <row r="181" spans="1:15" s="15" customFormat="1">
      <c r="A181" s="14"/>
      <c r="B181" s="14"/>
      <c r="O181" s="14"/>
    </row>
    <row r="182" spans="1:15" s="15" customFormat="1">
      <c r="A182" s="14"/>
      <c r="B182" s="14"/>
      <c r="O182" s="14"/>
    </row>
    <row r="183" spans="1:15" s="15" customFormat="1">
      <c r="A183" s="14"/>
      <c r="B183" s="14"/>
      <c r="O183" s="14"/>
    </row>
    <row r="184" spans="1:15" s="15" customFormat="1">
      <c r="A184" s="14"/>
      <c r="B184" s="14"/>
      <c r="O184" s="14"/>
    </row>
    <row r="185" spans="1:15" s="15" customFormat="1">
      <c r="A185" s="14"/>
      <c r="B185" s="14"/>
      <c r="O185" s="14"/>
    </row>
    <row r="186" spans="1:15" s="15" customFormat="1">
      <c r="A186" s="14"/>
      <c r="B186" s="14"/>
      <c r="O186" s="14"/>
    </row>
    <row r="187" spans="1:15" s="15" customFormat="1">
      <c r="A187" s="14"/>
      <c r="B187" s="14"/>
      <c r="O187" s="14"/>
    </row>
    <row r="188" spans="1:15" s="15" customFormat="1">
      <c r="A188" s="14"/>
      <c r="B188" s="14"/>
      <c r="O188" s="14"/>
    </row>
    <row r="189" spans="1:15" s="15" customFormat="1">
      <c r="A189" s="14"/>
      <c r="B189" s="14"/>
      <c r="O189" s="14"/>
    </row>
    <row r="190" spans="1:15" s="15" customFormat="1">
      <c r="A190" s="14"/>
      <c r="B190" s="14"/>
      <c r="O190" s="14"/>
    </row>
    <row r="191" spans="1:15" s="15" customFormat="1">
      <c r="A191" s="14"/>
      <c r="B191" s="14"/>
      <c r="O191" s="14"/>
    </row>
    <row r="192" spans="1:15" s="15" customFormat="1">
      <c r="A192" s="14"/>
      <c r="B192" s="14"/>
      <c r="O192" s="14"/>
    </row>
    <row r="193" spans="1:15" s="15" customFormat="1">
      <c r="A193" s="14"/>
      <c r="B193" s="14"/>
      <c r="O193" s="14"/>
    </row>
    <row r="194" spans="1:15" s="15" customFormat="1">
      <c r="A194" s="14"/>
      <c r="B194" s="14"/>
      <c r="O194" s="14"/>
    </row>
    <row r="195" spans="1:15" s="15" customFormat="1">
      <c r="A195" s="14"/>
      <c r="B195" s="14"/>
      <c r="O195" s="14"/>
    </row>
    <row r="196" spans="1:15" s="15" customFormat="1">
      <c r="A196" s="14"/>
      <c r="B196" s="14"/>
      <c r="O196" s="14"/>
    </row>
    <row r="197" spans="1:15" s="15" customFormat="1">
      <c r="A197" s="14"/>
      <c r="B197" s="14"/>
      <c r="O197" s="14"/>
    </row>
    <row r="198" spans="1:15" s="15" customFormat="1">
      <c r="A198" s="14"/>
      <c r="B198" s="14"/>
      <c r="O198" s="14"/>
    </row>
    <row r="199" spans="1:15" s="15" customFormat="1">
      <c r="A199" s="14"/>
      <c r="B199" s="14"/>
      <c r="O199" s="14"/>
    </row>
    <row r="200" spans="1:15" s="15" customFormat="1">
      <c r="A200" s="14"/>
      <c r="B200" s="14"/>
      <c r="O200" s="14"/>
    </row>
    <row r="201" spans="1:15" s="15" customFormat="1">
      <c r="A201" s="14"/>
      <c r="B201" s="14"/>
      <c r="O201" s="14"/>
    </row>
    <row r="202" spans="1:15" s="15" customFormat="1">
      <c r="A202" s="14"/>
      <c r="B202" s="14"/>
      <c r="O202" s="14"/>
    </row>
    <row r="203" spans="1:15" s="15" customFormat="1">
      <c r="A203" s="14"/>
      <c r="B203" s="14"/>
      <c r="O203" s="14"/>
    </row>
    <row r="204" spans="1:15" s="15" customFormat="1">
      <c r="A204" s="14"/>
      <c r="B204" s="14"/>
      <c r="O204" s="14"/>
    </row>
    <row r="205" spans="1:15" s="15" customFormat="1">
      <c r="A205" s="14"/>
      <c r="B205" s="14"/>
      <c r="O205" s="14"/>
    </row>
    <row r="206" spans="1:15" s="15" customFormat="1">
      <c r="A206" s="14"/>
      <c r="B206" s="14"/>
      <c r="O206" s="14"/>
    </row>
    <row r="207" spans="1:15" s="15" customFormat="1">
      <c r="A207" s="14"/>
      <c r="B207" s="14"/>
      <c r="O207" s="14"/>
    </row>
    <row r="208" spans="1:15" s="15" customFormat="1">
      <c r="A208" s="14"/>
      <c r="B208" s="14"/>
      <c r="O208" s="14"/>
    </row>
    <row r="209" spans="1:15" s="15" customFormat="1">
      <c r="A209" s="14"/>
      <c r="B209" s="14"/>
      <c r="O209" s="14"/>
    </row>
    <row r="210" spans="1:15" s="15" customFormat="1">
      <c r="A210" s="14"/>
      <c r="B210" s="14"/>
      <c r="O210" s="14"/>
    </row>
    <row r="211" spans="1:15" s="15" customFormat="1">
      <c r="A211" s="14"/>
      <c r="B211" s="14"/>
      <c r="O211" s="14"/>
    </row>
    <row r="212" spans="1:15" s="15" customFormat="1">
      <c r="A212" s="14"/>
      <c r="B212" s="14"/>
      <c r="O212" s="14"/>
    </row>
    <row r="213" spans="1:15" s="15" customFormat="1">
      <c r="A213" s="14"/>
      <c r="B213" s="14"/>
      <c r="O213" s="14"/>
    </row>
    <row r="214" spans="1:15" s="15" customFormat="1">
      <c r="A214" s="14"/>
      <c r="B214" s="14"/>
      <c r="O214" s="14"/>
    </row>
    <row r="215" spans="1:15" s="15" customFormat="1">
      <c r="A215" s="14"/>
      <c r="B215" s="14"/>
      <c r="O215" s="14"/>
    </row>
    <row r="216" spans="1:15" s="15" customFormat="1">
      <c r="A216" s="14"/>
      <c r="B216" s="14"/>
      <c r="O216" s="14"/>
    </row>
    <row r="217" spans="1:15" s="15" customFormat="1">
      <c r="A217" s="14"/>
      <c r="B217" s="14"/>
      <c r="O217" s="14"/>
    </row>
    <row r="218" spans="1:15" s="15" customFormat="1">
      <c r="A218" s="14"/>
      <c r="B218" s="14"/>
      <c r="O218" s="14"/>
    </row>
    <row r="219" spans="1:15" s="15" customFormat="1">
      <c r="A219" s="14"/>
      <c r="B219" s="14"/>
      <c r="O219" s="14"/>
    </row>
    <row r="220" spans="1:15" s="15" customFormat="1">
      <c r="A220" s="14"/>
      <c r="B220" s="14"/>
      <c r="O220" s="14"/>
    </row>
    <row r="221" spans="1:15" s="15" customFormat="1">
      <c r="A221" s="14"/>
      <c r="B221" s="14"/>
      <c r="O221" s="14"/>
    </row>
    <row r="222" spans="1:15" s="15" customFormat="1">
      <c r="A222" s="14"/>
      <c r="B222" s="14"/>
      <c r="O222" s="14"/>
    </row>
    <row r="223" spans="1:15" s="15" customFormat="1">
      <c r="A223" s="14"/>
      <c r="B223" s="14"/>
      <c r="O223" s="14"/>
    </row>
    <row r="224" spans="1:15" s="15" customFormat="1">
      <c r="A224" s="14"/>
      <c r="B224" s="14"/>
      <c r="O224" s="14"/>
    </row>
    <row r="225" spans="1:15" s="15" customFormat="1">
      <c r="A225" s="14"/>
      <c r="B225" s="14"/>
      <c r="O225" s="14"/>
    </row>
    <row r="226" spans="1:15" s="15" customFormat="1">
      <c r="A226" s="14"/>
      <c r="B226" s="14"/>
      <c r="O226" s="14"/>
    </row>
    <row r="227" spans="1:15" s="15" customFormat="1">
      <c r="A227" s="14"/>
      <c r="B227" s="14"/>
      <c r="O227" s="14"/>
    </row>
    <row r="228" spans="1:15" s="15" customFormat="1">
      <c r="A228" s="14"/>
      <c r="B228" s="14"/>
      <c r="O228" s="14"/>
    </row>
    <row r="229" spans="1:15" s="15" customFormat="1">
      <c r="A229" s="14"/>
      <c r="B229" s="14"/>
      <c r="O229" s="14"/>
    </row>
    <row r="230" spans="1:15" s="15" customFormat="1">
      <c r="A230" s="14"/>
      <c r="B230" s="14"/>
      <c r="O230" s="14"/>
    </row>
    <row r="231" spans="1:15" s="15" customFormat="1">
      <c r="A231" s="14"/>
      <c r="B231" s="14"/>
      <c r="O231" s="14"/>
    </row>
    <row r="232" spans="1:15" s="15" customFormat="1">
      <c r="A232" s="14"/>
      <c r="B232" s="14"/>
      <c r="O232" s="14"/>
    </row>
    <row r="233" spans="1:15" s="15" customFormat="1">
      <c r="A233" s="14"/>
      <c r="B233" s="14"/>
      <c r="O233" s="14"/>
    </row>
    <row r="234" spans="1:15" s="15" customFormat="1">
      <c r="A234" s="14"/>
      <c r="B234" s="14"/>
      <c r="O234" s="14"/>
    </row>
    <row r="235" spans="1:15" s="15" customFormat="1">
      <c r="A235" s="14"/>
      <c r="B235" s="14"/>
      <c r="O235" s="14"/>
    </row>
    <row r="236" spans="1:15" s="15" customFormat="1">
      <c r="A236" s="14"/>
      <c r="B236" s="14"/>
      <c r="O236" s="14"/>
    </row>
    <row r="237" spans="1:15" s="15" customFormat="1">
      <c r="A237" s="14"/>
      <c r="B237" s="14"/>
      <c r="O237" s="14"/>
    </row>
    <row r="238" spans="1:15" s="15" customFormat="1">
      <c r="A238" s="14"/>
      <c r="B238" s="14"/>
      <c r="O238" s="14"/>
    </row>
    <row r="239" spans="1:15" s="15" customFormat="1">
      <c r="A239" s="14"/>
      <c r="B239" s="14"/>
      <c r="O239" s="14"/>
    </row>
    <row r="240" spans="1:15" s="15" customFormat="1">
      <c r="A240" s="14"/>
      <c r="B240" s="14"/>
      <c r="O240" s="14"/>
    </row>
    <row r="241" spans="1:15" s="15" customFormat="1">
      <c r="A241" s="14"/>
      <c r="B241" s="14"/>
      <c r="O241" s="14"/>
    </row>
    <row r="242" spans="1:15" s="15" customFormat="1">
      <c r="A242" s="14"/>
      <c r="B242" s="14"/>
      <c r="O242" s="14"/>
    </row>
    <row r="243" spans="1:15" s="15" customFormat="1">
      <c r="A243" s="14"/>
      <c r="B243" s="14"/>
      <c r="O243" s="14"/>
    </row>
    <row r="244" spans="1:15" s="15" customFormat="1">
      <c r="A244" s="14"/>
      <c r="B244" s="14"/>
      <c r="O244" s="14"/>
    </row>
    <row r="245" spans="1:15" s="15" customFormat="1">
      <c r="A245" s="14"/>
      <c r="B245" s="14"/>
      <c r="O245" s="14"/>
    </row>
    <row r="246" spans="1:15" s="15" customFormat="1">
      <c r="A246" s="14"/>
      <c r="B246" s="14"/>
      <c r="O246" s="14"/>
    </row>
    <row r="247" spans="1:15" s="15" customFormat="1">
      <c r="A247" s="14"/>
      <c r="B247" s="14"/>
      <c r="O247" s="14"/>
    </row>
    <row r="248" spans="1:15" s="15" customFormat="1">
      <c r="A248" s="14"/>
      <c r="B248" s="14"/>
      <c r="O248" s="14"/>
    </row>
    <row r="249" spans="1:15" s="15" customFormat="1">
      <c r="A249" s="14"/>
      <c r="B249" s="14"/>
      <c r="O249" s="14"/>
    </row>
    <row r="250" spans="1:15" s="15" customFormat="1">
      <c r="A250" s="14"/>
      <c r="B250" s="14"/>
      <c r="O250" s="14"/>
    </row>
    <row r="251" spans="1:15" s="15" customFormat="1">
      <c r="A251" s="14"/>
      <c r="B251" s="14"/>
      <c r="O251" s="14"/>
    </row>
    <row r="252" spans="1:15" s="15" customFormat="1">
      <c r="A252" s="14"/>
      <c r="B252" s="14"/>
      <c r="O252" s="14"/>
    </row>
    <row r="253" spans="1:15" s="15" customFormat="1">
      <c r="A253" s="14"/>
      <c r="B253" s="14"/>
      <c r="O253" s="14"/>
    </row>
    <row r="254" spans="1:15" s="15" customFormat="1">
      <c r="A254" s="14"/>
      <c r="B254" s="14"/>
      <c r="O254" s="14"/>
    </row>
    <row r="255" spans="1:15" s="15" customFormat="1">
      <c r="A255" s="14"/>
      <c r="B255" s="14"/>
      <c r="O255" s="14"/>
    </row>
    <row r="256" spans="1:15" s="15" customFormat="1">
      <c r="A256" s="14"/>
      <c r="B256" s="14"/>
      <c r="O256" s="14"/>
    </row>
    <row r="257" spans="1:15" s="15" customFormat="1">
      <c r="A257" s="14"/>
      <c r="B257" s="14"/>
      <c r="O257" s="14"/>
    </row>
    <row r="258" spans="1:15" s="15" customFormat="1">
      <c r="A258" s="14"/>
      <c r="B258" s="14"/>
      <c r="O258" s="14"/>
    </row>
    <row r="259" spans="1:15" s="15" customFormat="1">
      <c r="A259" s="14"/>
      <c r="B259" s="14"/>
      <c r="O259" s="14"/>
    </row>
    <row r="260" spans="1:15" s="15" customFormat="1">
      <c r="A260" s="14"/>
      <c r="B260" s="14"/>
      <c r="O260" s="14"/>
    </row>
    <row r="261" spans="1:15" s="15" customFormat="1">
      <c r="A261" s="14"/>
      <c r="B261" s="14"/>
      <c r="O261" s="14"/>
    </row>
    <row r="262" spans="1:15" s="15" customFormat="1">
      <c r="A262" s="14"/>
      <c r="B262" s="14"/>
      <c r="O262" s="14"/>
    </row>
    <row r="263" spans="1:15" s="15" customFormat="1">
      <c r="A263" s="14"/>
      <c r="B263" s="14"/>
      <c r="O263" s="14"/>
    </row>
    <row r="264" spans="1:15" s="15" customFormat="1">
      <c r="A264" s="14"/>
      <c r="B264" s="14"/>
      <c r="O264" s="14"/>
    </row>
    <row r="265" spans="1:15" s="15" customFormat="1">
      <c r="A265" s="14"/>
      <c r="B265" s="14"/>
      <c r="O265" s="14"/>
    </row>
    <row r="266" spans="1:15" s="15" customFormat="1">
      <c r="A266" s="14"/>
      <c r="B266" s="14"/>
      <c r="O266" s="14"/>
    </row>
    <row r="267" spans="1:15" s="15" customFormat="1">
      <c r="A267" s="14"/>
      <c r="B267" s="14"/>
      <c r="O267" s="14"/>
    </row>
    <row r="268" spans="1:15" s="15" customFormat="1">
      <c r="A268" s="14"/>
      <c r="B268" s="14"/>
      <c r="O268" s="14"/>
    </row>
    <row r="269" spans="1:15" s="15" customFormat="1">
      <c r="A269" s="14"/>
      <c r="B269" s="14"/>
      <c r="O269" s="14"/>
    </row>
    <row r="270" spans="1:15" s="15" customFormat="1">
      <c r="A270" s="14"/>
      <c r="B270" s="14"/>
      <c r="O270" s="14"/>
    </row>
    <row r="271" spans="1:15" s="15" customFormat="1">
      <c r="A271" s="14"/>
      <c r="B271" s="14"/>
      <c r="O271" s="14"/>
    </row>
    <row r="272" spans="1:15" s="15" customFormat="1">
      <c r="A272" s="14"/>
      <c r="B272" s="14"/>
      <c r="O272" s="14"/>
    </row>
    <row r="273" spans="1:15" s="15" customFormat="1">
      <c r="A273" s="14"/>
      <c r="B273" s="14"/>
      <c r="O273" s="14"/>
    </row>
    <row r="274" spans="1:15" s="15" customFormat="1">
      <c r="A274" s="14"/>
      <c r="B274" s="14"/>
      <c r="O274" s="14"/>
    </row>
    <row r="275" spans="1:15" s="15" customFormat="1">
      <c r="A275" s="14"/>
      <c r="B275" s="14"/>
      <c r="O275" s="14"/>
    </row>
    <row r="276" spans="1:15" s="15" customFormat="1">
      <c r="A276" s="14"/>
      <c r="B276" s="14"/>
      <c r="O276" s="14"/>
    </row>
    <row r="277" spans="1:15" s="15" customFormat="1">
      <c r="A277" s="14"/>
      <c r="B277" s="14"/>
      <c r="O277" s="14"/>
    </row>
    <row r="278" spans="1:15" s="15" customFormat="1">
      <c r="A278" s="14"/>
      <c r="B278" s="14"/>
      <c r="O278" s="14"/>
    </row>
    <row r="279" spans="1:15" s="15" customFormat="1">
      <c r="A279" s="14"/>
      <c r="B279" s="14"/>
      <c r="O279" s="14"/>
    </row>
    <row r="280" spans="1:15" s="15" customFormat="1">
      <c r="A280" s="14"/>
      <c r="B280" s="14"/>
      <c r="O280" s="14"/>
    </row>
    <row r="281" spans="1:15" s="15" customFormat="1">
      <c r="A281" s="14"/>
      <c r="B281" s="14"/>
      <c r="O281" s="14"/>
    </row>
    <row r="282" spans="1:15" s="15" customFormat="1">
      <c r="A282" s="14"/>
      <c r="B282" s="14"/>
      <c r="O282" s="14"/>
    </row>
    <row r="283" spans="1:15" s="15" customFormat="1">
      <c r="A283" s="14"/>
      <c r="B283" s="14"/>
      <c r="O283" s="14"/>
    </row>
    <row r="284" spans="1:15" s="15" customFormat="1">
      <c r="A284" s="14"/>
      <c r="B284" s="14"/>
      <c r="O284" s="14"/>
    </row>
    <row r="285" spans="1:15" s="15" customFormat="1">
      <c r="A285" s="14"/>
      <c r="B285" s="14"/>
      <c r="O285" s="14"/>
    </row>
    <row r="286" spans="1:15" s="15" customFormat="1">
      <c r="A286" s="14"/>
      <c r="B286" s="14"/>
      <c r="O286" s="14"/>
    </row>
    <row r="287" spans="1:15" s="15" customFormat="1">
      <c r="A287" s="14"/>
      <c r="B287" s="14"/>
      <c r="O287" s="14"/>
    </row>
    <row r="288" spans="1:15" s="15" customFormat="1">
      <c r="A288" s="14"/>
      <c r="B288" s="14"/>
      <c r="O288" s="14"/>
    </row>
    <row r="289" spans="1:15" s="15" customFormat="1">
      <c r="A289" s="14"/>
      <c r="B289" s="14"/>
      <c r="O289" s="14"/>
    </row>
    <row r="290" spans="1:15" s="15" customFormat="1">
      <c r="A290" s="14"/>
      <c r="B290" s="14"/>
      <c r="O290" s="14"/>
    </row>
    <row r="291" spans="1:15" s="15" customFormat="1">
      <c r="A291" s="14"/>
      <c r="B291" s="14"/>
      <c r="O291" s="14"/>
    </row>
    <row r="292" spans="1:15" s="15" customFormat="1">
      <c r="A292" s="14"/>
      <c r="B292" s="14"/>
      <c r="O292" s="14"/>
    </row>
    <row r="293" spans="1:15" s="15" customFormat="1">
      <c r="A293" s="14"/>
      <c r="B293" s="14"/>
      <c r="O293" s="14"/>
    </row>
    <row r="294" spans="1:15" s="15" customFormat="1">
      <c r="A294" s="14"/>
      <c r="B294" s="14"/>
      <c r="O294" s="14"/>
    </row>
    <row r="295" spans="1:15" s="15" customFormat="1">
      <c r="A295" s="14"/>
      <c r="B295" s="14"/>
      <c r="O295" s="14"/>
    </row>
    <row r="296" spans="1:15" s="15" customFormat="1">
      <c r="A296" s="14"/>
      <c r="B296" s="14"/>
      <c r="O296" s="14"/>
    </row>
    <row r="297" spans="1:15" s="15" customFormat="1">
      <c r="A297" s="14"/>
      <c r="B297" s="14"/>
      <c r="O297" s="14"/>
    </row>
    <row r="298" spans="1:15" s="15" customFormat="1">
      <c r="A298" s="14"/>
      <c r="B298" s="14"/>
      <c r="O298" s="14"/>
    </row>
    <row r="299" spans="1:15" s="15" customFormat="1">
      <c r="A299" s="14"/>
      <c r="B299" s="14"/>
      <c r="O299" s="14"/>
    </row>
    <row r="300" spans="1:15" s="15" customFormat="1">
      <c r="A300" s="14"/>
      <c r="B300" s="14"/>
      <c r="O300" s="14"/>
    </row>
    <row r="301" spans="1:15" s="15" customFormat="1">
      <c r="A301" s="14"/>
      <c r="B301" s="14"/>
      <c r="O301" s="14"/>
    </row>
    <row r="302" spans="1:15" s="15" customFormat="1">
      <c r="A302" s="14"/>
      <c r="B302" s="14"/>
      <c r="O302" s="14"/>
    </row>
    <row r="303" spans="1:15" s="15" customFormat="1">
      <c r="A303" s="14"/>
      <c r="B303" s="14"/>
      <c r="O303" s="14"/>
    </row>
    <row r="304" spans="1:15" s="15" customFormat="1">
      <c r="A304" s="14"/>
      <c r="B304" s="14"/>
      <c r="O304" s="14"/>
    </row>
    <row r="305" spans="1:15" s="15" customFormat="1">
      <c r="A305" s="14"/>
      <c r="B305" s="14"/>
      <c r="O305" s="14"/>
    </row>
    <row r="306" spans="1:15" s="15" customFormat="1">
      <c r="A306" s="14"/>
      <c r="B306" s="14"/>
      <c r="O306" s="14"/>
    </row>
    <row r="307" spans="1:15" s="15" customFormat="1">
      <c r="A307" s="14"/>
      <c r="B307" s="14"/>
      <c r="O307" s="14"/>
    </row>
    <row r="308" spans="1:15" s="15" customFormat="1">
      <c r="A308" s="14"/>
      <c r="B308" s="14"/>
      <c r="O308" s="14"/>
    </row>
    <row r="309" spans="1:15" s="15" customFormat="1">
      <c r="A309" s="14"/>
      <c r="B309" s="14"/>
      <c r="O309" s="14"/>
    </row>
    <row r="310" spans="1:15" s="15" customFormat="1">
      <c r="A310" s="14"/>
      <c r="B310" s="14"/>
      <c r="O310" s="14"/>
    </row>
    <row r="311" spans="1:15" s="15" customFormat="1">
      <c r="A311" s="14"/>
      <c r="B311" s="14"/>
      <c r="O311" s="14"/>
    </row>
    <row r="312" spans="1:15" s="15" customFormat="1">
      <c r="A312" s="14"/>
      <c r="B312" s="14"/>
      <c r="O312" s="14"/>
    </row>
    <row r="313" spans="1:15" s="15" customFormat="1">
      <c r="A313" s="14"/>
      <c r="B313" s="14"/>
      <c r="O313" s="14"/>
    </row>
    <row r="314" spans="1:15" s="15" customFormat="1">
      <c r="A314" s="14"/>
      <c r="B314" s="14"/>
      <c r="O314" s="14"/>
    </row>
    <row r="315" spans="1:15" s="15" customFormat="1">
      <c r="A315" s="14"/>
      <c r="B315" s="14"/>
      <c r="O315" s="14"/>
    </row>
    <row r="316" spans="1:15" s="15" customFormat="1">
      <c r="A316" s="14"/>
      <c r="B316" s="14"/>
      <c r="O316" s="14"/>
    </row>
    <row r="317" spans="1:15" s="15" customFormat="1">
      <c r="A317" s="14"/>
      <c r="B317" s="14"/>
      <c r="O317" s="14"/>
    </row>
    <row r="318" spans="1:15" s="15" customFormat="1">
      <c r="A318" s="14"/>
      <c r="B318" s="14"/>
      <c r="O318" s="14"/>
    </row>
    <row r="319" spans="1:15" s="15" customFormat="1">
      <c r="A319" s="14"/>
      <c r="B319" s="14"/>
      <c r="O319" s="14"/>
    </row>
    <row r="320" spans="1:15" s="15" customFormat="1">
      <c r="A320" s="14"/>
      <c r="B320" s="14"/>
      <c r="O320" s="14"/>
    </row>
    <row r="321" spans="1:15" s="15" customFormat="1">
      <c r="A321" s="14"/>
      <c r="B321" s="14"/>
      <c r="O321" s="14"/>
    </row>
    <row r="322" spans="1:15" s="15" customFormat="1">
      <c r="A322" s="14"/>
      <c r="B322" s="14"/>
      <c r="O322" s="14"/>
    </row>
    <row r="323" spans="1:15" s="15" customFormat="1">
      <c r="A323" s="14"/>
      <c r="B323" s="14"/>
      <c r="O323" s="14"/>
    </row>
    <row r="324" spans="1:15" s="15" customFormat="1">
      <c r="A324" s="14"/>
      <c r="B324" s="14"/>
      <c r="O324" s="14"/>
    </row>
    <row r="325" spans="1:15" s="15" customFormat="1">
      <c r="A325" s="14"/>
      <c r="B325" s="14"/>
      <c r="O325" s="14"/>
    </row>
    <row r="326" spans="1:15" s="15" customFormat="1">
      <c r="A326" s="14"/>
      <c r="B326" s="14"/>
      <c r="O326" s="14"/>
    </row>
    <row r="327" spans="1:15" s="15" customFormat="1">
      <c r="A327" s="14"/>
      <c r="B327" s="14"/>
      <c r="O327" s="14"/>
    </row>
    <row r="328" spans="1:15" s="15" customFormat="1">
      <c r="A328" s="14"/>
      <c r="B328" s="14"/>
      <c r="O328" s="14"/>
    </row>
    <row r="329" spans="1:15" s="15" customFormat="1">
      <c r="A329" s="14"/>
      <c r="B329" s="14"/>
      <c r="O329" s="14"/>
    </row>
    <row r="330" spans="1:15" s="15" customFormat="1">
      <c r="A330" s="14"/>
      <c r="B330" s="14"/>
      <c r="O330" s="14"/>
    </row>
    <row r="331" spans="1:15" s="15" customFormat="1">
      <c r="A331" s="14"/>
      <c r="B331" s="14"/>
      <c r="O331" s="14"/>
    </row>
    <row r="332" spans="1:15" s="15" customFormat="1">
      <c r="A332" s="14"/>
      <c r="B332" s="14"/>
      <c r="O332" s="14"/>
    </row>
    <row r="333" spans="1:15" s="15" customFormat="1">
      <c r="A333" s="14"/>
      <c r="B333" s="14"/>
      <c r="O333" s="14"/>
    </row>
    <row r="334" spans="1:15" s="15" customFormat="1">
      <c r="A334" s="14"/>
      <c r="B334" s="14"/>
      <c r="O334" s="14"/>
    </row>
    <row r="335" spans="1:15" s="15" customFormat="1">
      <c r="A335" s="14"/>
      <c r="B335" s="14"/>
      <c r="O335" s="14"/>
    </row>
    <row r="336" spans="1:15" s="15" customFormat="1">
      <c r="A336" s="14"/>
      <c r="B336" s="14"/>
      <c r="O336" s="14"/>
    </row>
    <row r="337" spans="1:15" s="15" customFormat="1">
      <c r="A337" s="14"/>
      <c r="B337" s="14"/>
      <c r="O337" s="14"/>
    </row>
    <row r="338" spans="1:15" s="15" customFormat="1">
      <c r="A338" s="14"/>
      <c r="B338" s="14"/>
      <c r="O338" s="14"/>
    </row>
    <row r="339" spans="1:15" s="15" customFormat="1">
      <c r="A339" s="14"/>
      <c r="B339" s="14"/>
      <c r="O339" s="14"/>
    </row>
    <row r="340" spans="1:15" s="15" customFormat="1">
      <c r="A340" s="14"/>
      <c r="B340" s="14"/>
      <c r="O340" s="14"/>
    </row>
    <row r="341" spans="1:15" s="15" customFormat="1">
      <c r="A341" s="14"/>
      <c r="B341" s="14"/>
      <c r="O341" s="14"/>
    </row>
    <row r="342" spans="1:15" s="15" customFormat="1">
      <c r="A342" s="14"/>
      <c r="B342" s="14"/>
      <c r="O342" s="14"/>
    </row>
    <row r="343" spans="1:15" s="15" customFormat="1">
      <c r="A343" s="14"/>
      <c r="B343" s="14"/>
      <c r="O343" s="14"/>
    </row>
    <row r="344" spans="1:15" s="15" customFormat="1">
      <c r="A344" s="14"/>
      <c r="B344" s="14"/>
      <c r="O344" s="14"/>
    </row>
    <row r="345" spans="1:15" s="15" customFormat="1">
      <c r="A345" s="14"/>
      <c r="B345" s="14"/>
      <c r="O345" s="14"/>
    </row>
    <row r="346" spans="1:15" s="15" customFormat="1">
      <c r="A346" s="14"/>
      <c r="B346" s="14"/>
      <c r="O346" s="14"/>
    </row>
    <row r="347" spans="1:15" s="15" customFormat="1">
      <c r="A347" s="14"/>
      <c r="B347" s="14"/>
      <c r="O347" s="14"/>
    </row>
    <row r="348" spans="1:15" s="15" customFormat="1">
      <c r="A348" s="14"/>
      <c r="B348" s="14"/>
      <c r="O348" s="14"/>
    </row>
    <row r="349" spans="1:15" s="15" customFormat="1">
      <c r="A349" s="14"/>
      <c r="B349" s="14"/>
      <c r="O349" s="14"/>
    </row>
    <row r="350" spans="1:15" s="15" customFormat="1">
      <c r="A350" s="14"/>
      <c r="B350" s="14"/>
      <c r="O350" s="14"/>
    </row>
    <row r="351" spans="1:15" s="15" customFormat="1">
      <c r="A351" s="14"/>
      <c r="B351" s="14"/>
      <c r="O351" s="14"/>
    </row>
    <row r="352" spans="1:15" s="15" customFormat="1">
      <c r="A352" s="14"/>
      <c r="B352" s="14"/>
      <c r="O352" s="14"/>
    </row>
    <row r="353" spans="1:15" s="15" customFormat="1">
      <c r="A353" s="14"/>
      <c r="B353" s="14"/>
      <c r="O353" s="14"/>
    </row>
    <row r="354" spans="1:15" s="15" customFormat="1">
      <c r="A354" s="14"/>
      <c r="B354" s="14"/>
      <c r="O354" s="14"/>
    </row>
    <row r="355" spans="1:15" s="15" customFormat="1">
      <c r="A355" s="14"/>
      <c r="B355" s="14"/>
      <c r="O355" s="14"/>
    </row>
    <row r="356" spans="1:15" s="15" customFormat="1">
      <c r="A356" s="14"/>
      <c r="B356" s="14"/>
      <c r="O356" s="14"/>
    </row>
    <row r="357" spans="1:15" s="15" customFormat="1">
      <c r="A357" s="14"/>
      <c r="B357" s="14"/>
      <c r="O357" s="14"/>
    </row>
    <row r="358" spans="1:15" s="15" customFormat="1">
      <c r="A358" s="14"/>
      <c r="B358" s="14"/>
      <c r="O358" s="14"/>
    </row>
    <row r="359" spans="1:15" s="15" customFormat="1">
      <c r="A359" s="14"/>
      <c r="B359" s="14"/>
      <c r="O359" s="14"/>
    </row>
    <row r="360" spans="1:15" s="15" customFormat="1">
      <c r="A360" s="14"/>
      <c r="B360" s="14"/>
      <c r="O360" s="14"/>
    </row>
    <row r="361" spans="1:15" s="15" customFormat="1">
      <c r="A361" s="14"/>
      <c r="B361" s="14"/>
      <c r="O361" s="14"/>
    </row>
    <row r="362" spans="1:15" s="15" customFormat="1">
      <c r="A362" s="14"/>
      <c r="B362" s="14"/>
      <c r="O362" s="14"/>
    </row>
    <row r="363" spans="1:15" s="15" customFormat="1">
      <c r="A363" s="14"/>
      <c r="B363" s="14"/>
      <c r="O363" s="14"/>
    </row>
    <row r="364" spans="1:15" s="15" customFormat="1">
      <c r="A364" s="14"/>
      <c r="B364" s="14"/>
      <c r="O364" s="14"/>
    </row>
    <row r="365" spans="1:15" s="15" customFormat="1">
      <c r="A365" s="14"/>
      <c r="B365" s="14"/>
      <c r="O365" s="14"/>
    </row>
    <row r="366" spans="1:15" s="15" customFormat="1">
      <c r="A366" s="14"/>
      <c r="B366" s="14"/>
      <c r="O366" s="14"/>
    </row>
    <row r="367" spans="1:15" s="15" customFormat="1">
      <c r="A367" s="14"/>
      <c r="B367" s="14"/>
      <c r="O367" s="14"/>
    </row>
    <row r="368" spans="1:15" s="15" customFormat="1">
      <c r="A368" s="14"/>
      <c r="B368" s="14"/>
      <c r="O368" s="14"/>
    </row>
    <row r="369" spans="1:15" s="15" customFormat="1">
      <c r="A369" s="14"/>
      <c r="B369" s="14"/>
      <c r="O369" s="14"/>
    </row>
    <row r="370" spans="1:15" s="15" customFormat="1">
      <c r="A370" s="14"/>
      <c r="B370" s="14"/>
      <c r="O370" s="14"/>
    </row>
    <row r="371" spans="1:15" s="15" customFormat="1">
      <c r="A371" s="14"/>
      <c r="B371" s="14"/>
      <c r="O371" s="14"/>
    </row>
    <row r="372" spans="1:15" s="15" customFormat="1">
      <c r="A372" s="14"/>
      <c r="B372" s="14"/>
      <c r="O372" s="14"/>
    </row>
    <row r="373" spans="1:15" s="15" customFormat="1">
      <c r="A373" s="14"/>
      <c r="B373" s="14"/>
      <c r="O373" s="14"/>
    </row>
    <row r="374" spans="1:15" s="15" customFormat="1">
      <c r="A374" s="14"/>
      <c r="B374" s="14"/>
      <c r="O374" s="14"/>
    </row>
    <row r="375" spans="1:15" s="15" customFormat="1">
      <c r="A375" s="14"/>
      <c r="B375" s="14"/>
      <c r="O375" s="14"/>
    </row>
    <row r="376" spans="1:15" s="15" customFormat="1">
      <c r="A376" s="14"/>
      <c r="B376" s="14"/>
      <c r="O376" s="14"/>
    </row>
    <row r="377" spans="1:15" s="15" customFormat="1">
      <c r="A377" s="14"/>
      <c r="B377" s="14"/>
      <c r="O377" s="14"/>
    </row>
    <row r="378" spans="1:15" s="15" customFormat="1">
      <c r="A378" s="14"/>
      <c r="B378" s="14"/>
      <c r="O378" s="14"/>
    </row>
    <row r="379" spans="1:15" s="15" customFormat="1">
      <c r="A379" s="14"/>
      <c r="B379" s="14"/>
      <c r="O379" s="14"/>
    </row>
    <row r="380" spans="1:15" s="15" customFormat="1">
      <c r="A380" s="14"/>
      <c r="B380" s="14"/>
      <c r="O380" s="14"/>
    </row>
    <row r="381" spans="1:15" s="15" customFormat="1">
      <c r="A381" s="14"/>
      <c r="B381" s="14"/>
      <c r="O381" s="14"/>
    </row>
    <row r="382" spans="1:15" s="15" customFormat="1">
      <c r="A382" s="14"/>
      <c r="B382" s="14"/>
      <c r="O382" s="14"/>
    </row>
    <row r="383" spans="1:15" s="15" customFormat="1">
      <c r="A383" s="14"/>
      <c r="B383" s="14"/>
      <c r="O383" s="14"/>
    </row>
    <row r="384" spans="1:15" s="15" customFormat="1">
      <c r="A384" s="14"/>
      <c r="B384" s="14"/>
      <c r="O384" s="14"/>
    </row>
    <row r="385" spans="1:15" s="15" customFormat="1">
      <c r="A385" s="14"/>
      <c r="B385" s="14"/>
      <c r="O385" s="14"/>
    </row>
    <row r="386" spans="1:15" s="15" customFormat="1">
      <c r="A386" s="14"/>
      <c r="B386" s="14"/>
      <c r="O386" s="14"/>
    </row>
    <row r="387" spans="1:15" s="15" customFormat="1">
      <c r="A387" s="14"/>
      <c r="B387" s="14"/>
      <c r="O387" s="14"/>
    </row>
    <row r="388" spans="1:15" s="15" customFormat="1">
      <c r="A388" s="14"/>
      <c r="B388" s="14"/>
      <c r="O388" s="14"/>
    </row>
    <row r="389" spans="1:15" s="15" customFormat="1">
      <c r="A389" s="14"/>
      <c r="B389" s="14"/>
      <c r="O389" s="14"/>
    </row>
    <row r="390" spans="1:15" s="15" customFormat="1">
      <c r="A390" s="14"/>
      <c r="B390" s="14"/>
      <c r="O390" s="14"/>
    </row>
    <row r="391" spans="1:15" s="15" customFormat="1">
      <c r="A391" s="14"/>
      <c r="B391" s="14"/>
      <c r="O391" s="14"/>
    </row>
    <row r="392" spans="1:15" s="15" customFormat="1">
      <c r="A392" s="14"/>
      <c r="B392" s="14"/>
      <c r="O392" s="14"/>
    </row>
    <row r="393" spans="1:15" s="15" customFormat="1">
      <c r="A393" s="14"/>
      <c r="B393" s="14"/>
      <c r="O393" s="14"/>
    </row>
    <row r="394" spans="1:15" s="15" customFormat="1">
      <c r="A394" s="14"/>
      <c r="B394" s="14"/>
      <c r="O394" s="14"/>
    </row>
    <row r="395" spans="1:15" s="15" customFormat="1">
      <c r="A395" s="14"/>
      <c r="B395" s="14"/>
      <c r="O395" s="14"/>
    </row>
    <row r="396" spans="1:15" s="15" customFormat="1">
      <c r="A396" s="14"/>
      <c r="B396" s="14"/>
      <c r="O396" s="14"/>
    </row>
    <row r="397" spans="1:15" s="15" customFormat="1">
      <c r="A397" s="14"/>
      <c r="B397" s="14"/>
      <c r="O397" s="14"/>
    </row>
    <row r="398" spans="1:15" s="15" customFormat="1">
      <c r="A398" s="14"/>
      <c r="B398" s="14"/>
      <c r="O398" s="14"/>
    </row>
    <row r="399" spans="1:15" s="15" customFormat="1">
      <c r="A399" s="14"/>
      <c r="B399" s="14"/>
      <c r="O399" s="14"/>
    </row>
    <row r="400" spans="1:15" s="15" customFormat="1">
      <c r="A400" s="14"/>
      <c r="B400" s="14"/>
      <c r="O400" s="14"/>
    </row>
    <row r="401" spans="1:15" s="15" customFormat="1">
      <c r="A401" s="14"/>
      <c r="B401" s="14"/>
      <c r="O401" s="14"/>
    </row>
    <row r="402" spans="1:15" s="15" customFormat="1">
      <c r="A402" s="14"/>
      <c r="B402" s="14"/>
      <c r="O402" s="14"/>
    </row>
    <row r="403" spans="1:15" s="15" customFormat="1">
      <c r="A403" s="14"/>
      <c r="B403" s="14"/>
      <c r="O403" s="14"/>
    </row>
    <row r="404" spans="1:15" s="15" customFormat="1">
      <c r="A404" s="14"/>
      <c r="B404" s="14"/>
      <c r="O404" s="14"/>
    </row>
    <row r="405" spans="1:15" s="15" customFormat="1">
      <c r="A405" s="14"/>
      <c r="B405" s="14"/>
      <c r="O405" s="14"/>
    </row>
    <row r="406" spans="1:15" s="15" customFormat="1">
      <c r="A406" s="14"/>
      <c r="B406" s="14"/>
      <c r="O406" s="14"/>
    </row>
    <row r="407" spans="1:15" s="15" customFormat="1">
      <c r="A407" s="14"/>
      <c r="B407" s="14"/>
      <c r="O407" s="14"/>
    </row>
    <row r="408" spans="1:15" s="15" customFormat="1">
      <c r="A408" s="14"/>
      <c r="B408" s="14"/>
      <c r="O408" s="14"/>
    </row>
    <row r="409" spans="1:15" s="15" customFormat="1">
      <c r="A409" s="14"/>
      <c r="B409" s="14"/>
      <c r="O409" s="14"/>
    </row>
    <row r="410" spans="1:15" s="15" customFormat="1">
      <c r="A410" s="14"/>
      <c r="B410" s="14"/>
      <c r="O410" s="14"/>
    </row>
    <row r="411" spans="1:15" s="15" customFormat="1">
      <c r="A411" s="14"/>
      <c r="B411" s="14"/>
      <c r="O411" s="14"/>
    </row>
    <row r="412" spans="1:15" s="15" customFormat="1">
      <c r="A412" s="14"/>
      <c r="B412" s="14"/>
      <c r="O412" s="14"/>
    </row>
    <row r="413" spans="1:15" s="15" customFormat="1">
      <c r="A413" s="14"/>
      <c r="B413" s="14"/>
      <c r="O413" s="14"/>
    </row>
    <row r="414" spans="1:15" s="15" customFormat="1">
      <c r="A414" s="14"/>
      <c r="B414" s="14"/>
      <c r="O414" s="14"/>
    </row>
    <row r="415" spans="1:15" s="15" customFormat="1">
      <c r="A415" s="14"/>
      <c r="B415" s="14"/>
      <c r="O415" s="14"/>
    </row>
    <row r="416" spans="1:15" s="15" customFormat="1">
      <c r="A416" s="14"/>
      <c r="B416" s="14"/>
      <c r="O416" s="14"/>
    </row>
    <row r="417" spans="1:15" s="15" customFormat="1">
      <c r="A417" s="14"/>
      <c r="B417" s="14"/>
      <c r="O417" s="14"/>
    </row>
    <row r="418" spans="1:15" s="15" customFormat="1">
      <c r="A418" s="14"/>
      <c r="B418" s="14"/>
      <c r="O418" s="14"/>
    </row>
    <row r="419" spans="1:15" s="15" customFormat="1">
      <c r="A419" s="14"/>
      <c r="B419" s="14"/>
      <c r="O419" s="14"/>
    </row>
    <row r="420" spans="1:15" s="15" customFormat="1">
      <c r="A420" s="14"/>
      <c r="B420" s="14"/>
      <c r="O420" s="14"/>
    </row>
    <row r="421" spans="1:15" s="15" customFormat="1">
      <c r="A421" s="14"/>
      <c r="B421" s="14"/>
      <c r="O421" s="14"/>
    </row>
    <row r="422" spans="1:15" s="15" customFormat="1">
      <c r="A422" s="14"/>
      <c r="B422" s="14"/>
      <c r="O422" s="14"/>
    </row>
    <row r="423" spans="1:15" s="15" customFormat="1">
      <c r="A423" s="14"/>
      <c r="B423" s="14"/>
      <c r="O423" s="14"/>
    </row>
    <row r="424" spans="1:15" s="15" customFormat="1">
      <c r="A424" s="14"/>
      <c r="B424" s="14"/>
      <c r="O424" s="14"/>
    </row>
    <row r="425" spans="1:15" s="15" customFormat="1">
      <c r="A425" s="14"/>
      <c r="B425" s="14"/>
      <c r="O425" s="14"/>
    </row>
    <row r="426" spans="1:15" s="15" customFormat="1">
      <c r="A426" s="14"/>
      <c r="B426" s="14"/>
      <c r="O426" s="14"/>
    </row>
    <row r="427" spans="1:15" s="15" customFormat="1">
      <c r="A427" s="14"/>
      <c r="B427" s="14"/>
      <c r="O427" s="14"/>
    </row>
    <row r="428" spans="1:15" s="15" customFormat="1">
      <c r="A428" s="14"/>
      <c r="B428" s="14"/>
      <c r="O428" s="14"/>
    </row>
    <row r="429" spans="1:15" s="15" customFormat="1">
      <c r="A429" s="14"/>
      <c r="B429" s="14"/>
      <c r="O429" s="14"/>
    </row>
    <row r="430" spans="1:15" s="15" customFormat="1">
      <c r="A430" s="14"/>
      <c r="B430" s="14"/>
      <c r="O430" s="14"/>
    </row>
    <row r="431" spans="1:15" s="15" customFormat="1">
      <c r="A431" s="14"/>
      <c r="B431" s="14"/>
      <c r="O431" s="14"/>
    </row>
    <row r="432" spans="1:15" s="15" customFormat="1">
      <c r="A432" s="14"/>
      <c r="B432" s="14"/>
      <c r="O432" s="14"/>
    </row>
    <row r="433" spans="1:15" s="15" customFormat="1">
      <c r="A433" s="14"/>
      <c r="B433" s="14"/>
      <c r="O433" s="14"/>
    </row>
    <row r="434" spans="1:15" s="15" customFormat="1">
      <c r="A434" s="14"/>
      <c r="B434" s="14"/>
      <c r="O434" s="14"/>
    </row>
    <row r="435" spans="1:15" s="15" customFormat="1">
      <c r="A435" s="14"/>
      <c r="B435" s="14"/>
      <c r="O435" s="14"/>
    </row>
    <row r="436" spans="1:15" s="15" customFormat="1">
      <c r="A436" s="14"/>
      <c r="B436" s="14"/>
      <c r="O436" s="14"/>
    </row>
    <row r="437" spans="1:15" s="15" customFormat="1">
      <c r="A437" s="14"/>
      <c r="B437" s="14"/>
      <c r="O437" s="14"/>
    </row>
    <row r="438" spans="1:15" s="15" customFormat="1">
      <c r="A438" s="14"/>
      <c r="B438" s="14"/>
      <c r="O438" s="14"/>
    </row>
    <row r="439" spans="1:15" s="15" customFormat="1">
      <c r="A439" s="14"/>
      <c r="B439" s="14"/>
      <c r="O439" s="14"/>
    </row>
    <row r="440" spans="1:15" s="15" customFormat="1">
      <c r="A440" s="14"/>
      <c r="B440" s="14"/>
      <c r="O440" s="14"/>
    </row>
    <row r="441" spans="1:15" s="15" customFormat="1">
      <c r="A441" s="14"/>
      <c r="B441" s="14"/>
      <c r="O441" s="14"/>
    </row>
    <row r="442" spans="1:15" s="15" customFormat="1">
      <c r="A442" s="14"/>
      <c r="B442" s="14"/>
      <c r="O442" s="14"/>
    </row>
    <row r="443" spans="1:15" s="15" customFormat="1">
      <c r="A443" s="14"/>
      <c r="B443" s="14"/>
      <c r="O443" s="14"/>
    </row>
    <row r="444" spans="1:15" s="15" customFormat="1">
      <c r="A444" s="14"/>
      <c r="B444" s="14"/>
      <c r="O444" s="14"/>
    </row>
    <row r="445" spans="1:15" s="15" customFormat="1">
      <c r="A445" s="14"/>
      <c r="B445" s="14"/>
      <c r="O445" s="14"/>
    </row>
    <row r="446" spans="1:15" s="15" customFormat="1">
      <c r="A446" s="14"/>
      <c r="B446" s="14"/>
      <c r="O446" s="14"/>
    </row>
    <row r="447" spans="1:15" s="15" customFormat="1">
      <c r="A447" s="14"/>
      <c r="B447" s="14"/>
      <c r="O447" s="14"/>
    </row>
    <row r="448" spans="1:15" s="15" customFormat="1">
      <c r="A448" s="14"/>
      <c r="B448" s="14"/>
      <c r="O448" s="14"/>
    </row>
    <row r="449" spans="1:15" s="15" customFormat="1">
      <c r="A449" s="14"/>
      <c r="B449" s="14"/>
      <c r="O449" s="14"/>
    </row>
    <row r="450" spans="1:15" s="15" customFormat="1">
      <c r="A450" s="14"/>
      <c r="B450" s="14"/>
      <c r="O450" s="14"/>
    </row>
    <row r="451" spans="1:15" s="15" customFormat="1">
      <c r="A451" s="14"/>
      <c r="B451" s="14"/>
      <c r="O451" s="14"/>
    </row>
    <row r="452" spans="1:15" s="15" customFormat="1">
      <c r="A452" s="14"/>
      <c r="B452" s="14"/>
      <c r="O452" s="14"/>
    </row>
    <row r="453" spans="1:15" s="15" customFormat="1">
      <c r="A453" s="14"/>
      <c r="B453" s="14"/>
      <c r="O453" s="14"/>
    </row>
    <row r="454" spans="1:15" s="15" customFormat="1">
      <c r="A454" s="14"/>
      <c r="B454" s="14"/>
      <c r="O454" s="14"/>
    </row>
    <row r="455" spans="1:15" s="15" customFormat="1">
      <c r="A455" s="14"/>
      <c r="B455" s="14"/>
      <c r="O455" s="14"/>
    </row>
    <row r="456" spans="1:15" s="15" customFormat="1">
      <c r="A456" s="14"/>
      <c r="B456" s="14"/>
      <c r="O456" s="14"/>
    </row>
    <row r="457" spans="1:15" s="15" customFormat="1">
      <c r="A457" s="14"/>
      <c r="B457" s="14"/>
      <c r="O457" s="14"/>
    </row>
    <row r="458" spans="1:15" s="15" customFormat="1">
      <c r="A458" s="14"/>
      <c r="B458" s="14"/>
      <c r="O458" s="14"/>
    </row>
    <row r="459" spans="1:15" s="15" customFormat="1">
      <c r="A459" s="14"/>
      <c r="B459" s="14"/>
      <c r="O459" s="14"/>
    </row>
    <row r="460" spans="1:15" s="15" customFormat="1">
      <c r="A460" s="14"/>
      <c r="B460" s="14"/>
      <c r="O460" s="14"/>
    </row>
    <row r="461" spans="1:15" s="15" customFormat="1">
      <c r="A461" s="14"/>
      <c r="B461" s="14"/>
      <c r="O461" s="14"/>
    </row>
    <row r="462" spans="1:15" s="15" customFormat="1">
      <c r="A462" s="14"/>
      <c r="B462" s="14"/>
      <c r="O462" s="14"/>
    </row>
    <row r="463" spans="1:15" s="15" customFormat="1">
      <c r="A463" s="14"/>
      <c r="B463" s="14"/>
      <c r="O463" s="14"/>
    </row>
    <row r="464" spans="1:15" s="15" customFormat="1">
      <c r="A464" s="14"/>
      <c r="B464" s="14"/>
      <c r="O464" s="14"/>
    </row>
    <row r="465" spans="1:15" s="15" customFormat="1">
      <c r="A465" s="14"/>
      <c r="B465" s="14"/>
      <c r="O465" s="14"/>
    </row>
    <row r="466" spans="1:15" s="15" customFormat="1">
      <c r="A466" s="14"/>
      <c r="B466" s="14"/>
      <c r="O466" s="14"/>
    </row>
    <row r="467" spans="1:15" s="15" customFormat="1">
      <c r="A467" s="14"/>
      <c r="B467" s="14"/>
      <c r="O467" s="14"/>
    </row>
    <row r="468" spans="1:15" s="15" customFormat="1">
      <c r="A468" s="14"/>
      <c r="B468" s="14"/>
      <c r="O468" s="14"/>
    </row>
    <row r="469" spans="1:15" s="15" customFormat="1">
      <c r="A469" s="14"/>
      <c r="B469" s="14"/>
      <c r="O469" s="14"/>
    </row>
    <row r="470" spans="1:15" s="15" customFormat="1">
      <c r="A470" s="14"/>
      <c r="B470" s="14"/>
      <c r="O470" s="14"/>
    </row>
    <row r="471" spans="1:15" s="15" customFormat="1">
      <c r="A471" s="14"/>
      <c r="B471" s="14"/>
      <c r="O471" s="14"/>
    </row>
    <row r="472" spans="1:15" s="15" customFormat="1">
      <c r="A472" s="14"/>
      <c r="B472" s="14"/>
      <c r="O472" s="14"/>
    </row>
    <row r="473" spans="1:15" s="15" customFormat="1">
      <c r="A473" s="14"/>
      <c r="B473" s="14"/>
      <c r="O473" s="14"/>
    </row>
    <row r="474" spans="1:15" s="15" customFormat="1">
      <c r="A474" s="14"/>
      <c r="B474" s="14"/>
      <c r="O474" s="14"/>
    </row>
    <row r="475" spans="1:15" s="15" customFormat="1">
      <c r="A475" s="14"/>
      <c r="B475" s="14"/>
      <c r="O475" s="14"/>
    </row>
    <row r="476" spans="1:15" s="15" customFormat="1">
      <c r="A476" s="14"/>
      <c r="B476" s="14"/>
      <c r="O476" s="14"/>
    </row>
    <row r="477" spans="1:15" s="15" customFormat="1">
      <c r="A477" s="14"/>
      <c r="B477" s="14"/>
      <c r="O477" s="14"/>
    </row>
    <row r="478" spans="1:15" s="15" customFormat="1">
      <c r="A478" s="14"/>
      <c r="B478" s="14"/>
      <c r="O478" s="14"/>
    </row>
    <row r="479" spans="1:15" s="15" customFormat="1">
      <c r="A479" s="14"/>
      <c r="B479" s="14"/>
      <c r="O479" s="14"/>
    </row>
    <row r="480" spans="1:15" s="15" customFormat="1">
      <c r="A480" s="14"/>
      <c r="B480" s="14"/>
      <c r="O480" s="14"/>
    </row>
    <row r="481" spans="1:15" s="15" customFormat="1">
      <c r="A481" s="14"/>
      <c r="B481" s="14"/>
      <c r="O481" s="14"/>
    </row>
    <row r="482" spans="1:15" s="15" customFormat="1">
      <c r="A482" s="14"/>
      <c r="B482" s="14"/>
      <c r="O482" s="14"/>
    </row>
    <row r="483" spans="1:15" s="15" customFormat="1">
      <c r="A483" s="14"/>
      <c r="B483" s="14"/>
      <c r="O483" s="14"/>
    </row>
    <row r="484" spans="1:15" s="15" customFormat="1">
      <c r="A484" s="14"/>
      <c r="B484" s="14"/>
      <c r="O484" s="14"/>
    </row>
    <row r="485" spans="1:15" s="15" customFormat="1">
      <c r="A485" s="14"/>
      <c r="B485" s="14"/>
      <c r="O485" s="14"/>
    </row>
    <row r="486" spans="1:15" s="15" customFormat="1">
      <c r="A486" s="14"/>
      <c r="B486" s="14"/>
      <c r="O486" s="14"/>
    </row>
    <row r="487" spans="1:15" s="15" customFormat="1">
      <c r="A487" s="14"/>
      <c r="B487" s="14"/>
      <c r="O487" s="14"/>
    </row>
    <row r="488" spans="1:15" s="15" customFormat="1">
      <c r="A488" s="14"/>
      <c r="B488" s="14"/>
      <c r="O488" s="14"/>
    </row>
    <row r="489" spans="1:15" s="15" customFormat="1">
      <c r="A489" s="14"/>
      <c r="B489" s="14"/>
      <c r="O489" s="14"/>
    </row>
    <row r="490" spans="1:15" s="15" customFormat="1">
      <c r="A490" s="14"/>
      <c r="B490" s="14"/>
      <c r="O490" s="14"/>
    </row>
    <row r="491" spans="1:15" s="15" customFormat="1">
      <c r="A491" s="14"/>
      <c r="B491" s="14"/>
      <c r="O491" s="14"/>
    </row>
    <row r="492" spans="1:15" s="15" customFormat="1">
      <c r="A492" s="14"/>
      <c r="B492" s="14"/>
      <c r="O492" s="14"/>
    </row>
    <row r="493" spans="1:15" s="15" customFormat="1">
      <c r="A493" s="14"/>
      <c r="B493" s="14"/>
      <c r="O493" s="14"/>
    </row>
    <row r="494" spans="1:15" s="15" customFormat="1">
      <c r="A494" s="14"/>
      <c r="B494" s="14"/>
      <c r="O494" s="14"/>
    </row>
    <row r="495" spans="1:15" s="15" customFormat="1">
      <c r="A495" s="14"/>
      <c r="B495" s="14"/>
      <c r="O495" s="14"/>
    </row>
    <row r="496" spans="1:15" s="15" customFormat="1">
      <c r="A496" s="14"/>
      <c r="B496" s="14"/>
      <c r="O496" s="14"/>
    </row>
    <row r="497" spans="1:15" s="15" customFormat="1">
      <c r="A497" s="14"/>
      <c r="B497" s="14"/>
      <c r="O497" s="14"/>
    </row>
    <row r="498" spans="1:15" s="15" customFormat="1">
      <c r="A498" s="14"/>
      <c r="B498" s="14"/>
      <c r="O498" s="14"/>
    </row>
    <row r="499" spans="1:15" s="15" customFormat="1">
      <c r="A499" s="14"/>
      <c r="B499" s="14"/>
      <c r="O499" s="14"/>
    </row>
    <row r="500" spans="1:15" s="15" customFormat="1">
      <c r="A500" s="14"/>
      <c r="B500" s="14"/>
      <c r="O500" s="14"/>
    </row>
    <row r="501" spans="1:15" s="15" customFormat="1">
      <c r="A501" s="14"/>
      <c r="B501" s="14"/>
      <c r="O501" s="14"/>
    </row>
    <row r="502" spans="1:15" s="15" customFormat="1">
      <c r="A502" s="14"/>
      <c r="B502" s="14"/>
      <c r="O502" s="14"/>
    </row>
    <row r="503" spans="1:15" s="15" customFormat="1">
      <c r="A503" s="14"/>
      <c r="B503" s="14"/>
      <c r="O503" s="14"/>
    </row>
    <row r="504" spans="1:15" s="15" customFormat="1">
      <c r="A504" s="14"/>
      <c r="B504" s="14"/>
      <c r="O504" s="14"/>
    </row>
    <row r="505" spans="1:15" s="15" customFormat="1">
      <c r="A505" s="14"/>
      <c r="B505" s="14"/>
      <c r="O505" s="14"/>
    </row>
    <row r="506" spans="1:15" s="15" customFormat="1">
      <c r="A506" s="14"/>
      <c r="B506" s="14"/>
      <c r="O506" s="14"/>
    </row>
    <row r="507" spans="1:15" s="15" customFormat="1">
      <c r="A507" s="14"/>
      <c r="B507" s="14"/>
      <c r="O507" s="14"/>
    </row>
    <row r="508" spans="1:15" s="15" customFormat="1">
      <c r="A508" s="14"/>
      <c r="B508" s="14"/>
      <c r="O508" s="14"/>
    </row>
    <row r="509" spans="1:15" s="15" customFormat="1">
      <c r="A509" s="14"/>
      <c r="B509" s="14"/>
      <c r="O509" s="14"/>
    </row>
    <row r="510" spans="1:15" s="15" customFormat="1">
      <c r="A510" s="14"/>
      <c r="B510" s="14"/>
      <c r="O510" s="14"/>
    </row>
    <row r="511" spans="1:15" s="15" customFormat="1">
      <c r="A511" s="14"/>
      <c r="B511" s="14"/>
      <c r="O511" s="14"/>
    </row>
    <row r="512" spans="1:15" s="15" customFormat="1">
      <c r="A512" s="14"/>
      <c r="B512" s="14"/>
      <c r="O512" s="14"/>
    </row>
    <row r="513" spans="1:15" s="15" customFormat="1">
      <c r="A513" s="14"/>
      <c r="B513" s="14"/>
      <c r="O513" s="14"/>
    </row>
    <row r="514" spans="1:15" s="15" customFormat="1">
      <c r="A514" s="14"/>
      <c r="B514" s="14"/>
      <c r="O514" s="14"/>
    </row>
    <row r="515" spans="1:15" s="15" customFormat="1">
      <c r="A515" s="14"/>
      <c r="B515" s="14"/>
      <c r="O515" s="14"/>
    </row>
    <row r="516" spans="1:15" s="15" customFormat="1">
      <c r="A516" s="14"/>
      <c r="B516" s="14"/>
      <c r="O516" s="14"/>
    </row>
    <row r="517" spans="1:15" s="15" customFormat="1">
      <c r="A517" s="14"/>
      <c r="B517" s="14"/>
      <c r="O517" s="14"/>
    </row>
    <row r="518" spans="1:15" s="15" customFormat="1">
      <c r="A518" s="14"/>
      <c r="B518" s="14"/>
      <c r="O518" s="14"/>
    </row>
    <row r="519" spans="1:15" s="15" customFormat="1">
      <c r="A519" s="14"/>
      <c r="B519" s="14"/>
      <c r="O519" s="14"/>
    </row>
    <row r="520" spans="1:15" s="15" customFormat="1">
      <c r="A520" s="14"/>
      <c r="B520" s="14"/>
      <c r="O520" s="14"/>
    </row>
    <row r="521" spans="1:15" s="15" customFormat="1">
      <c r="A521" s="14"/>
      <c r="B521" s="14"/>
      <c r="O521" s="14"/>
    </row>
    <row r="522" spans="1:15" s="15" customFormat="1">
      <c r="A522" s="14"/>
      <c r="B522" s="14"/>
      <c r="O522" s="14"/>
    </row>
    <row r="523" spans="1:15" s="15" customFormat="1">
      <c r="A523" s="14"/>
      <c r="B523" s="14"/>
      <c r="O523" s="14"/>
    </row>
    <row r="524" spans="1:15" s="15" customFormat="1">
      <c r="A524" s="14"/>
      <c r="B524" s="14"/>
      <c r="O524" s="14"/>
    </row>
    <row r="525" spans="1:15" s="15" customFormat="1">
      <c r="A525" s="14"/>
      <c r="B525" s="14"/>
      <c r="O525" s="14"/>
    </row>
    <row r="526" spans="1:15" s="15" customFormat="1">
      <c r="A526" s="14"/>
      <c r="B526" s="14"/>
      <c r="O526" s="14"/>
    </row>
    <row r="527" spans="1:15" s="15" customFormat="1">
      <c r="A527" s="14"/>
      <c r="B527" s="14"/>
      <c r="O527" s="14"/>
    </row>
    <row r="528" spans="1:15" s="15" customFormat="1">
      <c r="A528" s="14"/>
      <c r="B528" s="14"/>
      <c r="O528" s="14"/>
    </row>
    <row r="529" spans="1:15" s="15" customFormat="1">
      <c r="A529" s="14"/>
      <c r="B529" s="14"/>
      <c r="O529" s="14"/>
    </row>
    <row r="530" spans="1:15" s="15" customFormat="1">
      <c r="A530" s="14"/>
      <c r="B530" s="14"/>
      <c r="O530" s="14"/>
    </row>
    <row r="531" spans="1:15" s="15" customFormat="1">
      <c r="A531" s="14"/>
      <c r="B531" s="14"/>
      <c r="O531" s="14"/>
    </row>
    <row r="532" spans="1:15" s="15" customFormat="1">
      <c r="A532" s="14"/>
      <c r="B532" s="14"/>
      <c r="O532" s="14"/>
    </row>
    <row r="533" spans="1:15" s="15" customFormat="1">
      <c r="A533" s="14"/>
      <c r="B533" s="14"/>
      <c r="O533" s="14"/>
    </row>
    <row r="534" spans="1:15" s="15" customFormat="1">
      <c r="A534" s="14"/>
      <c r="B534" s="14"/>
      <c r="O534" s="14"/>
    </row>
    <row r="535" spans="1:15" s="15" customFormat="1">
      <c r="A535" s="14"/>
      <c r="B535" s="14"/>
      <c r="O535" s="14"/>
    </row>
    <row r="536" spans="1:15" s="15" customFormat="1">
      <c r="A536" s="14"/>
      <c r="B536" s="14"/>
      <c r="O536" s="14"/>
    </row>
    <row r="537" spans="1:15" s="15" customFormat="1">
      <c r="A537" s="14"/>
      <c r="B537" s="14"/>
      <c r="O537" s="14"/>
    </row>
    <row r="538" spans="1:15" s="15" customFormat="1">
      <c r="A538" s="14"/>
      <c r="B538" s="14"/>
      <c r="O538" s="14"/>
    </row>
    <row r="539" spans="1:15" s="15" customFormat="1">
      <c r="A539" s="14"/>
      <c r="B539" s="14"/>
      <c r="O539" s="14"/>
    </row>
    <row r="540" spans="1:15" s="15" customFormat="1">
      <c r="A540" s="14"/>
      <c r="B540" s="14"/>
      <c r="O540" s="14"/>
    </row>
    <row r="541" spans="1:15" s="15" customFormat="1">
      <c r="A541" s="14"/>
      <c r="B541" s="14"/>
      <c r="O541" s="14"/>
    </row>
    <row r="542" spans="1:15" s="15" customFormat="1">
      <c r="A542" s="14"/>
      <c r="B542" s="14"/>
      <c r="O542" s="14"/>
    </row>
    <row r="543" spans="1:15" s="15" customFormat="1">
      <c r="A543" s="14"/>
      <c r="B543" s="14"/>
      <c r="O543" s="14"/>
    </row>
    <row r="544" spans="1:15" s="15" customFormat="1">
      <c r="A544" s="14"/>
      <c r="B544" s="14"/>
      <c r="O544" s="14"/>
    </row>
    <row r="545" spans="1:15" s="15" customFormat="1">
      <c r="A545" s="14"/>
      <c r="B545" s="14"/>
      <c r="O545" s="14"/>
    </row>
    <row r="546" spans="1:15" s="15" customFormat="1">
      <c r="A546" s="14"/>
      <c r="B546" s="14"/>
      <c r="O546" s="14"/>
    </row>
    <row r="547" spans="1:15" s="15" customFormat="1">
      <c r="A547" s="14"/>
      <c r="B547" s="14"/>
      <c r="O547" s="14"/>
    </row>
    <row r="548" spans="1:15" s="15" customFormat="1">
      <c r="A548" s="14"/>
      <c r="B548" s="14"/>
      <c r="O548" s="14"/>
    </row>
    <row r="549" spans="1:15" s="15" customFormat="1">
      <c r="A549" s="14"/>
      <c r="B549" s="14"/>
      <c r="O549" s="14"/>
    </row>
    <row r="550" spans="1:15" s="15" customFormat="1">
      <c r="A550" s="14"/>
      <c r="B550" s="14"/>
      <c r="O550" s="14"/>
    </row>
    <row r="551" spans="1:15" s="15" customFormat="1">
      <c r="A551" s="14"/>
      <c r="B551" s="14"/>
      <c r="O551" s="14"/>
    </row>
    <row r="552" spans="1:15" s="15" customFormat="1">
      <c r="A552" s="14"/>
      <c r="B552" s="14"/>
      <c r="O552" s="14"/>
    </row>
    <row r="553" spans="1:15" s="15" customFormat="1">
      <c r="A553" s="14"/>
      <c r="B553" s="14"/>
      <c r="O553" s="14"/>
    </row>
    <row r="554" spans="1:15" s="15" customFormat="1">
      <c r="A554" s="14"/>
      <c r="B554" s="14"/>
      <c r="O554" s="14"/>
    </row>
    <row r="555" spans="1:15" s="15" customFormat="1">
      <c r="A555" s="14"/>
      <c r="B555" s="14"/>
      <c r="O555" s="14"/>
    </row>
    <row r="556" spans="1:15" s="15" customFormat="1">
      <c r="A556" s="14"/>
      <c r="B556" s="14"/>
      <c r="O556" s="14"/>
    </row>
    <row r="557" spans="1:15" s="15" customFormat="1">
      <c r="A557" s="14"/>
      <c r="B557" s="14"/>
      <c r="O557" s="14"/>
    </row>
    <row r="558" spans="1:15" s="15" customFormat="1">
      <c r="A558" s="14"/>
      <c r="B558" s="14"/>
      <c r="O558" s="14"/>
    </row>
    <row r="559" spans="1:15" s="15" customFormat="1">
      <c r="A559" s="14"/>
      <c r="B559" s="14"/>
      <c r="O559" s="14"/>
    </row>
    <row r="560" spans="1:15" s="15" customFormat="1">
      <c r="A560" s="14"/>
      <c r="B560" s="14"/>
      <c r="O560" s="14"/>
    </row>
    <row r="561" spans="1:15" s="15" customFormat="1">
      <c r="A561" s="14"/>
      <c r="B561" s="14"/>
      <c r="O561" s="14"/>
    </row>
    <row r="562" spans="1:15" s="15" customFormat="1">
      <c r="A562" s="14"/>
      <c r="B562" s="14"/>
      <c r="O562" s="14"/>
    </row>
    <row r="563" spans="1:15" s="15" customFormat="1">
      <c r="A563" s="14"/>
      <c r="B563" s="14"/>
      <c r="O563" s="14"/>
    </row>
    <row r="564" spans="1:15" s="15" customFormat="1">
      <c r="A564" s="14"/>
      <c r="B564" s="14"/>
      <c r="O564" s="14"/>
    </row>
    <row r="565" spans="1:15" s="15" customFormat="1">
      <c r="A565" s="14"/>
      <c r="B565" s="14"/>
      <c r="O565" s="14"/>
    </row>
    <row r="566" spans="1:15" s="15" customFormat="1">
      <c r="A566" s="14"/>
      <c r="B566" s="14"/>
      <c r="O566" s="14"/>
    </row>
    <row r="567" spans="1:15" s="15" customFormat="1">
      <c r="A567" s="14"/>
      <c r="B567" s="14"/>
      <c r="O567" s="14"/>
    </row>
    <row r="568" spans="1:15" s="15" customFormat="1">
      <c r="A568" s="14"/>
      <c r="B568" s="14"/>
      <c r="O568" s="14"/>
    </row>
    <row r="569" spans="1:15" s="15" customFormat="1">
      <c r="A569" s="14"/>
      <c r="B569" s="14"/>
      <c r="O569" s="14"/>
    </row>
    <row r="570" spans="1:15" s="15" customFormat="1">
      <c r="A570" s="14"/>
      <c r="B570" s="14"/>
      <c r="O570" s="14"/>
    </row>
    <row r="571" spans="1:15" s="15" customFormat="1">
      <c r="A571" s="14"/>
      <c r="B571" s="14"/>
      <c r="O571" s="14"/>
    </row>
    <row r="572" spans="1:15" s="15" customFormat="1">
      <c r="A572" s="14"/>
      <c r="B572" s="14"/>
      <c r="O572" s="14"/>
    </row>
    <row r="573" spans="1:15" s="15" customFormat="1">
      <c r="A573" s="14"/>
      <c r="B573" s="14"/>
      <c r="O573" s="14"/>
    </row>
    <row r="574" spans="1:15" s="15" customFormat="1">
      <c r="A574" s="14"/>
      <c r="B574" s="14"/>
      <c r="O574" s="14"/>
    </row>
    <row r="575" spans="1:15" s="15" customFormat="1">
      <c r="A575" s="14"/>
      <c r="B575" s="14"/>
      <c r="O575" s="14"/>
    </row>
    <row r="576" spans="1:15" s="15" customFormat="1">
      <c r="A576" s="14"/>
      <c r="B576" s="14"/>
      <c r="O576" s="14"/>
    </row>
    <row r="577" spans="1:15" s="15" customFormat="1">
      <c r="A577" s="14"/>
      <c r="B577" s="14"/>
      <c r="O577" s="14"/>
    </row>
    <row r="578" spans="1:15" s="15" customFormat="1">
      <c r="A578" s="14"/>
      <c r="B578" s="14"/>
      <c r="O578" s="14"/>
    </row>
    <row r="579" spans="1:15" s="15" customFormat="1">
      <c r="A579" s="14"/>
      <c r="B579" s="14"/>
      <c r="O579" s="14"/>
    </row>
    <row r="580" spans="1:15" s="15" customFormat="1">
      <c r="A580" s="14"/>
      <c r="B580" s="14"/>
      <c r="O580" s="14"/>
    </row>
    <row r="581" spans="1:15" s="15" customFormat="1">
      <c r="A581" s="14"/>
      <c r="B581" s="14"/>
      <c r="O581" s="14"/>
    </row>
    <row r="582" spans="1:15" s="15" customFormat="1">
      <c r="A582" s="14"/>
      <c r="B582" s="14"/>
      <c r="O582" s="14"/>
    </row>
    <row r="583" spans="1:15" s="15" customFormat="1">
      <c r="A583" s="14"/>
      <c r="B583" s="14"/>
      <c r="O583" s="14"/>
    </row>
    <row r="584" spans="1:15" s="15" customFormat="1">
      <c r="A584" s="14"/>
      <c r="B584" s="14"/>
      <c r="O584" s="14"/>
    </row>
    <row r="585" spans="1:15" s="15" customFormat="1">
      <c r="A585" s="14"/>
      <c r="B585" s="14"/>
      <c r="O585" s="14"/>
    </row>
    <row r="586" spans="1:15" s="15" customFormat="1">
      <c r="A586" s="14"/>
      <c r="B586" s="14"/>
      <c r="O586" s="14"/>
    </row>
    <row r="587" spans="1:15" s="15" customFormat="1">
      <c r="A587" s="14"/>
      <c r="B587" s="14"/>
      <c r="O587" s="14"/>
    </row>
    <row r="588" spans="1:15" s="15" customFormat="1">
      <c r="A588" s="14"/>
      <c r="B588" s="14"/>
      <c r="O588" s="14"/>
    </row>
    <row r="589" spans="1:15" s="15" customFormat="1">
      <c r="A589" s="14"/>
      <c r="B589" s="14"/>
      <c r="O589" s="14"/>
    </row>
    <row r="590" spans="1:15" s="15" customFormat="1">
      <c r="A590" s="14"/>
      <c r="B590" s="14"/>
      <c r="O590" s="14"/>
    </row>
    <row r="591" spans="1:15" s="15" customFormat="1">
      <c r="A591" s="14"/>
      <c r="B591" s="14"/>
      <c r="O591" s="14"/>
    </row>
    <row r="592" spans="1:15" s="15" customFormat="1">
      <c r="A592" s="14"/>
      <c r="B592" s="14"/>
      <c r="O592" s="14"/>
    </row>
    <row r="593" spans="1:15" s="15" customFormat="1">
      <c r="A593" s="14"/>
      <c r="B593" s="14"/>
      <c r="O593" s="14"/>
    </row>
    <row r="594" spans="1:15" s="15" customFormat="1">
      <c r="A594" s="14"/>
      <c r="B594" s="14"/>
      <c r="O594" s="14"/>
    </row>
    <row r="595" spans="1:15" s="15" customFormat="1">
      <c r="A595" s="14"/>
      <c r="B595" s="14"/>
      <c r="O595" s="14"/>
    </row>
    <row r="596" spans="1:15" s="15" customFormat="1">
      <c r="A596" s="14"/>
      <c r="B596" s="14"/>
      <c r="O596" s="14"/>
    </row>
    <row r="597" spans="1:15" s="15" customFormat="1">
      <c r="A597" s="14"/>
      <c r="B597" s="14"/>
      <c r="O597" s="14"/>
    </row>
    <row r="598" spans="1:15" s="15" customFormat="1">
      <c r="A598" s="14"/>
      <c r="B598" s="14"/>
      <c r="O598" s="14"/>
    </row>
    <row r="599" spans="1:15" s="15" customFormat="1">
      <c r="A599" s="14"/>
      <c r="B599" s="14"/>
      <c r="O599" s="14"/>
    </row>
    <row r="600" spans="1:15" s="15" customFormat="1">
      <c r="A600" s="14"/>
      <c r="B600" s="14"/>
      <c r="O600" s="14"/>
    </row>
    <row r="601" spans="1:15" s="15" customFormat="1">
      <c r="A601" s="14"/>
      <c r="B601" s="14"/>
      <c r="O601" s="14"/>
    </row>
    <row r="602" spans="1:15" s="15" customFormat="1">
      <c r="A602" s="14"/>
      <c r="B602" s="14"/>
      <c r="O602" s="14"/>
    </row>
    <row r="603" spans="1:15" s="15" customFormat="1">
      <c r="A603" s="14"/>
      <c r="B603" s="14"/>
      <c r="O603" s="14"/>
    </row>
    <row r="604" spans="1:15" s="15" customFormat="1">
      <c r="A604" s="14"/>
      <c r="B604" s="14"/>
      <c r="O604" s="14"/>
    </row>
    <row r="605" spans="1:15" s="15" customFormat="1">
      <c r="A605" s="14"/>
      <c r="B605" s="14"/>
      <c r="O605" s="14"/>
    </row>
    <row r="606" spans="1:15" s="15" customFormat="1">
      <c r="A606" s="14"/>
      <c r="B606" s="14"/>
      <c r="O606" s="14"/>
    </row>
    <row r="607" spans="1:15" s="15" customFormat="1">
      <c r="A607" s="14"/>
      <c r="B607" s="14"/>
      <c r="O607" s="14"/>
    </row>
    <row r="608" spans="1:15" s="15" customFormat="1">
      <c r="A608" s="14"/>
      <c r="B608" s="14"/>
      <c r="O608" s="14"/>
    </row>
    <row r="609" spans="1:15" s="15" customFormat="1">
      <c r="A609" s="14"/>
      <c r="B609" s="14"/>
      <c r="O609" s="14"/>
    </row>
    <row r="610" spans="1:15" s="15" customFormat="1">
      <c r="A610" s="14"/>
      <c r="B610" s="14"/>
      <c r="O610" s="14"/>
    </row>
    <row r="611" spans="1:15" s="15" customFormat="1">
      <c r="A611" s="14"/>
      <c r="B611" s="14"/>
      <c r="O611" s="14"/>
    </row>
    <row r="612" spans="1:15" s="15" customFormat="1">
      <c r="A612" s="14"/>
      <c r="B612" s="14"/>
      <c r="O612" s="14"/>
    </row>
    <row r="613" spans="1:15" s="15" customFormat="1">
      <c r="A613" s="14"/>
      <c r="B613" s="14"/>
      <c r="O613" s="14"/>
    </row>
    <row r="614" spans="1:15" s="15" customFormat="1">
      <c r="A614" s="14"/>
      <c r="B614" s="14"/>
      <c r="O614" s="14"/>
    </row>
    <row r="615" spans="1:15" s="15" customFormat="1">
      <c r="A615" s="14"/>
      <c r="B615" s="14"/>
      <c r="O615" s="14"/>
    </row>
    <row r="616" spans="1:15" s="15" customFormat="1">
      <c r="A616" s="14"/>
      <c r="B616" s="14"/>
      <c r="O616" s="14"/>
    </row>
    <row r="617" spans="1:15" s="15" customFormat="1">
      <c r="A617" s="14"/>
      <c r="B617" s="14"/>
      <c r="O617" s="14"/>
    </row>
    <row r="618" spans="1:15" s="15" customFormat="1">
      <c r="A618" s="14"/>
      <c r="B618" s="14"/>
      <c r="O618" s="14"/>
    </row>
    <row r="619" spans="1:15" s="15" customFormat="1">
      <c r="A619" s="14"/>
      <c r="B619" s="14"/>
      <c r="O619" s="14"/>
    </row>
    <row r="620" spans="1:15" s="15" customFormat="1">
      <c r="A620" s="14"/>
      <c r="B620" s="14"/>
      <c r="O620" s="14"/>
    </row>
    <row r="621" spans="1:15" s="15" customFormat="1">
      <c r="A621" s="14"/>
      <c r="B621" s="14"/>
      <c r="O621" s="14"/>
    </row>
    <row r="622" spans="1:15" s="15" customFormat="1">
      <c r="A622" s="14"/>
      <c r="B622" s="14"/>
      <c r="O622" s="14"/>
    </row>
    <row r="623" spans="1:15" s="15" customFormat="1">
      <c r="A623" s="14"/>
      <c r="B623" s="14"/>
      <c r="O623" s="14"/>
    </row>
    <row r="624" spans="1:15" s="15" customFormat="1">
      <c r="A624" s="14"/>
      <c r="B624" s="14"/>
      <c r="O624" s="14"/>
    </row>
    <row r="625" spans="1:15" s="15" customFormat="1">
      <c r="A625" s="14"/>
      <c r="B625" s="14"/>
      <c r="O625" s="14"/>
    </row>
    <row r="626" spans="1:15" s="15" customFormat="1">
      <c r="A626" s="14"/>
      <c r="B626" s="14"/>
      <c r="O626" s="14"/>
    </row>
    <row r="627" spans="1:15" s="15" customFormat="1">
      <c r="A627" s="14"/>
      <c r="B627" s="14"/>
      <c r="O627" s="14"/>
    </row>
    <row r="628" spans="1:15" s="15" customFormat="1">
      <c r="A628" s="14"/>
      <c r="B628" s="14"/>
      <c r="O628" s="14"/>
    </row>
    <row r="629" spans="1:15" s="15" customFormat="1">
      <c r="A629" s="14"/>
      <c r="B629" s="14"/>
      <c r="O629" s="14"/>
    </row>
    <row r="630" spans="1:15" s="15" customFormat="1">
      <c r="A630" s="14"/>
      <c r="B630" s="14"/>
      <c r="O630" s="14"/>
    </row>
    <row r="631" spans="1:15" s="15" customFormat="1">
      <c r="A631" s="14"/>
      <c r="B631" s="14"/>
      <c r="O631" s="14"/>
    </row>
    <row r="632" spans="1:15" s="15" customFormat="1">
      <c r="A632" s="14"/>
      <c r="B632" s="14"/>
      <c r="O632" s="14"/>
    </row>
    <row r="633" spans="1:15" s="15" customFormat="1">
      <c r="A633" s="14"/>
      <c r="B633" s="14"/>
      <c r="O633" s="14"/>
    </row>
    <row r="634" spans="1:15" s="15" customFormat="1">
      <c r="A634" s="14"/>
      <c r="B634" s="14"/>
      <c r="O634" s="14"/>
    </row>
    <row r="635" spans="1:15" s="15" customFormat="1">
      <c r="A635" s="14"/>
      <c r="B635" s="14"/>
      <c r="O635" s="14"/>
    </row>
    <row r="636" spans="1:15" s="15" customFormat="1">
      <c r="A636" s="14"/>
      <c r="B636" s="14"/>
      <c r="O636" s="14"/>
    </row>
    <row r="637" spans="1:15" s="15" customFormat="1">
      <c r="A637" s="14"/>
      <c r="B637" s="14"/>
      <c r="O637" s="14"/>
    </row>
    <row r="638" spans="1:15" s="15" customFormat="1">
      <c r="A638" s="14"/>
      <c r="B638" s="14"/>
      <c r="O638" s="14"/>
    </row>
    <row r="639" spans="1:15" s="15" customFormat="1">
      <c r="A639" s="14"/>
      <c r="B639" s="14"/>
      <c r="O639" s="14"/>
    </row>
    <row r="640" spans="1:15" s="15" customFormat="1">
      <c r="A640" s="14"/>
      <c r="B640" s="14"/>
      <c r="O640" s="14"/>
    </row>
    <row r="641" spans="1:15" s="15" customFormat="1">
      <c r="A641" s="14"/>
      <c r="B641" s="14"/>
      <c r="O641" s="14"/>
    </row>
    <row r="642" spans="1:15" s="15" customFormat="1">
      <c r="A642" s="14"/>
      <c r="B642" s="14"/>
      <c r="O642" s="14"/>
    </row>
    <row r="643" spans="1:15" s="15" customFormat="1">
      <c r="A643" s="14"/>
      <c r="B643" s="14"/>
      <c r="O643" s="14"/>
    </row>
    <row r="644" spans="1:15" s="15" customFormat="1">
      <c r="A644" s="14"/>
      <c r="B644" s="14"/>
      <c r="O644" s="14"/>
    </row>
    <row r="645" spans="1:15" s="15" customFormat="1">
      <c r="A645" s="14"/>
      <c r="B645" s="14"/>
      <c r="O645" s="14"/>
    </row>
    <row r="646" spans="1:15" s="15" customFormat="1">
      <c r="A646" s="14"/>
      <c r="B646" s="14"/>
      <c r="O646" s="14"/>
    </row>
    <row r="647" spans="1:15" s="15" customFormat="1">
      <c r="A647" s="14"/>
      <c r="B647" s="14"/>
      <c r="O647" s="14"/>
    </row>
    <row r="648" spans="1:15" s="15" customFormat="1">
      <c r="A648" s="14"/>
      <c r="B648" s="14"/>
      <c r="O648" s="14"/>
    </row>
    <row r="649" spans="1:15" s="15" customFormat="1">
      <c r="A649" s="14"/>
      <c r="B649" s="14"/>
      <c r="O649" s="14"/>
    </row>
    <row r="650" spans="1:15" s="15" customFormat="1">
      <c r="A650" s="14"/>
      <c r="B650" s="14"/>
      <c r="O650" s="14"/>
    </row>
    <row r="651" spans="1:15" s="15" customFormat="1">
      <c r="A651" s="14"/>
      <c r="B651" s="14"/>
      <c r="O651" s="14"/>
    </row>
    <row r="652" spans="1:15" s="15" customFormat="1">
      <c r="A652" s="14"/>
      <c r="B652" s="14"/>
      <c r="O652" s="14"/>
    </row>
    <row r="653" spans="1:15" s="15" customFormat="1">
      <c r="A653" s="14"/>
      <c r="B653" s="14"/>
      <c r="O653" s="14"/>
    </row>
    <row r="654" spans="1:15" s="15" customFormat="1">
      <c r="A654" s="14"/>
      <c r="B654" s="14"/>
      <c r="O654" s="14"/>
    </row>
    <row r="655" spans="1:15" s="15" customFormat="1">
      <c r="A655" s="14"/>
      <c r="B655" s="14"/>
      <c r="O655" s="14"/>
    </row>
    <row r="656" spans="1:15" s="15" customFormat="1">
      <c r="A656" s="14"/>
      <c r="B656" s="14"/>
      <c r="O656" s="14"/>
    </row>
    <row r="657" spans="1:15" s="15" customFormat="1">
      <c r="A657" s="14"/>
      <c r="B657" s="14"/>
      <c r="O657" s="14"/>
    </row>
    <row r="658" spans="1:15" s="15" customFormat="1">
      <c r="A658" s="14"/>
      <c r="B658" s="14"/>
      <c r="O658" s="14"/>
    </row>
    <row r="659" spans="1:15" s="15" customFormat="1">
      <c r="A659" s="14"/>
      <c r="B659" s="14"/>
      <c r="O659" s="14"/>
    </row>
    <row r="660" spans="1:15" s="15" customFormat="1">
      <c r="A660" s="14"/>
      <c r="B660" s="14"/>
      <c r="O660" s="14"/>
    </row>
    <row r="661" spans="1:15" s="15" customFormat="1">
      <c r="A661" s="14"/>
      <c r="B661" s="14"/>
      <c r="O661" s="14"/>
    </row>
    <row r="662" spans="1:15" s="15" customFormat="1">
      <c r="A662" s="14"/>
      <c r="B662" s="14"/>
      <c r="O662" s="14"/>
    </row>
    <row r="663" spans="1:15" s="15" customFormat="1">
      <c r="A663" s="14"/>
      <c r="B663" s="14"/>
      <c r="O663" s="14"/>
    </row>
    <row r="664" spans="1:15" s="15" customFormat="1">
      <c r="A664" s="14"/>
      <c r="B664" s="14"/>
      <c r="O664" s="14"/>
    </row>
    <row r="665" spans="1:15" s="15" customFormat="1">
      <c r="A665" s="14"/>
      <c r="B665" s="14"/>
      <c r="O665" s="14"/>
    </row>
    <row r="666" spans="1:15" s="15" customFormat="1">
      <c r="A666" s="14"/>
      <c r="B666" s="14"/>
      <c r="O666" s="14"/>
    </row>
    <row r="667" spans="1:15" s="15" customFormat="1">
      <c r="A667" s="14"/>
      <c r="B667" s="14"/>
      <c r="O667" s="14"/>
    </row>
    <row r="668" spans="1:15" s="15" customFormat="1">
      <c r="A668" s="14"/>
      <c r="B668" s="14"/>
      <c r="O668" s="14"/>
    </row>
    <row r="669" spans="1:15" s="15" customFormat="1">
      <c r="A669" s="14"/>
      <c r="B669" s="14"/>
      <c r="O669" s="14"/>
    </row>
    <row r="670" spans="1:15" s="15" customFormat="1">
      <c r="A670" s="14"/>
      <c r="B670" s="14"/>
      <c r="O670" s="14"/>
    </row>
    <row r="671" spans="1:15" s="15" customFormat="1">
      <c r="A671" s="14"/>
      <c r="B671" s="14"/>
      <c r="O671" s="14"/>
    </row>
    <row r="672" spans="1:15" s="15" customFormat="1">
      <c r="A672" s="14"/>
      <c r="B672" s="14"/>
      <c r="O672" s="14"/>
    </row>
    <row r="673" spans="1:15" s="15" customFormat="1">
      <c r="A673" s="14"/>
      <c r="B673" s="14"/>
      <c r="O673" s="14"/>
    </row>
    <row r="674" spans="1:15" s="15" customFormat="1">
      <c r="A674" s="14"/>
      <c r="B674" s="14"/>
      <c r="O674" s="14"/>
    </row>
    <row r="675" spans="1:15" s="15" customFormat="1">
      <c r="A675" s="14"/>
      <c r="B675" s="14"/>
      <c r="O675" s="14"/>
    </row>
    <row r="676" spans="1:15" s="15" customFormat="1">
      <c r="A676" s="14"/>
      <c r="B676" s="14"/>
      <c r="O676" s="14"/>
    </row>
    <row r="677" spans="1:15" s="15" customFormat="1">
      <c r="A677" s="14"/>
      <c r="B677" s="14"/>
      <c r="O677" s="14"/>
    </row>
    <row r="678" spans="1:15" s="15" customFormat="1">
      <c r="A678" s="14"/>
      <c r="B678" s="14"/>
      <c r="O678" s="14"/>
    </row>
    <row r="679" spans="1:15" s="15" customFormat="1">
      <c r="A679" s="14"/>
      <c r="B679" s="14"/>
      <c r="O679" s="14"/>
    </row>
    <row r="680" spans="1:15" s="15" customFormat="1">
      <c r="A680" s="14"/>
      <c r="B680" s="14"/>
      <c r="O680" s="14"/>
    </row>
    <row r="681" spans="1:15" s="15" customFormat="1">
      <c r="A681" s="14"/>
      <c r="B681" s="14"/>
      <c r="O681" s="14"/>
    </row>
    <row r="682" spans="1:15" s="15" customFormat="1">
      <c r="A682" s="14"/>
      <c r="B682" s="14"/>
      <c r="O682" s="14"/>
    </row>
    <row r="683" spans="1:15" s="15" customFormat="1">
      <c r="A683" s="14"/>
      <c r="B683" s="14"/>
      <c r="O683" s="14"/>
    </row>
    <row r="684" spans="1:15" s="15" customFormat="1">
      <c r="A684" s="14"/>
      <c r="B684" s="14"/>
      <c r="O684" s="14"/>
    </row>
    <row r="685" spans="1:15" s="15" customFormat="1">
      <c r="A685" s="14"/>
      <c r="B685" s="14"/>
      <c r="O685" s="14"/>
    </row>
    <row r="686" spans="1:15" s="15" customFormat="1">
      <c r="A686" s="14"/>
      <c r="B686" s="14"/>
      <c r="O686" s="14"/>
    </row>
    <row r="687" spans="1:15" s="15" customFormat="1">
      <c r="A687" s="14"/>
      <c r="B687" s="14"/>
      <c r="O687" s="14"/>
    </row>
    <row r="688" spans="1:15" s="15" customFormat="1">
      <c r="A688" s="14"/>
      <c r="B688" s="14"/>
      <c r="O688" s="14"/>
    </row>
    <row r="689" spans="1:15" s="15" customFormat="1">
      <c r="A689" s="14"/>
      <c r="B689" s="14"/>
      <c r="O689" s="14"/>
    </row>
    <row r="690" spans="1:15" s="15" customFormat="1">
      <c r="A690" s="14"/>
      <c r="B690" s="14"/>
      <c r="O690" s="14"/>
    </row>
    <row r="691" spans="1:15" s="15" customFormat="1">
      <c r="A691" s="14"/>
      <c r="B691" s="14"/>
      <c r="O691" s="14"/>
    </row>
    <row r="692" spans="1:15" s="15" customFormat="1">
      <c r="A692" s="14"/>
      <c r="B692" s="14"/>
      <c r="O692" s="14"/>
    </row>
    <row r="693" spans="1:15" s="15" customFormat="1">
      <c r="A693" s="14"/>
      <c r="B693" s="14"/>
      <c r="O693" s="14"/>
    </row>
    <row r="694" spans="1:15" s="15" customFormat="1">
      <c r="A694" s="14"/>
      <c r="B694" s="14"/>
      <c r="O694" s="14"/>
    </row>
    <row r="695" spans="1:15" s="15" customFormat="1">
      <c r="A695" s="14"/>
      <c r="B695" s="14"/>
      <c r="O695" s="14"/>
    </row>
    <row r="696" spans="1:15" s="15" customFormat="1">
      <c r="A696" s="14"/>
      <c r="B696" s="14"/>
      <c r="O696" s="14"/>
    </row>
    <row r="697" spans="1:15" s="15" customFormat="1">
      <c r="A697" s="14"/>
      <c r="B697" s="14"/>
      <c r="O697" s="14"/>
    </row>
    <row r="698" spans="1:15" s="15" customFormat="1">
      <c r="A698" s="14"/>
      <c r="B698" s="14"/>
      <c r="O698" s="14"/>
    </row>
    <row r="699" spans="1:15" s="15" customFormat="1">
      <c r="A699" s="14"/>
      <c r="B699" s="14"/>
      <c r="O699" s="14"/>
    </row>
    <row r="700" spans="1:15" s="15" customFormat="1">
      <c r="A700" s="14"/>
      <c r="B700" s="14"/>
      <c r="O700" s="14"/>
    </row>
    <row r="701" spans="1:15" s="15" customFormat="1">
      <c r="A701" s="14"/>
      <c r="B701" s="14"/>
      <c r="O701" s="14"/>
    </row>
    <row r="702" spans="1:15" s="15" customFormat="1">
      <c r="A702" s="14"/>
      <c r="B702" s="14"/>
      <c r="O702" s="14"/>
    </row>
    <row r="703" spans="1:15" s="15" customFormat="1">
      <c r="A703" s="14"/>
      <c r="B703" s="14"/>
      <c r="O703" s="14"/>
    </row>
    <row r="704" spans="1:15" s="15" customFormat="1">
      <c r="A704" s="14"/>
      <c r="B704" s="14"/>
      <c r="O704" s="14"/>
    </row>
    <row r="705" spans="1:15" s="15" customFormat="1">
      <c r="A705" s="14"/>
      <c r="B705" s="14"/>
      <c r="O705" s="14"/>
    </row>
    <row r="706" spans="1:15" s="15" customFormat="1">
      <c r="A706" s="14"/>
      <c r="B706" s="14"/>
      <c r="O706" s="14"/>
    </row>
    <row r="707" spans="1:15" s="15" customFormat="1">
      <c r="A707" s="14"/>
      <c r="B707" s="14"/>
      <c r="O707" s="14"/>
    </row>
    <row r="708" spans="1:15" s="15" customFormat="1">
      <c r="A708" s="14"/>
      <c r="B708" s="14"/>
      <c r="O708" s="14"/>
    </row>
    <row r="709" spans="1:15" s="15" customFormat="1">
      <c r="A709" s="14"/>
      <c r="B709" s="14"/>
      <c r="O709" s="14"/>
    </row>
    <row r="710" spans="1:15" s="15" customFormat="1">
      <c r="A710" s="14"/>
      <c r="B710" s="14"/>
      <c r="O710" s="14"/>
    </row>
    <row r="711" spans="1:15" s="15" customFormat="1">
      <c r="A711" s="14"/>
      <c r="B711" s="14"/>
      <c r="O711" s="14"/>
    </row>
    <row r="712" spans="1:15" s="15" customFormat="1">
      <c r="A712" s="14"/>
      <c r="B712" s="14"/>
      <c r="O712" s="14"/>
    </row>
    <row r="713" spans="1:15" s="15" customFormat="1">
      <c r="A713" s="14"/>
      <c r="B713" s="14"/>
      <c r="O713" s="14"/>
    </row>
    <row r="714" spans="1:15" s="15" customFormat="1">
      <c r="A714" s="14"/>
      <c r="B714" s="14"/>
      <c r="O714" s="14"/>
    </row>
    <row r="715" spans="1:15" s="15" customFormat="1">
      <c r="A715" s="14"/>
      <c r="B715" s="14"/>
      <c r="O715" s="14"/>
    </row>
    <row r="716" spans="1:15" s="15" customFormat="1">
      <c r="A716" s="14"/>
      <c r="B716" s="14"/>
      <c r="O716" s="14"/>
    </row>
    <row r="717" spans="1:15" s="15" customFormat="1">
      <c r="A717" s="14"/>
      <c r="B717" s="14"/>
      <c r="O717" s="14"/>
    </row>
    <row r="718" spans="1:15" s="15" customFormat="1">
      <c r="A718" s="14"/>
      <c r="B718" s="14"/>
      <c r="O718" s="14"/>
    </row>
    <row r="719" spans="1:15" s="15" customFormat="1">
      <c r="A719" s="14"/>
      <c r="B719" s="14"/>
      <c r="O719" s="14"/>
    </row>
    <row r="720" spans="1:15" s="15" customFormat="1">
      <c r="A720" s="14"/>
      <c r="B720" s="14"/>
      <c r="O720" s="14"/>
    </row>
    <row r="721" spans="1:15" s="15" customFormat="1">
      <c r="A721" s="14"/>
      <c r="B721" s="14"/>
      <c r="O721" s="14"/>
    </row>
    <row r="722" spans="1:15" s="15" customFormat="1">
      <c r="A722" s="14"/>
      <c r="B722" s="14"/>
      <c r="O722" s="14"/>
    </row>
    <row r="723" spans="1:15" s="15" customFormat="1">
      <c r="A723" s="14"/>
      <c r="B723" s="14"/>
      <c r="O723" s="14"/>
    </row>
    <row r="724" spans="1:15" s="15" customFormat="1">
      <c r="A724" s="14"/>
      <c r="B724" s="14"/>
      <c r="O724" s="14"/>
    </row>
    <row r="725" spans="1:15" s="15" customFormat="1">
      <c r="A725" s="14"/>
      <c r="B725" s="14"/>
      <c r="O725" s="14"/>
    </row>
    <row r="726" spans="1:15" s="15" customFormat="1">
      <c r="A726" s="14"/>
      <c r="B726" s="14"/>
      <c r="O726" s="14"/>
    </row>
    <row r="727" spans="1:15" s="15" customFormat="1">
      <c r="A727" s="14"/>
      <c r="B727" s="14"/>
      <c r="O727" s="14"/>
    </row>
    <row r="728" spans="1:15" s="15" customFormat="1">
      <c r="A728" s="14"/>
      <c r="B728" s="14"/>
      <c r="O728" s="14"/>
    </row>
    <row r="729" spans="1:15" s="15" customFormat="1">
      <c r="A729" s="14"/>
      <c r="B729" s="14"/>
      <c r="O729" s="14"/>
    </row>
    <row r="730" spans="1:15" s="15" customFormat="1">
      <c r="A730" s="14"/>
      <c r="B730" s="14"/>
      <c r="O730" s="14"/>
    </row>
    <row r="731" spans="1:15" s="15" customFormat="1">
      <c r="A731" s="14"/>
      <c r="B731" s="14"/>
      <c r="O731" s="14"/>
    </row>
    <row r="732" spans="1:15" s="15" customFormat="1">
      <c r="A732" s="14"/>
      <c r="B732" s="14"/>
      <c r="O732" s="14"/>
    </row>
    <row r="733" spans="1:15" s="15" customFormat="1">
      <c r="A733" s="14"/>
      <c r="B733" s="14"/>
      <c r="O733" s="14"/>
    </row>
    <row r="734" spans="1:15" s="15" customFormat="1">
      <c r="A734" s="14"/>
      <c r="B734" s="14"/>
      <c r="O734" s="14"/>
    </row>
    <row r="735" spans="1:15" s="15" customFormat="1">
      <c r="A735" s="14"/>
      <c r="B735" s="14"/>
      <c r="O735" s="14"/>
    </row>
    <row r="736" spans="1:15" s="15" customFormat="1">
      <c r="A736" s="14"/>
      <c r="B736" s="14"/>
      <c r="O736" s="14"/>
    </row>
    <row r="737" spans="1:15" s="15" customFormat="1">
      <c r="A737" s="14"/>
      <c r="B737" s="14"/>
      <c r="O737" s="14"/>
    </row>
    <row r="738" spans="1:15" s="15" customFormat="1">
      <c r="A738" s="14"/>
      <c r="B738" s="14"/>
      <c r="O738" s="14"/>
    </row>
    <row r="739" spans="1:15" s="15" customFormat="1">
      <c r="A739" s="14"/>
      <c r="B739" s="14"/>
      <c r="O739" s="14"/>
    </row>
    <row r="740" spans="1:15" s="15" customFormat="1">
      <c r="A740" s="14"/>
      <c r="B740" s="14"/>
      <c r="O740" s="14"/>
    </row>
    <row r="741" spans="1:15" s="15" customFormat="1">
      <c r="A741" s="14"/>
      <c r="B741" s="14"/>
      <c r="O741" s="14"/>
    </row>
    <row r="742" spans="1:15" s="15" customFormat="1">
      <c r="A742" s="14"/>
      <c r="B742" s="14"/>
      <c r="O742" s="14"/>
    </row>
    <row r="743" spans="1:15" s="15" customFormat="1">
      <c r="A743" s="14"/>
      <c r="B743" s="14"/>
      <c r="O743" s="14"/>
    </row>
    <row r="744" spans="1:15" s="15" customFormat="1">
      <c r="A744" s="14"/>
      <c r="B744" s="14"/>
      <c r="O744" s="14"/>
    </row>
    <row r="745" spans="1:15" s="15" customFormat="1">
      <c r="A745" s="14"/>
      <c r="B745" s="14"/>
      <c r="O745" s="14"/>
    </row>
    <row r="746" spans="1:15" s="15" customFormat="1">
      <c r="A746" s="14"/>
      <c r="B746" s="14"/>
      <c r="O746" s="14"/>
    </row>
    <row r="747" spans="1:15" s="15" customFormat="1">
      <c r="A747" s="14"/>
      <c r="B747" s="14"/>
      <c r="O747" s="14"/>
    </row>
    <row r="748" spans="1:15" s="15" customFormat="1">
      <c r="A748" s="14"/>
      <c r="B748" s="14"/>
      <c r="O748" s="14"/>
    </row>
    <row r="749" spans="1:15" s="15" customFormat="1">
      <c r="A749" s="14"/>
      <c r="B749" s="14"/>
      <c r="O749" s="14"/>
    </row>
    <row r="750" spans="1:15" s="15" customFormat="1">
      <c r="A750" s="14"/>
      <c r="B750" s="14"/>
      <c r="O750" s="14"/>
    </row>
    <row r="751" spans="1:15" s="15" customFormat="1">
      <c r="A751" s="14"/>
      <c r="B751" s="14"/>
      <c r="O751" s="14"/>
    </row>
    <row r="752" spans="1:15" s="15" customFormat="1">
      <c r="A752" s="14"/>
      <c r="B752" s="14"/>
      <c r="O752" s="14"/>
    </row>
    <row r="753" spans="1:15" s="15" customFormat="1">
      <c r="A753" s="14"/>
      <c r="B753" s="14"/>
      <c r="O753" s="14"/>
    </row>
    <row r="754" spans="1:15" s="15" customFormat="1">
      <c r="A754" s="14"/>
      <c r="B754" s="14"/>
      <c r="O754" s="14"/>
    </row>
    <row r="755" spans="1:15" s="15" customFormat="1">
      <c r="A755" s="14"/>
      <c r="B755" s="14"/>
      <c r="O755" s="14"/>
    </row>
    <row r="756" spans="1:15" s="15" customFormat="1">
      <c r="A756" s="14"/>
      <c r="B756" s="14"/>
      <c r="O756" s="14"/>
    </row>
    <row r="757" spans="1:15" s="15" customFormat="1">
      <c r="A757" s="14"/>
      <c r="B757" s="14"/>
      <c r="O757" s="14"/>
    </row>
    <row r="758" spans="1:15" s="15" customFormat="1">
      <c r="A758" s="14"/>
      <c r="B758" s="14"/>
      <c r="O758" s="14"/>
    </row>
    <row r="759" spans="1:15" s="15" customFormat="1">
      <c r="A759" s="14"/>
      <c r="B759" s="14"/>
      <c r="O759" s="14"/>
    </row>
    <row r="760" spans="1:15" s="15" customFormat="1">
      <c r="A760" s="14"/>
      <c r="B760" s="14"/>
      <c r="O760" s="14"/>
    </row>
    <row r="761" spans="1:15" s="15" customFormat="1">
      <c r="A761" s="14"/>
      <c r="B761" s="14"/>
      <c r="O761" s="14"/>
    </row>
    <row r="762" spans="1:15" s="15" customFormat="1">
      <c r="A762" s="14"/>
      <c r="B762" s="14"/>
      <c r="O762" s="14"/>
    </row>
    <row r="763" spans="1:15" s="15" customFormat="1">
      <c r="A763" s="14"/>
      <c r="B763" s="14"/>
      <c r="O763" s="14"/>
    </row>
    <row r="764" spans="1:15" s="15" customFormat="1">
      <c r="A764" s="14"/>
      <c r="B764" s="14"/>
      <c r="O764" s="14"/>
    </row>
    <row r="765" spans="1:15" s="15" customFormat="1">
      <c r="A765" s="14"/>
      <c r="B765" s="14"/>
      <c r="O765" s="14"/>
    </row>
    <row r="766" spans="1:15" s="15" customFormat="1">
      <c r="A766" s="14"/>
      <c r="B766" s="14"/>
      <c r="O766" s="14"/>
    </row>
    <row r="767" spans="1:15" s="15" customFormat="1">
      <c r="A767" s="14"/>
      <c r="B767" s="14"/>
      <c r="O767" s="14"/>
    </row>
    <row r="768" spans="1:15" s="15" customFormat="1">
      <c r="A768" s="14"/>
      <c r="B768" s="14"/>
      <c r="O768" s="14"/>
    </row>
    <row r="769" spans="1:19" s="15" customFormat="1">
      <c r="A769" s="14"/>
      <c r="B769" s="14"/>
      <c r="O769" s="14"/>
    </row>
    <row r="770" spans="1:19" s="15" customFormat="1">
      <c r="A770" s="14"/>
      <c r="B770" s="14"/>
      <c r="O770" s="14"/>
    </row>
    <row r="771" spans="1:19" s="15" customFormat="1">
      <c r="A771" s="14"/>
      <c r="B771" s="14"/>
      <c r="O771" s="14"/>
    </row>
    <row r="772" spans="1:19" s="15" customFormat="1">
      <c r="A772" s="14"/>
      <c r="B772" s="14"/>
      <c r="O772" s="14"/>
    </row>
    <row r="773" spans="1:19" s="15" customFormat="1">
      <c r="A773" s="14"/>
      <c r="B773" s="14"/>
      <c r="O773" s="14"/>
    </row>
    <row r="774" spans="1:19" s="15" customFormat="1">
      <c r="A774" s="14"/>
      <c r="B774" s="14"/>
      <c r="O774" s="14"/>
    </row>
    <row r="775" spans="1:19" s="15" customFormat="1">
      <c r="A775" s="14"/>
      <c r="B775" s="14"/>
      <c r="O775" s="14"/>
    </row>
    <row r="776" spans="1:19" s="15" customFormat="1">
      <c r="A776" s="14"/>
      <c r="B776" s="14"/>
      <c r="O776" s="14"/>
    </row>
    <row r="777" spans="1:19" s="15" customFormat="1">
      <c r="A777" s="14"/>
      <c r="B777" s="14"/>
      <c r="O777" s="14"/>
    </row>
    <row r="778" spans="1:19" s="15" customFormat="1">
      <c r="A778" s="14"/>
      <c r="B778" s="14"/>
      <c r="O778" s="14"/>
    </row>
    <row r="779" spans="1:19" s="15" customFormat="1">
      <c r="A779" s="14"/>
      <c r="B779" s="14"/>
      <c r="O779" s="14"/>
    </row>
    <row r="780" spans="1:19" s="15" customFormat="1">
      <c r="A780" s="14"/>
      <c r="B780" s="14"/>
      <c r="O780" s="14"/>
    </row>
    <row r="781" spans="1:19" s="15" customFormat="1">
      <c r="A781" s="14"/>
      <c r="B781" s="14"/>
      <c r="O781" s="14"/>
    </row>
    <row r="782" spans="1:19" s="15" customFormat="1">
      <c r="A782" s="14"/>
      <c r="B782" s="14"/>
      <c r="O782" s="14"/>
    </row>
    <row r="783" spans="1:19" s="149" customFormat="1">
      <c r="A783" s="157"/>
      <c r="B783" s="10"/>
      <c r="C783" s="7"/>
      <c r="D783" s="7"/>
      <c r="E783" s="15"/>
      <c r="F783" s="15"/>
      <c r="G783" s="15"/>
      <c r="I783" s="7"/>
      <c r="J783" s="7"/>
      <c r="K783" s="7"/>
      <c r="L783" s="7"/>
      <c r="M783" s="7"/>
      <c r="N783" s="7"/>
      <c r="O783" s="10"/>
      <c r="P783" s="7"/>
      <c r="Q783" s="7"/>
      <c r="R783" s="7"/>
      <c r="S783" s="7"/>
    </row>
  </sheetData>
  <sortState xmlns:xlrd2="http://schemas.microsoft.com/office/spreadsheetml/2017/richdata2" ref="A11:S19">
    <sortCondition ref="A11:A19"/>
  </sortState>
  <mergeCells count="4">
    <mergeCell ref="F9:G9"/>
    <mergeCell ref="H9:I9"/>
    <mergeCell ref="J9:K9"/>
    <mergeCell ref="Q9:S9"/>
  </mergeCells>
  <hyperlinks>
    <hyperlink ref="M1" location="Index!A1" display="Return to Index" xr:uid="{00000000-0004-0000-0700-000000000000}"/>
  </hyperlinks>
  <printOptions horizontalCentered="1"/>
  <pageMargins left="0.25" right="0.25" top="0.5" bottom="0.5" header="0.5" footer="0.5"/>
  <pageSetup scale="72" orientation="landscape" horizontalDpi="1200" verticalDpi="1200" r:id="rId1"/>
  <headerFooter alignWithMargins="0">
    <oddFooter>&amp;L&amp;8Planning &amp; Accountability&amp;R&amp;8&amp;D</oddFooter>
  </headerFooter>
  <rowBreaks count="1" manualBreakCount="1">
    <brk id="25" max="13" man="1"/>
  </rowBreaks>
  <ignoredErrors>
    <ignoredError sqref="C11:C15 C17:C18"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2.109375" style="277" customWidth="1"/>
    <col min="11" max="16384" width="9.109375" style="277"/>
  </cols>
  <sheetData>
    <row r="1" spans="1:6">
      <c r="B1" s="742" t="str">
        <f>'TTUHSC Chts'!$A$1</f>
        <v>Texas Tech University Health Sciences Center</v>
      </c>
      <c r="D1" s="321" t="s">
        <v>51</v>
      </c>
    </row>
    <row r="2" spans="1:6">
      <c r="B2" s="742" t="str">
        <f>'Smmy Chts'!$A$2</f>
        <v>For the Year Ended August 31, 2022</v>
      </c>
    </row>
    <row r="3" spans="1:6">
      <c r="B3" s="742" t="str">
        <f>'Smmy Chts'!$A$3</f>
        <v>Source: FY 2022 Annual Financial Report</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str">
        <f>IF('TTUHSC FGD'!$S$83="N/A","FN11.  N/A",$B$14&amp;$B$15&amp;$B$16&amp;$B$17&amp;$B$18&amp;$B$19&amp;$B$20&amp;$B$21&amp;$B$22&amp;$B$23&amp;$B$24)</f>
        <v>FN11: Of the net increase of $19,146,076 approximately $54.0 million represents revenues received but not year expended. This income is fully committed to program expenditures and capital disbursements. The remaining $(34.8) million represents non-expendable funds from unrealized gains and additions to permanent endowments of approximately $(35.0) million and $134 thousand respectively. Unrealized gains and additions to permanent endowments do not contribute to the availability of the institution's operating cash as discussed in FN6 and FN7.</v>
      </c>
      <c r="E9" s="669"/>
    </row>
    <row r="14" spans="1:6">
      <c r="B14" s="277" t="s">
        <v>698</v>
      </c>
    </row>
    <row r="15" spans="1:6">
      <c r="A15" s="277">
        <v>75</v>
      </c>
      <c r="B15" s="669" t="str">
        <f>TEXT(IF('TTUHSC FGD'!$M$91&lt;0,"N/A",'TTUHSC FGD'!$M$91),"$* #,##0;$* (#,##0)")</f>
        <v>$19,146,076</v>
      </c>
      <c r="C15" s="282"/>
      <c r="F15" s="282"/>
    </row>
    <row r="16" spans="1:6">
      <c r="B16" s="277" t="s">
        <v>699</v>
      </c>
    </row>
    <row r="17" spans="1:6">
      <c r="A17" s="277">
        <v>68</v>
      </c>
      <c r="B17" s="748" t="str">
        <f>IF(ABS('TTUHSC FGD'!$S$84)&gt;=1000000,TEXT('TTUHSC FGD'!$S$84/1000000,"$* #,##0.0;$* (#,##0.0)")&amp;" million",IF(ABS('TTUHSC FGD'!$S$84)&lt;1000,TEXT('TTUHSC FGD'!$S$84,"$* #,##0;$* (#,##0)"),TEXT('TTUHSC FGD'!$S$84/1000,"$* #,##0;$* (#,##0)")&amp;" thousand"))</f>
        <v>$54.0 million</v>
      </c>
      <c r="C17" s="748"/>
      <c r="F17" s="748"/>
    </row>
    <row r="18" spans="1:6">
      <c r="B18" s="277" t="s">
        <v>700</v>
      </c>
    </row>
    <row r="19" spans="1:6">
      <c r="A19" s="277">
        <v>69</v>
      </c>
      <c r="B19" s="277" t="str">
        <f>IF(ABS('TTUHSC FGD'!$S$85)&gt;=1000000,TEXT('TTUHSC FGD'!$S$85/1000000,"$* #,##0.0;$* (#,##0.0)")&amp;" million",IF(ABS('TTUHSC FGD'!$S$85)&lt;1000,TEXT('TTUHSC FGD'!$S$85,"$* #,##0;$* (#,##0)"),TEXT('TTUHSC FGD'!$S$85/1000,"$* #,##0;$* (#,##0)")&amp;" thousand"))</f>
        <v>$(34.8) million</v>
      </c>
    </row>
    <row r="20" spans="1:6">
      <c r="B20" s="277" t="s">
        <v>701</v>
      </c>
    </row>
    <row r="21" spans="1:6">
      <c r="A21" s="277">
        <v>71</v>
      </c>
      <c r="B21" s="277" t="str">
        <f>IF(ABS('TTUHSC FGD'!$S$87)&gt;=1000000,TEXT('TTUHSC FGD'!$S$87/1000000,"$* #,##0.0;$* (#,##0.0)")&amp;" million",IF(ABS('TTUHSC FGD'!$S$87)&lt;1000,TEXT('TTUHSC FGD'!$S$87,"$* #,##0;$* (#,##0)"),TEXT('TTUHSC FGD'!$S$87/1000,"$* #,##0;$* (#,##0)")&amp;" thousand"))</f>
        <v>$(35.0) million</v>
      </c>
    </row>
    <row r="22" spans="1:6">
      <c r="B22" s="277" t="s">
        <v>702</v>
      </c>
    </row>
    <row r="23" spans="1:6">
      <c r="A23" s="277">
        <v>73</v>
      </c>
      <c r="B23" s="277" t="str">
        <f>IF(ABS('TTUHSC FGD'!$S$89)&gt;=1000000,TEXT('TTUHSC FGD'!$S$89/1000000,"$* #,##0.0;$* (#,##0.0)")&amp;" million",IF(ABS('TTUHSC FGD'!$S$89)&lt;1000,TEXT('TTUHSC FGD'!$S$89,"$* #,##0;$* (#,##0)"),TEXT('TTUHSC FGD'!$S$89/1000,"$* #,##0;$* (#,##0)")&amp;" thousand"))</f>
        <v>$134 thousand</v>
      </c>
    </row>
    <row r="24" spans="1:6">
      <c r="B24" s="277" t="s">
        <v>703</v>
      </c>
    </row>
  </sheetData>
  <hyperlinks>
    <hyperlink ref="D1" location="Index!A1" display="Return to Index" xr:uid="{00000000-0004-0000-3900-000000000000}"/>
  </hyperlinks>
  <pageMargins left="0.25" right="0.25" top="0.5" bottom="0.25" header="0.5" footer="0.5"/>
  <pageSetup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13.5546875" style="277" customWidth="1"/>
    <col min="3" max="3" width="55" style="277" customWidth="1"/>
    <col min="4" max="4" width="20.109375" style="277" customWidth="1"/>
    <col min="5" max="16384" width="9.109375" style="277"/>
  </cols>
  <sheetData>
    <row r="1" spans="1:5" ht="27.75" customHeight="1">
      <c r="A1" s="989" t="s">
        <v>28</v>
      </c>
      <c r="C1" s="321" t="s">
        <v>51</v>
      </c>
    </row>
    <row r="2" spans="1:5" ht="27.75" customHeight="1">
      <c r="A2" s="990" t="str">
        <f>'Smmy Chts'!$A$2</f>
        <v>For the Year Ended August 31, 2022</v>
      </c>
    </row>
    <row r="3" spans="1:5" ht="27" customHeight="1">
      <c r="A3" s="990" t="str">
        <f>'Smmy Chts'!$A$3</f>
        <v>Source: FY 2022 Annual Financial Report</v>
      </c>
      <c r="C3" s="991" t="s">
        <v>493</v>
      </c>
    </row>
    <row r="4" spans="1:5" ht="12.9" customHeight="1">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'TTUHSCEP Sum'!A9</f>
        <v>State of Texas</v>
      </c>
      <c r="D11" s="994">
        <f>'TTUHSCEP Sum'!B15</f>
        <v>92315216</v>
      </c>
      <c r="E11" s="995">
        <f>ROUND(D11/$D$17,3)</f>
        <v>0.307</v>
      </c>
    </row>
    <row r="12" spans="1:5" ht="12.9" customHeight="1">
      <c r="C12" s="993" t="str">
        <f>'TTUHSCEP Sum'!A17</f>
        <v>Student &amp; Parent</v>
      </c>
      <c r="D12" s="994">
        <f>'TTUHSCEP Sum'!B20</f>
        <v>13256992</v>
      </c>
      <c r="E12" s="995">
        <f t="shared" ref="E12:E15" si="0">ROUND(D12/$D$17,3)</f>
        <v>4.3999999999999997E-2</v>
      </c>
    </row>
    <row r="13" spans="1:5" ht="12.9" customHeight="1">
      <c r="C13" s="993" t="str">
        <f>'TTUHSCEP Sum'!A22</f>
        <v>Federal Government</v>
      </c>
      <c r="D13" s="994">
        <f>'TTUHSCEP Sum'!B23</f>
        <v>4397437</v>
      </c>
      <c r="E13" s="995">
        <f t="shared" si="0"/>
        <v>1.4999999999999999E-2</v>
      </c>
    </row>
    <row r="14" spans="1:5" ht="12.9" customHeight="1">
      <c r="C14" s="993" t="str">
        <f>'TTUHSCEP Sum'!A31</f>
        <v>Institutional Resources</v>
      </c>
      <c r="D14" s="994">
        <f>'TTUHSCEP Sum'!B38</f>
        <v>132924514</v>
      </c>
      <c r="E14" s="995">
        <f t="shared" si="0"/>
        <v>0.442</v>
      </c>
    </row>
    <row r="15" spans="1:5" ht="12.9" customHeight="1">
      <c r="C15" s="996" t="s">
        <v>497</v>
      </c>
      <c r="D15" s="994">
        <f>'TTUHSCEP Sum'!B29+'TTUHSCEP Sum'!B26</f>
        <v>57620664</v>
      </c>
      <c r="E15" s="995">
        <f t="shared" si="0"/>
        <v>0.192</v>
      </c>
    </row>
    <row r="16" spans="1:5" ht="12.9" customHeight="1">
      <c r="C16" s="991"/>
      <c r="D16" s="992"/>
    </row>
    <row r="17" spans="3:5" ht="12.9" customHeight="1">
      <c r="C17" s="997" t="s">
        <v>201</v>
      </c>
      <c r="D17" s="998">
        <f>SUM(D11:D16)</f>
        <v>300514823</v>
      </c>
      <c r="E17" s="999">
        <f>SUM(E11:E15)</f>
        <v>1</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$300,514,823</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2.9" customHeight="1">
      <c r="C53" s="993" t="s">
        <v>101</v>
      </c>
      <c r="D53" s="994">
        <f>'TTUHSCEP Sum'!B10</f>
        <v>80558351</v>
      </c>
      <c r="E53" s="995">
        <f>ROUND(D53/$D$68,3)</f>
        <v>0.26800000000000002</v>
      </c>
    </row>
    <row r="54" spans="3:5" ht="12.9" customHeight="1">
      <c r="C54" s="993" t="s">
        <v>510</v>
      </c>
      <c r="D54" s="994">
        <f>'TTUHSCEP Sum'!B11</f>
        <v>6199293</v>
      </c>
      <c r="E54" s="995">
        <f t="shared" ref="E54:E67" si="1">ROUND(D54/$D$68,3)</f>
        <v>2.1000000000000001E-2</v>
      </c>
    </row>
    <row r="55" spans="3:5" ht="12.9" customHeight="1">
      <c r="C55" s="1001"/>
      <c r="D55" s="994"/>
      <c r="E55" s="995"/>
    </row>
    <row r="56" spans="3:5" ht="12.9" customHeight="1">
      <c r="C56" s="993" t="str">
        <f>'TTUHSCEP Sum'!A13</f>
        <v>Higher Education Fund</v>
      </c>
      <c r="D56" s="994">
        <f>'TTUHSCEP Sum'!B13</f>
        <v>5557572</v>
      </c>
      <c r="E56" s="995">
        <f t="shared" si="1"/>
        <v>1.7999999999999999E-2</v>
      </c>
    </row>
    <row r="57" spans="3:5" ht="12.9" customHeight="1">
      <c r="C57" s="1001" t="s">
        <v>511</v>
      </c>
      <c r="D57" s="994">
        <f>'TTUHSCEP Sum'!B14</f>
        <v>0</v>
      </c>
      <c r="E57" s="995">
        <f t="shared" si="1"/>
        <v>0</v>
      </c>
    </row>
    <row r="58" spans="3:5" ht="12.9" customHeight="1">
      <c r="C58" s="993" t="s">
        <v>460</v>
      </c>
      <c r="D58" s="994">
        <f>'TTUHSCEP Sum'!B20</f>
        <v>13256992</v>
      </c>
      <c r="E58" s="995">
        <f t="shared" si="1"/>
        <v>4.3999999999999997E-2</v>
      </c>
    </row>
    <row r="59" spans="3:5" ht="12.9" customHeight="1">
      <c r="C59" s="993" t="s">
        <v>512</v>
      </c>
      <c r="D59" s="994">
        <f>'TTUHSCEP Sum'!B23</f>
        <v>4397437</v>
      </c>
      <c r="E59" s="995">
        <f t="shared" si="1"/>
        <v>1.4999999999999999E-2</v>
      </c>
    </row>
    <row r="60" spans="3:5" ht="12.9" customHeight="1">
      <c r="C60" s="993" t="s">
        <v>513</v>
      </c>
      <c r="D60" s="994">
        <f>'TTUHSCEP Sum'!B32</f>
        <v>5714445</v>
      </c>
      <c r="E60" s="995">
        <f t="shared" si="1"/>
        <v>1.9E-2</v>
      </c>
    </row>
    <row r="61" spans="3:5" ht="12.9" customHeight="1">
      <c r="C61" s="993" t="s">
        <v>514</v>
      </c>
      <c r="D61" s="994">
        <f>'TTUHSCEP Sum'!B33</f>
        <v>69313252</v>
      </c>
      <c r="E61" s="995">
        <f t="shared" si="1"/>
        <v>0.23100000000000001</v>
      </c>
    </row>
    <row r="62" spans="3:5" ht="12.9" customHeight="1">
      <c r="C62" s="993" t="s">
        <v>515</v>
      </c>
      <c r="D62" s="994">
        <f>'TTUHSCEP Sum'!B34</f>
        <v>30853584</v>
      </c>
      <c r="E62" s="995">
        <f t="shared" si="1"/>
        <v>0.10299999999999999</v>
      </c>
    </row>
    <row r="63" spans="3:5" ht="12.9" customHeight="1">
      <c r="C63" s="993" t="s">
        <v>516</v>
      </c>
      <c r="D63" s="994">
        <f>'TTUHSCEP Sum'!B35</f>
        <v>358872</v>
      </c>
      <c r="E63" s="995">
        <f t="shared" si="1"/>
        <v>1E-3</v>
      </c>
    </row>
    <row r="64" spans="3:5" ht="12.9" customHeight="1">
      <c r="C64" s="993" t="s">
        <v>176</v>
      </c>
      <c r="D64" s="994">
        <f>'TTUHSCEP Sum'!B36</f>
        <v>290446</v>
      </c>
      <c r="E64" s="995">
        <f t="shared" si="1"/>
        <v>1E-3</v>
      </c>
    </row>
    <row r="65" spans="3:5" ht="12.9" customHeight="1">
      <c r="C65" s="993" t="s">
        <v>517</v>
      </c>
      <c r="D65" s="994">
        <f>'TTUHSCEP Sum'!B37</f>
        <v>26393915</v>
      </c>
      <c r="E65" s="995">
        <f t="shared" si="1"/>
        <v>8.7999999999999995E-2</v>
      </c>
    </row>
    <row r="66" spans="3:5" ht="12.9" customHeight="1">
      <c r="C66" s="993" t="s">
        <v>163</v>
      </c>
      <c r="D66" s="994">
        <f>'TTUHSCEP Sum'!B26</f>
        <v>57620664</v>
      </c>
      <c r="E66" s="995">
        <f t="shared" si="1"/>
        <v>0.192</v>
      </c>
    </row>
    <row r="67" spans="3:5" ht="12.9" customHeight="1">
      <c r="C67" s="1002" t="s">
        <v>497</v>
      </c>
      <c r="D67" s="994">
        <f>'TTUHSCEP Sum'!B29</f>
        <v>0</v>
      </c>
      <c r="E67" s="995">
        <f t="shared" si="1"/>
        <v>0</v>
      </c>
    </row>
    <row r="68" spans="3:5" ht="12.9" customHeight="1">
      <c r="C68" s="997" t="s">
        <v>201</v>
      </c>
      <c r="D68" s="998">
        <f>SUM(D53:D67)</f>
        <v>300514823</v>
      </c>
      <c r="E68" s="999">
        <f>SUM(E53:E67)</f>
        <v>1.0010000000000001</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$300,514,823</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'TTUHSCEP Sum'!B42</f>
        <v>124938128</v>
      </c>
      <c r="E102" s="995">
        <f>ROUND(D102/$D$115,3)</f>
        <v>0.46</v>
      </c>
    </row>
    <row r="103" spans="1:5" ht="12.9" customHeight="1">
      <c r="C103" s="1004" t="s">
        <v>179</v>
      </c>
      <c r="D103" s="994">
        <f>'TTUHSCEP Sum'!B43</f>
        <v>12298760</v>
      </c>
      <c r="E103" s="995">
        <f t="shared" ref="E103:E113" si="2">ROUND(D103/$D$115,3)</f>
        <v>4.4999999999999998E-2</v>
      </c>
    </row>
    <row r="104" spans="1:5" ht="12.9" customHeight="1">
      <c r="C104" s="1004" t="s">
        <v>180</v>
      </c>
      <c r="D104" s="994">
        <f>'TTUHSCEP Sum'!B44</f>
        <v>4072558</v>
      </c>
      <c r="E104" s="995">
        <f t="shared" si="2"/>
        <v>1.4999999999999999E-2</v>
      </c>
    </row>
    <row r="105" spans="1:5" ht="12.9" customHeight="1">
      <c r="C105" s="1004" t="s">
        <v>181</v>
      </c>
      <c r="D105" s="994">
        <f>'TTUHSCEP Sum'!B46</f>
        <v>59139062</v>
      </c>
      <c r="E105" s="995">
        <f t="shared" si="2"/>
        <v>0.218</v>
      </c>
    </row>
    <row r="106" spans="1:5" ht="12.9" customHeight="1">
      <c r="C106" s="1004" t="s">
        <v>182</v>
      </c>
      <c r="D106" s="994">
        <f>'TTUHSCEP Sum'!B47</f>
        <v>4883544</v>
      </c>
      <c r="E106" s="995">
        <f t="shared" si="2"/>
        <v>1.7999999999999999E-2</v>
      </c>
    </row>
    <row r="107" spans="1:5" ht="12.9" customHeight="1">
      <c r="C107" s="1004" t="s">
        <v>183</v>
      </c>
      <c r="D107" s="994">
        <f>'TTUHSCEP Sum'!B48</f>
        <v>19003714</v>
      </c>
      <c r="E107" s="995">
        <f t="shared" si="2"/>
        <v>7.0000000000000007E-2</v>
      </c>
    </row>
    <row r="108" spans="1:5" ht="12.9" customHeight="1">
      <c r="C108" s="1004" t="s">
        <v>519</v>
      </c>
      <c r="D108" s="994">
        <f>'TTUHSCEP Sum'!B49</f>
        <v>13498709</v>
      </c>
      <c r="E108" s="995">
        <f t="shared" si="2"/>
        <v>0.05</v>
      </c>
    </row>
    <row r="109" spans="1:5" ht="12.9" customHeight="1">
      <c r="C109" s="1004" t="s">
        <v>520</v>
      </c>
      <c r="D109" s="994">
        <f>'TTUHSCEP Sum'!B50</f>
        <v>1385087</v>
      </c>
      <c r="E109" s="995">
        <f t="shared" si="2"/>
        <v>5.0000000000000001E-3</v>
      </c>
    </row>
    <row r="110" spans="1:5" ht="12.9" customHeight="1">
      <c r="C110" s="1004" t="s">
        <v>186</v>
      </c>
      <c r="D110" s="994">
        <f>'TTUHSCEP Sum'!B51</f>
        <v>228210</v>
      </c>
      <c r="E110" s="995">
        <f t="shared" si="2"/>
        <v>1E-3</v>
      </c>
    </row>
    <row r="111" spans="1:5" ht="12.9" customHeight="1">
      <c r="C111" s="1004" t="s">
        <v>521</v>
      </c>
      <c r="D111" s="994">
        <f>'TTUHSCEP Sum'!B52</f>
        <v>7614890</v>
      </c>
      <c r="E111" s="995">
        <f t="shared" si="2"/>
        <v>2.8000000000000001E-2</v>
      </c>
    </row>
    <row r="112" spans="1:5" ht="12.9" customHeight="1">
      <c r="C112" s="993" t="s">
        <v>522</v>
      </c>
      <c r="D112" s="994">
        <f>'TTUHSCEP Sum'!B53</f>
        <v>433564</v>
      </c>
      <c r="E112" s="995">
        <f t="shared" si="2"/>
        <v>2E-3</v>
      </c>
    </row>
    <row r="113" spans="3:5" ht="12.9" customHeight="1">
      <c r="C113" s="996" t="s">
        <v>523</v>
      </c>
      <c r="D113" s="994">
        <f>'TTUHSCEP Sum'!B45</f>
        <v>24298172</v>
      </c>
      <c r="E113" s="995">
        <f t="shared" si="2"/>
        <v>8.8999999999999996E-2</v>
      </c>
    </row>
    <row r="114" spans="3:5" ht="12.9" customHeight="1">
      <c r="C114" s="991"/>
      <c r="D114" s="991"/>
      <c r="E114" s="999"/>
    </row>
    <row r="115" spans="3:5" ht="12.9" customHeight="1">
      <c r="C115" s="1005" t="s">
        <v>189</v>
      </c>
      <c r="D115" s="998">
        <f>SUM(D102:D114)</f>
        <v>271794398</v>
      </c>
      <c r="E115" s="999">
        <f>SUM(E102:E113)</f>
        <v>1.0010000000000001</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$271,794,398</v>
      </c>
    </row>
    <row r="137" spans="1:1" ht="12.9" customHeight="1">
      <c r="A137" s="1136"/>
    </row>
    <row r="138" spans="1:1" ht="12.9" customHeight="1"/>
    <row r="139" spans="1:1" ht="12.9" customHeight="1">
      <c r="A139" s="1006" t="s">
        <v>524</v>
      </c>
    </row>
    <row r="140" spans="1:1" ht="12.9"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A136:A137"/>
    <mergeCell ref="C9:D9"/>
    <mergeCell ref="A47:A48"/>
    <mergeCell ref="A92:A93"/>
    <mergeCell ref="C100:D100"/>
    <mergeCell ref="C101:D101"/>
  </mergeCells>
  <hyperlinks>
    <hyperlink ref="C1" location="Index!A1" display="Return to Index" xr:uid="{00000000-0004-0000-3A00-000000000000}"/>
  </hyperlinks>
  <printOptions horizontalCentered="1"/>
  <pageMargins left="0.5" right="0.5" top="0.25" bottom="0.25" header="0.25" footer="0.25"/>
  <pageSetup scale="41" orientation="portrait" r:id="rId1"/>
  <headerFooter alignWithMargins="0"/>
  <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ransitionEvaluation="1" transitionEntry="1">
    <tabColor indexed="13"/>
  </sheetPr>
  <dimension ref="A1:AD83"/>
  <sheetViews>
    <sheetView showGridLines="0" zoomScale="85" zoomScaleNormal="85"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3.33203125" style="277" customWidth="1"/>
    <col min="16" max="16384" width="9.109375" style="277"/>
  </cols>
  <sheetData>
    <row r="1" spans="1:15" ht="16.8" thickTop="1" thickBot="1">
      <c r="A1" s="899" t="str">
        <f>'TTUHSCEP Chts'!$A$1</f>
        <v>Texas Tech University Health Sciences Center at El Paso</v>
      </c>
      <c r="B1" s="754"/>
      <c r="C1" s="754"/>
      <c r="D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1007">
        <f>VLOOKUP(A1,NamesLU,2,FALSE)</f>
        <v>862</v>
      </c>
      <c r="J2" s="901"/>
      <c r="K2" s="901"/>
      <c r="L2" s="901"/>
      <c r="M2" s="901"/>
      <c r="O2" s="320"/>
    </row>
    <row r="3" spans="1:15" ht="15.75" customHeight="1">
      <c r="A3" s="900" t="str">
        <f>'Smmy Chts'!$A$3</f>
        <v>Source: FY 2022 Annual Financial Report</v>
      </c>
      <c r="B3" s="754"/>
      <c r="C3" s="754"/>
      <c r="O3" s="320"/>
    </row>
    <row r="4" spans="1:15" ht="13.5" customHeight="1">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909"/>
      <c r="C6" s="427">
        <f>VLOOKUP($G$2,FTSELU,10,FALSE)</f>
        <v>851.1</v>
      </c>
      <c r="J6" s="910"/>
      <c r="O6" s="320"/>
    </row>
    <row r="7" spans="1:15">
      <c r="B7" s="909"/>
      <c r="C7" s="909"/>
      <c r="I7" s="446" t="s">
        <v>533</v>
      </c>
      <c r="J7" s="911"/>
      <c r="O7" s="320"/>
    </row>
    <row r="8" spans="1:15">
      <c r="A8" s="912" t="s">
        <v>151</v>
      </c>
      <c r="B8" s="912"/>
      <c r="C8" s="913"/>
      <c r="I8" s="914">
        <f>VLOOKUP($G$2,FTSELU,11,FALSE)</f>
        <v>333.28</v>
      </c>
      <c r="J8" s="910"/>
      <c r="O8" s="320"/>
    </row>
    <row r="9" spans="1:15" ht="12.75" customHeight="1" thickBot="1">
      <c r="A9" s="279" t="s">
        <v>152</v>
      </c>
      <c r="B9" s="915"/>
      <c r="C9" s="915"/>
      <c r="J9" s="910"/>
      <c r="O9" s="320"/>
    </row>
    <row r="10" spans="1:15" ht="12.75" customHeight="1" thickTop="1">
      <c r="A10" s="277" t="s">
        <v>535</v>
      </c>
      <c r="B10" s="501">
        <f>'TTUHSCEP FGD'!M10</f>
        <v>80558351</v>
      </c>
      <c r="C10" s="501">
        <f>ROUND(B10/$C$6,0)</f>
        <v>94652</v>
      </c>
      <c r="D10" s="492">
        <f>'TTUHSCEP FGD'!F10</f>
        <v>0</v>
      </c>
      <c r="E10" s="492"/>
      <c r="F10" s="916">
        <f>B10-(SUM(D10:E10))</f>
        <v>80558351</v>
      </c>
      <c r="G10" s="917" t="s">
        <v>101</v>
      </c>
      <c r="H10" s="918"/>
      <c r="I10" s="919" t="s">
        <v>536</v>
      </c>
      <c r="J10" s="920">
        <f>ROUND(F10/$C$6,0)</f>
        <v>94652</v>
      </c>
      <c r="O10" s="320"/>
    </row>
    <row r="11" spans="1:15" ht="12.75" customHeight="1" thickBot="1">
      <c r="A11" s="277" t="s">
        <v>134</v>
      </c>
      <c r="B11" s="669">
        <f>'TTUHSCEP FGD'!M11</f>
        <v>6199293</v>
      </c>
      <c r="C11" s="669">
        <f t="shared" ref="C11:C14" si="0">ROUND(B11/$C$6,0)</f>
        <v>7284</v>
      </c>
      <c r="D11" s="921">
        <f>'TTUHSCEP FGD'!F11</f>
        <v>0</v>
      </c>
      <c r="E11" s="754"/>
      <c r="F11" s="922">
        <f t="shared" ref="F11:F14" si="1">B11-(SUM(D11:E11))</f>
        <v>6199293</v>
      </c>
      <c r="G11" s="923">
        <f>SUM(F10:F11)</f>
        <v>86757644</v>
      </c>
      <c r="H11" s="924"/>
      <c r="I11" s="925">
        <f>ROUND($G$11/$C$6,0)</f>
        <v>101936</v>
      </c>
      <c r="J11" s="926">
        <f t="shared" ref="J11:J14" si="2">ROUND(F11/$C$6,0)</f>
        <v>7284</v>
      </c>
      <c r="O11" s="320"/>
    </row>
    <row r="12" spans="1:15" ht="12.75" hidden="1" customHeight="1" thickTop="1" thickBot="1">
      <c r="A12" s="277" t="s">
        <v>537</v>
      </c>
      <c r="B12" s="669"/>
      <c r="C12" s="669"/>
      <c r="D12" s="921"/>
      <c r="E12" s="754"/>
      <c r="F12" s="927"/>
      <c r="J12" s="926"/>
      <c r="O12" s="928"/>
    </row>
    <row r="13" spans="1:15" ht="12.75" customHeight="1" thickTop="1">
      <c r="A13" s="277" t="s">
        <v>468</v>
      </c>
      <c r="B13" s="669">
        <f>'TTUHSCEP FGD'!M13</f>
        <v>5557572</v>
      </c>
      <c r="C13" s="669">
        <f t="shared" si="0"/>
        <v>6530</v>
      </c>
      <c r="D13" s="921">
        <f>'TTUHSCEP FGD'!F13</f>
        <v>0</v>
      </c>
      <c r="E13" s="754"/>
      <c r="F13" s="929">
        <f t="shared" si="1"/>
        <v>5557572</v>
      </c>
      <c r="G13" s="930" t="s">
        <v>102</v>
      </c>
      <c r="H13" s="931"/>
      <c r="I13" s="417" t="s">
        <v>538</v>
      </c>
      <c r="J13" s="926">
        <f t="shared" si="2"/>
        <v>6530</v>
      </c>
      <c r="O13" s="320"/>
    </row>
    <row r="14" spans="1:15" ht="12.75" customHeight="1" thickBot="1">
      <c r="A14" s="277" t="s">
        <v>135</v>
      </c>
      <c r="B14" s="669">
        <f>'TTUHSCEP FGD'!M14</f>
        <v>0</v>
      </c>
      <c r="C14" s="669">
        <f t="shared" si="0"/>
        <v>0</v>
      </c>
      <c r="D14" s="921">
        <f>'TTUHSCEP FGD'!F14</f>
        <v>0</v>
      </c>
      <c r="E14" s="754"/>
      <c r="F14" s="927">
        <f t="shared" si="1"/>
        <v>0</v>
      </c>
      <c r="G14" s="932">
        <f>SUM(F13:F14)</f>
        <v>5557572</v>
      </c>
      <c r="H14" s="933"/>
      <c r="I14" s="934">
        <f>ROUND($G$11/$I$8,0)</f>
        <v>260315</v>
      </c>
      <c r="J14" s="935">
        <f t="shared" si="2"/>
        <v>0</v>
      </c>
      <c r="O14" s="320"/>
    </row>
    <row r="15" spans="1:15" ht="12.75" customHeight="1" thickTop="1">
      <c r="A15" s="936" t="s">
        <v>155</v>
      </c>
      <c r="B15" s="937">
        <f>SUM(B10:B14)</f>
        <v>92315216</v>
      </c>
      <c r="C15" s="937">
        <f>SUM(C10:C14)</f>
        <v>108466</v>
      </c>
      <c r="D15" s="937">
        <f>SUM(D10:D14)</f>
        <v>0</v>
      </c>
      <c r="E15" s="937">
        <f>SUM(E10:E14)</f>
        <v>0</v>
      </c>
      <c r="F15" s="938">
        <f>SUM(F10:F14)</f>
        <v>92315216</v>
      </c>
      <c r="I15" s="345"/>
      <c r="J15" s="939">
        <f>SUM(J10:J14)</f>
        <v>108466</v>
      </c>
      <c r="O15" s="320"/>
    </row>
    <row r="16" spans="1:15">
      <c r="C16" s="277"/>
      <c r="J16" s="910"/>
      <c r="O16" s="320"/>
    </row>
    <row r="17" spans="1:15" ht="12.75" customHeight="1">
      <c r="A17" s="279" t="s">
        <v>161</v>
      </c>
      <c r="C17" s="277"/>
      <c r="J17" s="910"/>
      <c r="O17" s="320"/>
    </row>
    <row r="18" spans="1:15">
      <c r="A18" s="277" t="s">
        <v>165</v>
      </c>
      <c r="B18" s="501">
        <f>'TTUHSCEP FGD'!M29</f>
        <v>8431031</v>
      </c>
      <c r="C18" s="501">
        <f t="shared" ref="C18:C19" si="3">ROUND(B18/$C$6,0)</f>
        <v>9906</v>
      </c>
      <c r="D18" s="492">
        <f>'TTUHSCEP FGD'!$F$29</f>
        <v>0</v>
      </c>
      <c r="E18" s="492"/>
      <c r="F18" s="492">
        <f t="shared" ref="F18:F19" si="4">B18-(SUM(D18:E18))</f>
        <v>8431031</v>
      </c>
      <c r="J18" s="920">
        <f>ROUND(F18/$C$6,0)</f>
        <v>9906</v>
      </c>
      <c r="O18" s="320"/>
    </row>
    <row r="19" spans="1:15" ht="13.8" thickBot="1">
      <c r="A19" s="277" t="s">
        <v>166</v>
      </c>
      <c r="B19" s="669">
        <f>'TTUHSCEP FGD'!M42</f>
        <v>4825961</v>
      </c>
      <c r="C19" s="669">
        <f t="shared" si="3"/>
        <v>5670</v>
      </c>
      <c r="D19" s="754">
        <f>'TTUHSCEP FGD'!$F$42</f>
        <v>0</v>
      </c>
      <c r="E19" s="754"/>
      <c r="F19" s="754">
        <f t="shared" si="4"/>
        <v>4825961</v>
      </c>
      <c r="J19" s="926">
        <f>ROUND(F19/$C$6,0)</f>
        <v>5670</v>
      </c>
      <c r="O19" s="320"/>
    </row>
    <row r="20" spans="1:15" ht="14.4" thickTop="1" thickBot="1">
      <c r="A20" s="936" t="s">
        <v>167</v>
      </c>
      <c r="B20" s="937">
        <f>SUM(B18:B19)</f>
        <v>13256992</v>
      </c>
      <c r="C20" s="937">
        <f>SUM(C18:C19)</f>
        <v>15576</v>
      </c>
      <c r="D20" s="798">
        <f>SUM(D18:D19)</f>
        <v>0</v>
      </c>
      <c r="E20" s="940">
        <f>SUM(E18:E19)</f>
        <v>0</v>
      </c>
      <c r="F20" s="941">
        <f>SUM(F18:F19)</f>
        <v>13256992</v>
      </c>
      <c r="G20" s="942" t="s">
        <v>539</v>
      </c>
      <c r="H20" s="943"/>
      <c r="J20" s="944">
        <f>SUM(J18:J19)</f>
        <v>15576</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'TTUHSCEP FGD'!M47</f>
        <v>4397437</v>
      </c>
      <c r="C23" s="937"/>
      <c r="D23" s="798">
        <f>'TTUHSCEP FGD'!F47</f>
        <v>0</v>
      </c>
      <c r="E23" s="940"/>
      <c r="F23" s="941">
        <f>B23-(SUM(D23:E23))</f>
        <v>4397437</v>
      </c>
      <c r="G23" s="946" t="s">
        <v>540</v>
      </c>
      <c r="H23" s="943"/>
      <c r="J23" s="947">
        <f>ROUND(F23/$C$6,0)</f>
        <v>5167</v>
      </c>
      <c r="O23" s="320"/>
    </row>
    <row r="24" spans="1:15" ht="13.8" thickTop="1">
      <c r="C24" s="277"/>
      <c r="J24" s="910"/>
      <c r="O24" s="320"/>
    </row>
    <row r="25" spans="1:15">
      <c r="A25" s="279" t="s">
        <v>163</v>
      </c>
      <c r="C25" s="277"/>
      <c r="D25" s="754"/>
      <c r="J25" s="910"/>
      <c r="O25" s="320"/>
    </row>
    <row r="26" spans="1:15">
      <c r="A26" s="936" t="s">
        <v>200</v>
      </c>
      <c r="B26" s="937">
        <f>'TTUHSCEP FGD'!M50</f>
        <v>57620664</v>
      </c>
      <c r="C26" s="937"/>
      <c r="D26" s="937">
        <f>'TTUHSCEP FGD'!F50</f>
        <v>0</v>
      </c>
      <c r="E26" s="937">
        <f>B26-D26</f>
        <v>57620664</v>
      </c>
      <c r="F26" s="937">
        <f t="shared" ref="F26" si="5">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'TTUHSCEP FGD'!M53</f>
        <v>0</v>
      </c>
      <c r="C29" s="937"/>
      <c r="D29" s="937">
        <f>'TTUHSCEP FGD'!F53</f>
        <v>0</v>
      </c>
      <c r="E29" s="937">
        <f>B29-D29</f>
        <v>0</v>
      </c>
      <c r="F29" s="937">
        <f t="shared" ref="F29" si="6">B29-(SUM(D29:E29))</f>
        <v>0</v>
      </c>
      <c r="J29" s="926"/>
      <c r="O29" s="320"/>
    </row>
    <row r="30" spans="1:15">
      <c r="C30" s="277"/>
      <c r="E30" s="754"/>
      <c r="F30" s="754"/>
      <c r="J30" s="926"/>
      <c r="O30" s="320"/>
    </row>
    <row r="31" spans="1:15">
      <c r="A31" s="279" t="s">
        <v>171</v>
      </c>
      <c r="C31" s="277"/>
      <c r="E31" s="754"/>
      <c r="F31" s="754"/>
      <c r="G31" s="400"/>
      <c r="H31" s="400"/>
      <c r="I31" s="400"/>
      <c r="J31" s="926"/>
      <c r="O31" s="320"/>
    </row>
    <row r="32" spans="1:15">
      <c r="A32" s="277" t="s">
        <v>172</v>
      </c>
      <c r="B32" s="501">
        <f>'TTUHSCEP FGD'!M56</f>
        <v>5714445</v>
      </c>
      <c r="C32" s="501"/>
      <c r="D32" s="492">
        <f>'TTUHSCEP FGD'!F56</f>
        <v>14360</v>
      </c>
      <c r="E32" s="492"/>
      <c r="F32" s="492">
        <f t="shared" ref="F32:F37" si="7">B32-(SUM(D32:E32))</f>
        <v>5700085</v>
      </c>
      <c r="J32" s="920">
        <f>ROUND(F32/$C$6,0)</f>
        <v>6697</v>
      </c>
      <c r="O32" s="320"/>
    </row>
    <row r="33" spans="1:30">
      <c r="A33" s="277" t="s">
        <v>173</v>
      </c>
      <c r="B33" s="669">
        <f>'TTUHSCEP FGD'!M57</f>
        <v>69313252</v>
      </c>
      <c r="C33" s="669"/>
      <c r="D33" s="921">
        <f>'TTUHSCEP FGD'!F57</f>
        <v>0</v>
      </c>
      <c r="E33" s="754"/>
      <c r="F33" s="754">
        <f t="shared" si="7"/>
        <v>69313252</v>
      </c>
      <c r="J33" s="926">
        <f t="shared" ref="J33:J37" si="8">ROUND(F33/$C$6,0)</f>
        <v>81440</v>
      </c>
      <c r="O33" s="320"/>
    </row>
    <row r="34" spans="1:30" ht="13.8" thickBot="1">
      <c r="A34" s="277" t="s">
        <v>174</v>
      </c>
      <c r="B34" s="669">
        <f>'TTUHSCEP FGD'!M58</f>
        <v>30853584</v>
      </c>
      <c r="C34" s="669"/>
      <c r="D34" s="921">
        <f>'TTUHSCEP FGD'!F58</f>
        <v>0</v>
      </c>
      <c r="E34" s="754"/>
      <c r="F34" s="754">
        <f t="shared" si="7"/>
        <v>30853584</v>
      </c>
      <c r="J34" s="926">
        <f t="shared" si="8"/>
        <v>36251</v>
      </c>
      <c r="O34" s="320"/>
    </row>
    <row r="35" spans="1:30" ht="13.8" thickBot="1">
      <c r="A35" s="277" t="s">
        <v>175</v>
      </c>
      <c r="B35" s="669">
        <f>'TTUHSCEP FGD'!M59</f>
        <v>358872</v>
      </c>
      <c r="C35" s="669"/>
      <c r="D35" s="921">
        <f>'TTUHSCEP FGD'!F59</f>
        <v>0</v>
      </c>
      <c r="E35" s="754"/>
      <c r="F35" s="754">
        <f t="shared" si="7"/>
        <v>358872</v>
      </c>
      <c r="J35" s="926">
        <f t="shared" si="8"/>
        <v>422</v>
      </c>
      <c r="K35" s="1157"/>
      <c r="L35" s="1140"/>
      <c r="M35" s="1140"/>
      <c r="N35" s="1140"/>
      <c r="O35" s="1141"/>
    </row>
    <row r="36" spans="1:30" ht="13.8" thickBot="1">
      <c r="A36" s="277" t="s">
        <v>471</v>
      </c>
      <c r="B36" s="669">
        <f>'TTUHSCEP FGD'!M60</f>
        <v>290446</v>
      </c>
      <c r="C36" s="669"/>
      <c r="D36" s="921">
        <f>'TTUHSCEP FGD'!F60</f>
        <v>290446</v>
      </c>
      <c r="E36" s="754"/>
      <c r="F36" s="754">
        <f t="shared" si="7"/>
        <v>0</v>
      </c>
      <c r="J36" s="926">
        <f t="shared" si="8"/>
        <v>0</v>
      </c>
      <c r="K36" s="1157" t="s">
        <v>268</v>
      </c>
      <c r="L36" s="1140"/>
      <c r="M36" s="1140"/>
      <c r="N36" s="1140"/>
      <c r="O36" s="1141"/>
    </row>
    <row r="37" spans="1:30" ht="13.5" customHeight="1" thickBot="1">
      <c r="A37" s="538" t="s">
        <v>177</v>
      </c>
      <c r="B37" s="669">
        <f>'TTUHSCEP FGD'!M61</f>
        <v>26393915</v>
      </c>
      <c r="C37" s="669"/>
      <c r="D37" s="921">
        <f>'TTUHSCEP FGD'!F61</f>
        <v>3568</v>
      </c>
      <c r="E37" s="754"/>
      <c r="F37" s="754">
        <f t="shared" si="7"/>
        <v>26390347</v>
      </c>
      <c r="G37" s="400"/>
      <c r="H37" s="400"/>
      <c r="I37" s="400"/>
      <c r="J37" s="926">
        <f t="shared" si="8"/>
        <v>31007</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132924514</v>
      </c>
      <c r="C38" s="937"/>
      <c r="D38" s="949">
        <f>SUM(D32:D37)</f>
        <v>308374</v>
      </c>
      <c r="E38" s="949">
        <f>SUM(E32:E37)</f>
        <v>0</v>
      </c>
      <c r="F38" s="950">
        <f>SUM(F32:F37)</f>
        <v>132616140</v>
      </c>
      <c r="G38" s="1154" t="s">
        <v>171</v>
      </c>
      <c r="H38" s="1155"/>
      <c r="I38" s="951" t="s">
        <v>542</v>
      </c>
      <c r="J38" s="952">
        <f>SUM(J32:J37)</f>
        <v>155817</v>
      </c>
      <c r="K38" s="1159"/>
      <c r="L38" s="1159"/>
      <c r="M38" s="1159"/>
      <c r="N38" s="1159" t="s">
        <v>543</v>
      </c>
      <c r="O38" s="1159" t="s">
        <v>280</v>
      </c>
    </row>
    <row r="39" spans="1:30" ht="13.8" thickTop="1">
      <c r="A39" s="953" t="s">
        <v>201</v>
      </c>
      <c r="B39" s="954">
        <f>B15+B20+B23+B26+B29+B38</f>
        <v>300514823</v>
      </c>
      <c r="C39" s="955"/>
      <c r="D39" s="954">
        <f>D15+D20+D23+D26+D29+D38</f>
        <v>308374</v>
      </c>
      <c r="E39" s="954">
        <f>E15+E20+E23+E26+E29+E38</f>
        <v>57620664</v>
      </c>
      <c r="F39" s="956">
        <f>F38+F23+F20+F15</f>
        <v>242585785</v>
      </c>
      <c r="G39" s="1156" t="s">
        <v>271</v>
      </c>
      <c r="H39" s="1156"/>
      <c r="I39" s="957">
        <f>ROUND($G$41/$C$6,0)</f>
        <v>278496</v>
      </c>
      <c r="J39" s="958">
        <f>J15+J20+J23+J38</f>
        <v>285026</v>
      </c>
      <c r="K39" s="1159"/>
      <c r="L39" s="1159"/>
      <c r="M39" s="1159"/>
      <c r="N39" s="1159"/>
      <c r="O39" s="1159"/>
    </row>
    <row r="40" spans="1:30" ht="13.8" thickBot="1">
      <c r="C40" s="277"/>
      <c r="F40" s="320" t="s">
        <v>577</v>
      </c>
      <c r="G40" s="959">
        <f>G14*-1</f>
        <v>-5557572</v>
      </c>
      <c r="I40" s="951" t="s">
        <v>545</v>
      </c>
      <c r="J40" s="960"/>
      <c r="K40" s="1160"/>
      <c r="L40" s="1160"/>
      <c r="M40" s="1160"/>
      <c r="N40" s="1160"/>
      <c r="O40" s="1160"/>
    </row>
    <row r="41" spans="1:30" ht="14.4" thickTop="1" thickBot="1">
      <c r="A41" s="912" t="s">
        <v>178</v>
      </c>
      <c r="B41" s="912"/>
      <c r="C41" s="912"/>
      <c r="D41" s="344"/>
      <c r="E41" s="344"/>
      <c r="F41" s="961" t="s">
        <v>546</v>
      </c>
      <c r="G41" s="962">
        <f>F39+G40</f>
        <v>237028213</v>
      </c>
      <c r="I41" s="963">
        <f>ROUND($G$41/$I$8,0)</f>
        <v>711198</v>
      </c>
      <c r="K41" s="964"/>
      <c r="L41" s="964"/>
      <c r="M41" s="964"/>
      <c r="N41" s="964"/>
      <c r="O41" s="964"/>
    </row>
    <row r="42" spans="1:30" ht="13.8" thickTop="1">
      <c r="A42" s="490" t="s">
        <v>92</v>
      </c>
      <c r="B42" s="501">
        <f>'TTUHSCEP FGD'!M65</f>
        <v>124938128</v>
      </c>
      <c r="C42" s="501">
        <f t="shared" ref="C42:C52" si="9">ROUND(B42/$C$6,0)</f>
        <v>146796</v>
      </c>
      <c r="D42" s="492">
        <f>'TTUHSCEP FGD'!F65</f>
        <v>0</v>
      </c>
      <c r="E42" s="492"/>
      <c r="F42" s="492">
        <f t="shared" ref="F42" si="10">B42-(SUM(D42:E42))</f>
        <v>124938128</v>
      </c>
      <c r="H42" s="965" t="s">
        <v>547</v>
      </c>
      <c r="I42" s="966">
        <f>ROUND(F42/$C$6,0)</f>
        <v>146796</v>
      </c>
      <c r="J42" s="320" t="s">
        <v>548</v>
      </c>
      <c r="K42" s="492">
        <f>F42</f>
        <v>124938128</v>
      </c>
      <c r="L42" s="492">
        <f>K42</f>
        <v>124938128</v>
      </c>
      <c r="M42" s="492"/>
      <c r="N42" s="492"/>
      <c r="O42" s="492"/>
    </row>
    <row r="43" spans="1:30">
      <c r="A43" s="490" t="s">
        <v>179</v>
      </c>
      <c r="B43" s="669">
        <f>'TTUHSCEP FGD'!M66</f>
        <v>12298760</v>
      </c>
      <c r="C43" s="669">
        <f t="shared" si="9"/>
        <v>14450</v>
      </c>
      <c r="D43" s="723">
        <f>'TTUHSCEP FGD'!F66</f>
        <v>0</v>
      </c>
      <c r="E43" s="754"/>
      <c r="F43" s="754">
        <f t="shared" ref="F43:F44" si="11">B43-(SUM(D43:E43))</f>
        <v>12298760</v>
      </c>
      <c r="J43" s="320" t="s">
        <v>549</v>
      </c>
      <c r="K43" s="723">
        <f>F43</f>
        <v>12298760</v>
      </c>
      <c r="L43" s="723">
        <f>K43</f>
        <v>12298760</v>
      </c>
      <c r="M43" s="723"/>
      <c r="N43" s="723"/>
      <c r="O43" s="723"/>
    </row>
    <row r="44" spans="1:30">
      <c r="A44" s="490" t="s">
        <v>180</v>
      </c>
      <c r="B44" s="669">
        <f>'TTUHSCEP FGD'!M67</f>
        <v>4072558</v>
      </c>
      <c r="C44" s="669"/>
      <c r="D44" s="723">
        <f>'TTUHSCEP FGD'!F67</f>
        <v>0</v>
      </c>
      <c r="E44" s="921">
        <f>B44-D44</f>
        <v>4072558</v>
      </c>
      <c r="F44" s="754">
        <f t="shared" si="11"/>
        <v>0</v>
      </c>
      <c r="J44" s="320" t="s">
        <v>550</v>
      </c>
      <c r="K44" s="967"/>
      <c r="L44" s="769"/>
      <c r="M44" s="769" t="s">
        <v>551</v>
      </c>
      <c r="N44" s="769"/>
      <c r="O44" s="968"/>
    </row>
    <row r="45" spans="1:30">
      <c r="A45" s="300" t="s">
        <v>164</v>
      </c>
      <c r="B45" s="669">
        <f>'TTUHSCEP FGD'!M68</f>
        <v>24298172</v>
      </c>
      <c r="C45" s="669"/>
      <c r="D45" s="723">
        <f>'TTUHSCEP FGD'!F68</f>
        <v>0</v>
      </c>
      <c r="E45" s="921">
        <f>B45-D45</f>
        <v>24298172</v>
      </c>
      <c r="F45" s="754">
        <f t="shared" ref="F45:F53" si="12">B45-(SUM(D45:E45))</f>
        <v>0</v>
      </c>
      <c r="G45" s="492"/>
      <c r="J45" s="320" t="s">
        <v>552</v>
      </c>
      <c r="K45" s="1161" t="s">
        <v>551</v>
      </c>
      <c r="L45" s="1162"/>
      <c r="M45" s="1162"/>
      <c r="N45" s="1162"/>
      <c r="O45" s="1163"/>
    </row>
    <row r="46" spans="1:30">
      <c r="A46" s="490" t="s">
        <v>181</v>
      </c>
      <c r="B46" s="669">
        <f>'TTUHSCEP FGD'!M69</f>
        <v>59139062</v>
      </c>
      <c r="C46" s="669">
        <f t="shared" si="9"/>
        <v>69485</v>
      </c>
      <c r="D46" s="723">
        <f>'TTUHSCEP FGD'!F69</f>
        <v>0</v>
      </c>
      <c r="E46" s="754"/>
      <c r="F46" s="754">
        <f t="shared" si="12"/>
        <v>59139062</v>
      </c>
      <c r="H46" s="965" t="s">
        <v>553</v>
      </c>
      <c r="I46" s="966">
        <f>ROUND(F46/$C$6,0)</f>
        <v>69485</v>
      </c>
      <c r="J46" s="320" t="s">
        <v>554</v>
      </c>
      <c r="K46" s="723">
        <f t="shared" ref="K46:K50" si="13">F46</f>
        <v>59139062</v>
      </c>
      <c r="L46" s="723">
        <f>K46</f>
        <v>59139062</v>
      </c>
      <c r="M46" s="723"/>
      <c r="N46" s="723"/>
      <c r="O46" s="723"/>
    </row>
    <row r="47" spans="1:30">
      <c r="A47" s="490" t="s">
        <v>182</v>
      </c>
      <c r="B47" s="669">
        <f>'TTUHSCEP FGD'!M70</f>
        <v>4883544</v>
      </c>
      <c r="C47" s="669">
        <f t="shared" si="9"/>
        <v>5738</v>
      </c>
      <c r="D47" s="723">
        <f>'TTUHSCEP FGD'!F70</f>
        <v>0</v>
      </c>
      <c r="E47" s="754"/>
      <c r="F47" s="754">
        <f t="shared" si="12"/>
        <v>4883544</v>
      </c>
      <c r="J47" s="320" t="s">
        <v>555</v>
      </c>
      <c r="K47" s="723">
        <f t="shared" si="13"/>
        <v>4883544</v>
      </c>
      <c r="L47" s="723"/>
      <c r="M47" s="723">
        <f>K47</f>
        <v>4883544</v>
      </c>
      <c r="N47" s="723"/>
      <c r="O47" s="723"/>
    </row>
    <row r="48" spans="1:30">
      <c r="A48" s="490" t="s">
        <v>183</v>
      </c>
      <c r="B48" s="669">
        <f>'TTUHSCEP FGD'!M71</f>
        <v>19003714</v>
      </c>
      <c r="C48" s="669">
        <f t="shared" si="9"/>
        <v>22328</v>
      </c>
      <c r="D48" s="723">
        <f>'TTUHSCEP FGD'!F71</f>
        <v>0</v>
      </c>
      <c r="E48" s="754"/>
      <c r="F48" s="754">
        <f t="shared" si="12"/>
        <v>19003714</v>
      </c>
      <c r="H48" s="965" t="s">
        <v>556</v>
      </c>
      <c r="I48" s="966">
        <f>ROUND(F48/$C$6,0)</f>
        <v>22328</v>
      </c>
      <c r="J48" s="320" t="s">
        <v>557</v>
      </c>
      <c r="K48" s="723">
        <f t="shared" si="13"/>
        <v>19003714</v>
      </c>
      <c r="L48" s="723"/>
      <c r="M48" s="723"/>
      <c r="N48" s="723">
        <f>K48</f>
        <v>19003714</v>
      </c>
      <c r="O48" s="723"/>
    </row>
    <row r="49" spans="1:30">
      <c r="A49" s="490" t="s">
        <v>184</v>
      </c>
      <c r="B49" s="669">
        <f>'TTUHSCEP FGD'!M72</f>
        <v>13498709</v>
      </c>
      <c r="C49" s="669"/>
      <c r="D49" s="723">
        <f>'TTUHSCEP FGD'!F72</f>
        <v>0</v>
      </c>
      <c r="E49" s="754"/>
      <c r="F49" s="754">
        <f t="shared" si="12"/>
        <v>13498709</v>
      </c>
      <c r="J49" s="320" t="s">
        <v>558</v>
      </c>
      <c r="K49" s="723">
        <f t="shared" si="13"/>
        <v>13498709</v>
      </c>
      <c r="L49" s="723"/>
      <c r="M49" s="723"/>
      <c r="N49" s="723">
        <f>K49</f>
        <v>13498709</v>
      </c>
      <c r="O49" s="723"/>
    </row>
    <row r="50" spans="1:30">
      <c r="A50" s="490" t="s">
        <v>185</v>
      </c>
      <c r="B50" s="669">
        <f>'TTUHSCEP FGD'!M73</f>
        <v>1385087</v>
      </c>
      <c r="C50" s="669">
        <f t="shared" si="9"/>
        <v>1627</v>
      </c>
      <c r="D50" s="723">
        <f>'TTUHSCEP FGD'!F73</f>
        <v>0</v>
      </c>
      <c r="E50" s="754"/>
      <c r="F50" s="754">
        <f t="shared" si="12"/>
        <v>1385087</v>
      </c>
      <c r="J50" s="320" t="s">
        <v>559</v>
      </c>
      <c r="K50" s="723">
        <f t="shared" si="13"/>
        <v>1385087</v>
      </c>
      <c r="L50" s="723"/>
      <c r="M50" s="723">
        <f>K50</f>
        <v>1385087</v>
      </c>
      <c r="N50" s="723"/>
      <c r="O50" s="723"/>
    </row>
    <row r="51" spans="1:30">
      <c r="A51" s="490" t="s">
        <v>472</v>
      </c>
      <c r="B51" s="669">
        <f>'TTUHSCEP FGD'!M74</f>
        <v>228210</v>
      </c>
      <c r="C51" s="669"/>
      <c r="D51" s="969">
        <f>B51</f>
        <v>228210</v>
      </c>
      <c r="E51" s="754"/>
      <c r="F51" s="754">
        <f t="shared" si="12"/>
        <v>0</v>
      </c>
      <c r="J51" s="320" t="s">
        <v>560</v>
      </c>
      <c r="K51" s="967"/>
      <c r="L51" s="769"/>
      <c r="M51" s="769" t="s">
        <v>551</v>
      </c>
      <c r="N51" s="769"/>
      <c r="O51" s="968"/>
    </row>
    <row r="52" spans="1:30">
      <c r="A52" s="490" t="s">
        <v>187</v>
      </c>
      <c r="B52" s="669">
        <f>'TTUHSCEP FGD'!M75</f>
        <v>7614890</v>
      </c>
      <c r="C52" s="669">
        <f t="shared" si="9"/>
        <v>8947</v>
      </c>
      <c r="D52" s="723">
        <f>'TTUHSCEP FGD'!F75</f>
        <v>73198</v>
      </c>
      <c r="E52" s="754"/>
      <c r="F52" s="754">
        <f t="shared" si="12"/>
        <v>7541692</v>
      </c>
      <c r="J52" s="320" t="s">
        <v>561</v>
      </c>
      <c r="K52" s="723">
        <f t="shared" ref="K52:K53" si="14">F52</f>
        <v>7541692</v>
      </c>
      <c r="L52" s="723"/>
      <c r="M52" s="723"/>
      <c r="N52" s="723"/>
      <c r="O52" s="723">
        <f>K52</f>
        <v>7541692</v>
      </c>
    </row>
    <row r="53" spans="1:30" ht="13.8" thickBot="1">
      <c r="A53" s="277" t="s">
        <v>1713</v>
      </c>
      <c r="B53" s="669">
        <f>'TTUHSCEP FGD'!M76</f>
        <v>433564</v>
      </c>
      <c r="C53" s="669"/>
      <c r="D53" s="723">
        <f>'TTUHSCEP FGD'!F76</f>
        <v>0</v>
      </c>
      <c r="E53" s="754"/>
      <c r="F53" s="754">
        <f t="shared" si="12"/>
        <v>433564</v>
      </c>
      <c r="G53" s="400"/>
      <c r="H53" s="965" t="s">
        <v>562</v>
      </c>
      <c r="I53" s="966">
        <f>ROUND(SUM(F43+F47+F49+F50+F52+F53)/$C$6,0)</f>
        <v>47047</v>
      </c>
      <c r="J53" s="400" t="s">
        <v>280</v>
      </c>
      <c r="K53" s="723">
        <f t="shared" si="14"/>
        <v>433564</v>
      </c>
      <c r="L53" s="970"/>
      <c r="M53" s="970"/>
      <c r="N53" s="970"/>
      <c r="O53" s="723">
        <f>K53</f>
        <v>433564</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271794398</v>
      </c>
      <c r="C54" s="972">
        <f>SUM(C42:C53)</f>
        <v>269371</v>
      </c>
      <c r="D54" s="972">
        <f>SUM(D42:D53)</f>
        <v>301408</v>
      </c>
      <c r="E54" s="973">
        <f>SUM(E43:E53)</f>
        <v>28370730</v>
      </c>
      <c r="F54" s="974">
        <f>SUM(F42:F53)</f>
        <v>243122260</v>
      </c>
      <c r="G54" s="1174" t="s">
        <v>563</v>
      </c>
      <c r="H54" s="1175"/>
      <c r="I54" s="975" t="s">
        <v>623</v>
      </c>
      <c r="J54" s="400" t="s">
        <v>564</v>
      </c>
      <c r="K54" s="976">
        <f>SUM(K42:K53)</f>
        <v>243122260</v>
      </c>
      <c r="L54" s="976">
        <f t="shared" ref="L54:O54" si="15">SUM(L42:L53)</f>
        <v>196375950</v>
      </c>
      <c r="M54" s="976">
        <f t="shared" si="15"/>
        <v>6268631</v>
      </c>
      <c r="N54" s="976">
        <f t="shared" si="15"/>
        <v>32502423</v>
      </c>
      <c r="O54" s="976">
        <f t="shared" si="15"/>
        <v>7975256</v>
      </c>
    </row>
    <row r="55" spans="1:30" ht="14.25" customHeight="1" thickTop="1" thickBot="1">
      <c r="C55" s="277"/>
      <c r="F55" s="931"/>
      <c r="G55" s="1176"/>
      <c r="H55" s="1177"/>
      <c r="I55" s="977">
        <f>ROUND(F54/C6,0)</f>
        <v>285657</v>
      </c>
      <c r="J55" s="1153" t="s">
        <v>565</v>
      </c>
      <c r="K55" s="970"/>
      <c r="L55" s="970"/>
      <c r="M55" s="970"/>
      <c r="N55" s="970"/>
      <c r="O55" s="970"/>
    </row>
    <row r="56" spans="1:30" ht="16.5" customHeight="1" thickBot="1">
      <c r="A56" s="279" t="s">
        <v>473</v>
      </c>
      <c r="C56" s="277"/>
      <c r="F56" s="978"/>
      <c r="G56" s="1178"/>
      <c r="H56" s="1179"/>
      <c r="I56" s="951" t="s">
        <v>624</v>
      </c>
      <c r="J56" s="1153"/>
      <c r="K56" s="979">
        <f>ROUND(K54/$C$6,2)</f>
        <v>285656.52</v>
      </c>
      <c r="L56" s="979">
        <f t="shared" ref="L56:O56" si="16">ROUND(L54/$C$6,2)</f>
        <v>230731.94</v>
      </c>
      <c r="M56" s="979">
        <f t="shared" si="16"/>
        <v>7365.33</v>
      </c>
      <c r="N56" s="979">
        <f t="shared" si="16"/>
        <v>38188.720000000001</v>
      </c>
      <c r="O56" s="979">
        <f t="shared" si="16"/>
        <v>9370.5300000000007</v>
      </c>
      <c r="P56" s="333"/>
      <c r="Q56" s="333"/>
      <c r="R56" s="333"/>
      <c r="S56" s="333"/>
      <c r="T56" s="333"/>
      <c r="U56" s="333"/>
      <c r="V56" s="333"/>
      <c r="W56" s="333"/>
      <c r="X56" s="333"/>
      <c r="Y56" s="333"/>
      <c r="Z56" s="333"/>
      <c r="AA56" s="333"/>
      <c r="AB56" s="333"/>
      <c r="AC56" s="333"/>
      <c r="AD56" s="333"/>
    </row>
    <row r="57" spans="1:30" ht="13.8" thickTop="1">
      <c r="A57" s="277" t="s">
        <v>474</v>
      </c>
      <c r="B57" s="669">
        <f>'TTUHSCEP FGD'!M80</f>
        <v>-2447978</v>
      </c>
      <c r="C57" s="669"/>
      <c r="D57" s="492">
        <f>'TTUHSCEP FGD'!F80</f>
        <v>0</v>
      </c>
      <c r="E57" s="492"/>
      <c r="F57" s="980">
        <f t="shared" ref="F57:F60" si="17">B57-(SUM(D57:E57))</f>
        <v>-2447978</v>
      </c>
      <c r="G57" s="930"/>
      <c r="I57" s="981">
        <f>ROUND($F$54/$I$8,0)</f>
        <v>729483</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'TTUHSCEP FGD'!M81</f>
        <v>853600</v>
      </c>
      <c r="C58" s="669"/>
      <c r="D58" s="982">
        <f>'TTUHSCEP FGD'!F81</f>
        <v>0</v>
      </c>
      <c r="E58" s="915"/>
      <c r="F58" s="754">
        <f t="shared" si="17"/>
        <v>853600</v>
      </c>
      <c r="K58" s="980"/>
      <c r="L58" s="980"/>
      <c r="M58" s="980"/>
      <c r="N58" s="980"/>
      <c r="O58" s="980"/>
    </row>
    <row r="59" spans="1:30">
      <c r="A59" s="983" t="s">
        <v>567</v>
      </c>
      <c r="B59" s="669">
        <f>'TTUHSCEP FGD'!M82</f>
        <v>5188902</v>
      </c>
      <c r="C59" s="669"/>
      <c r="D59" s="982">
        <f>'TTUHSCEP FGD'!F82</f>
        <v>0</v>
      </c>
      <c r="E59" s="915"/>
      <c r="F59" s="754">
        <f t="shared" si="17"/>
        <v>5188902</v>
      </c>
      <c r="G59" s="400"/>
      <c r="J59" s="400"/>
      <c r="K59" s="400"/>
      <c r="L59" s="400"/>
      <c r="M59" s="400"/>
      <c r="N59" s="400"/>
      <c r="O59" s="400"/>
    </row>
    <row r="60" spans="1:30" ht="12" customHeight="1">
      <c r="A60" s="277" t="s">
        <v>477</v>
      </c>
      <c r="B60" s="669">
        <f>'TTUHSCEP FGD'!M83</f>
        <v>-19466650</v>
      </c>
      <c r="C60" s="669"/>
      <c r="D60" s="982">
        <f>'TTUHSCEP FGD'!F83</f>
        <v>0</v>
      </c>
      <c r="E60" s="915"/>
      <c r="F60" s="754">
        <f t="shared" si="17"/>
        <v>-19466650</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-15872126</v>
      </c>
      <c r="C61" s="937"/>
      <c r="D61" s="937">
        <f>SUM(D57:D60)</f>
        <v>0</v>
      </c>
      <c r="E61" s="937">
        <f>SUM(E57:E60)</f>
        <v>0</v>
      </c>
      <c r="F61" s="984">
        <f>SUM(F57:F60)</f>
        <v>-15872126</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'TTUHSCEP FGD'!M87</f>
        <v>-14802276</v>
      </c>
      <c r="C64" s="669"/>
      <c r="D64" s="492">
        <f>'TTUHSCEP FGD'!F87</f>
        <v>0</v>
      </c>
      <c r="E64" s="492"/>
      <c r="F64" s="492">
        <f t="shared" ref="F64:F65" si="18">B64-(SUM(D64:E64))</f>
        <v>-14802276</v>
      </c>
      <c r="O64" s="320"/>
    </row>
    <row r="65" spans="1:30">
      <c r="A65" s="277" t="s">
        <v>480</v>
      </c>
      <c r="B65" s="669">
        <f>'TTUHSCEP FGD'!M88</f>
        <v>71929</v>
      </c>
      <c r="C65" s="669"/>
      <c r="D65" s="982">
        <f>'TTUHSCEP FGD'!F88</f>
        <v>0</v>
      </c>
      <c r="E65" s="915"/>
      <c r="F65" s="754">
        <f t="shared" si="18"/>
        <v>71929</v>
      </c>
      <c r="O65" s="320"/>
      <c r="P65" s="333"/>
      <c r="Q65" s="333"/>
      <c r="R65" s="333"/>
      <c r="S65" s="333"/>
      <c r="T65" s="333"/>
      <c r="U65" s="333"/>
      <c r="V65" s="333"/>
      <c r="W65" s="333"/>
      <c r="X65" s="333"/>
      <c r="Y65" s="333"/>
      <c r="Z65" s="333"/>
      <c r="AA65" s="333"/>
      <c r="AB65" s="333"/>
      <c r="AC65" s="333"/>
      <c r="AD65" s="333"/>
    </row>
    <row r="66" spans="1:30">
      <c r="A66" s="936" t="s">
        <v>155</v>
      </c>
      <c r="B66" s="937">
        <f>SUM(B64:B65)</f>
        <v>-14730347</v>
      </c>
      <c r="C66" s="937"/>
      <c r="D66" s="937">
        <f>SUM(D64:D65)</f>
        <v>0</v>
      </c>
      <c r="E66" s="937">
        <f>SUM(E64:E65)</f>
        <v>0</v>
      </c>
      <c r="F66" s="937">
        <f>SUM(F64:F65)</f>
        <v>-14730347</v>
      </c>
      <c r="O66" s="320"/>
    </row>
    <row r="67" spans="1:30">
      <c r="C67" s="277"/>
      <c r="O67" s="320"/>
    </row>
    <row r="68" spans="1:30" ht="13.8" thickBot="1">
      <c r="A68" s="985" t="s">
        <v>572</v>
      </c>
      <c r="B68" s="590">
        <f>B39-B54+B61+B66</f>
        <v>-1882048</v>
      </c>
      <c r="C68" s="590"/>
      <c r="D68" s="590">
        <f>D39-D54+D61+D66</f>
        <v>6966</v>
      </c>
      <c r="E68" s="590">
        <f>E39-E54+E61+E66</f>
        <v>29249934</v>
      </c>
      <c r="F68" s="590">
        <f>F39-F54+F61+F66</f>
        <v>-31138948</v>
      </c>
      <c r="O68" s="320"/>
    </row>
    <row r="69" spans="1:30" ht="13.8" thickTop="1"/>
    <row r="70" spans="1:30">
      <c r="A70" s="320" t="s">
        <v>573</v>
      </c>
      <c r="D70" s="492"/>
    </row>
    <row r="71" spans="1:30">
      <c r="A71" s="277" t="s">
        <v>7</v>
      </c>
    </row>
    <row r="72" spans="1:30">
      <c r="B72" s="986">
        <f>'TTUHSCEP FGD'!$M$91</f>
        <v>-1882048</v>
      </c>
      <c r="C72" s="277"/>
      <c r="D72" s="986">
        <f>'TTUHSCEP FGD'!F91</f>
        <v>6966</v>
      </c>
      <c r="E72" s="986">
        <f>'TTUHSCEP FGD'!M50</f>
        <v>57620664</v>
      </c>
      <c r="F72" s="277"/>
    </row>
    <row r="73" spans="1:30">
      <c r="B73" s="986"/>
      <c r="C73" s="277"/>
      <c r="D73" s="986">
        <f>'TTUHSCEP FGD'!F74</f>
        <v>228210</v>
      </c>
      <c r="E73" s="986">
        <f>'TTUHSCEP FGD'!M53</f>
        <v>0</v>
      </c>
      <c r="F73" s="986"/>
    </row>
    <row r="74" spans="1:30">
      <c r="B74" s="986"/>
      <c r="C74" s="277"/>
      <c r="D74" s="986">
        <f>-'TTUHSCEP FGD'!M74</f>
        <v>-228210</v>
      </c>
      <c r="E74" s="986">
        <f>-'TTUHSCEP FGD'!M68</f>
        <v>-24298172</v>
      </c>
      <c r="F74" s="986"/>
    </row>
    <row r="75" spans="1:30">
      <c r="B75" s="986"/>
      <c r="C75" s="277"/>
      <c r="D75" s="986"/>
      <c r="E75" s="986">
        <f>-'TTUHSCEP FGD'!M67</f>
        <v>-4072558</v>
      </c>
      <c r="F75" s="986"/>
    </row>
    <row r="76" spans="1:30" ht="12.75" customHeight="1">
      <c r="B76" s="987"/>
      <c r="C76" s="277"/>
      <c r="D76" s="987"/>
      <c r="E76" s="987">
        <f>-D26</f>
        <v>0</v>
      </c>
      <c r="F76" s="986"/>
    </row>
    <row r="77" spans="1:30" ht="12.75" customHeight="1">
      <c r="B77" s="986">
        <f>SUM(B72:B76)</f>
        <v>-1882048</v>
      </c>
      <c r="C77" s="277"/>
      <c r="D77" s="986">
        <f>SUM(D72:D76)</f>
        <v>6966</v>
      </c>
      <c r="E77" s="986">
        <f>SUM(E72:E76)</f>
        <v>29249934</v>
      </c>
      <c r="F77" s="986">
        <f>B77-D77-E77</f>
        <v>-31138948</v>
      </c>
    </row>
    <row r="78" spans="1:30" ht="12.75" customHeight="1">
      <c r="B78" s="986"/>
      <c r="C78" s="277"/>
      <c r="D78" s="986"/>
      <c r="E78" s="986"/>
      <c r="F78" s="986"/>
    </row>
    <row r="79" spans="1:30" ht="12.75" customHeight="1">
      <c r="B79" s="987"/>
      <c r="C79" s="538"/>
      <c r="D79" s="987"/>
      <c r="E79" s="987"/>
      <c r="F79" s="987"/>
    </row>
    <row r="80" spans="1:30" ht="12.75" customHeight="1">
      <c r="B80" s="986">
        <f>SUM(B77:B79)</f>
        <v>-1882048</v>
      </c>
      <c r="C80" s="277"/>
      <c r="D80" s="986">
        <f>SUM(D77:D79)</f>
        <v>6966</v>
      </c>
      <c r="E80" s="986">
        <f>SUM(E77:E79)</f>
        <v>29249934</v>
      </c>
      <c r="F80" s="986">
        <f>SUM(F77:F79)</f>
        <v>-31138948</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6">
    <mergeCell ref="G38:H38"/>
    <mergeCell ref="G39:H39"/>
    <mergeCell ref="K45:O45"/>
    <mergeCell ref="J55:J56"/>
    <mergeCell ref="G54:H56"/>
    <mergeCell ref="K36:O36"/>
    <mergeCell ref="K37:K40"/>
    <mergeCell ref="L37:L40"/>
    <mergeCell ref="M37:M40"/>
    <mergeCell ref="N37:N40"/>
    <mergeCell ref="O37:O40"/>
    <mergeCell ref="K35:O35"/>
    <mergeCell ref="F1:I1"/>
    <mergeCell ref="J1:O1"/>
    <mergeCell ref="D4:D5"/>
    <mergeCell ref="E4:E5"/>
  </mergeCells>
  <hyperlinks>
    <hyperlink ref="D1" location="Index!A1" display="Return to Index" xr:uid="{00000000-0004-0000-3B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indexed="11"/>
    <pageSetUpPr fitToPage="1"/>
  </sheetPr>
  <dimension ref="A1:AB124"/>
  <sheetViews>
    <sheetView showGridLines="0" zoomScale="75" zoomScaleNormal="75" workbookViewId="0">
      <pane xSplit="2" ySplit="8" topLeftCell="D100"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5.5546875" style="751" customWidth="1"/>
    <col min="13" max="13" width="17" style="751" customWidth="1"/>
    <col min="14" max="14" width="5.44140625" style="751" customWidth="1"/>
    <col min="15" max="15" width="16.664062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N1" s="656">
        <v>12</v>
      </c>
      <c r="O1" s="322"/>
      <c r="P1" s="322"/>
      <c r="Q1" s="322"/>
      <c r="R1" s="322"/>
      <c r="S1" s="322"/>
      <c r="T1" s="322"/>
      <c r="U1" s="322"/>
      <c r="V1" s="322"/>
      <c r="W1" s="322"/>
      <c r="X1" s="322"/>
      <c r="Y1" s="322"/>
      <c r="Z1" s="322"/>
      <c r="AA1" s="322"/>
      <c r="AB1" s="322"/>
    </row>
    <row r="2" spans="1:28" ht="21">
      <c r="A2" s="656">
        <v>1</v>
      </c>
      <c r="B2" s="1168" t="str">
        <f>'TTUHSCEP Chts'!$A$1</f>
        <v>Texas Tech University Health Sciences Center at El Paso</v>
      </c>
      <c r="C2" s="1168"/>
      <c r="D2" s="1168"/>
      <c r="E2" s="1168"/>
      <c r="F2" s="1168"/>
      <c r="H2" s="750"/>
      <c r="I2" s="752" t="str">
        <f>IF($B$2&lt;&gt;Input!$H$15,"Name Mismatch","")</f>
        <v/>
      </c>
      <c r="J2" s="750"/>
      <c r="K2" s="750"/>
      <c r="L2" s="750"/>
      <c r="M2" s="672"/>
      <c r="O2" s="321" t="s">
        <v>51</v>
      </c>
      <c r="P2" s="334"/>
    </row>
    <row r="3" spans="1:28" ht="21">
      <c r="A3" s="656">
        <v>2</v>
      </c>
      <c r="B3" s="1168" t="str">
        <f>'Smmy Chts'!$A$2</f>
        <v>For the Year Ended August 31, 2022</v>
      </c>
      <c r="C3" s="1168"/>
      <c r="D3" s="1168"/>
      <c r="E3" s="1168"/>
      <c r="F3" s="1168"/>
      <c r="G3" s="750"/>
      <c r="H3" s="750"/>
      <c r="I3" s="750"/>
      <c r="J3" s="750"/>
      <c r="K3" s="750"/>
      <c r="L3" s="750"/>
      <c r="M3" s="672"/>
      <c r="O3" s="754"/>
    </row>
    <row r="4" spans="1:28" ht="21">
      <c r="A4" s="656">
        <v>3</v>
      </c>
      <c r="B4" s="1168" t="str">
        <f>'Smmy Chts'!$A$3</f>
        <v>Source: FY 2022 Annual Financial Report</v>
      </c>
      <c r="C4" s="1168"/>
      <c r="D4" s="1168"/>
      <c r="E4" s="1168"/>
      <c r="F4" s="1168"/>
      <c r="G4" s="750"/>
      <c r="H4" s="750"/>
      <c r="I4" s="750"/>
      <c r="J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Input!$M$15</f>
        <v>80558351</v>
      </c>
      <c r="E10" s="762">
        <f>Input!$N$15</f>
        <v>0</v>
      </c>
      <c r="F10" s="762">
        <f>Input!$O$15</f>
        <v>0</v>
      </c>
      <c r="G10" s="762">
        <f>Input!$P$15</f>
        <v>0</v>
      </c>
      <c r="H10" s="762">
        <f>Input!$Q$15</f>
        <v>0</v>
      </c>
      <c r="I10" s="762">
        <f>Input!$R$15</f>
        <v>0</v>
      </c>
      <c r="J10" s="762">
        <f>Input!$S$15</f>
        <v>0</v>
      </c>
      <c r="K10" s="762">
        <f>Input!$T$15</f>
        <v>0</v>
      </c>
      <c r="L10" s="762">
        <f>Input!$U$15</f>
        <v>0</v>
      </c>
      <c r="M10" s="723">
        <f t="shared" ref="M10:M15" si="0">D10+E10+F10+G10+H10+I10+J10+K10+L10</f>
        <v>80558351</v>
      </c>
      <c r="O10" s="763"/>
      <c r="P10" s="1200" t="s">
        <v>627</v>
      </c>
      <c r="Q10" s="320"/>
      <c r="R10" s="320"/>
      <c r="S10" s="320"/>
      <c r="V10" s="320"/>
      <c r="W10" s="320"/>
      <c r="X10" s="320"/>
      <c r="Y10" s="320"/>
      <c r="Z10" s="320"/>
      <c r="AA10" s="320"/>
      <c r="AB10" s="320"/>
    </row>
    <row r="11" spans="1:28" s="752" customFormat="1">
      <c r="A11" s="460">
        <v>10</v>
      </c>
      <c r="B11" s="752" t="s">
        <v>134</v>
      </c>
      <c r="D11" s="762">
        <f>Input!$V$15</f>
        <v>744808</v>
      </c>
      <c r="E11" s="762">
        <f>Input!$W$15</f>
        <v>175403</v>
      </c>
      <c r="F11" s="762">
        <f>Input!$X$15</f>
        <v>0</v>
      </c>
      <c r="G11" s="762">
        <f>Input!$Y$15</f>
        <v>5279082</v>
      </c>
      <c r="H11" s="762">
        <f>Input!$Z$15</f>
        <v>0</v>
      </c>
      <c r="I11" s="762">
        <f>Input!$AA$15</f>
        <v>0</v>
      </c>
      <c r="J11" s="762">
        <f>Input!$AB$15</f>
        <v>0</v>
      </c>
      <c r="K11" s="762">
        <f>Input!$AC$15</f>
        <v>0</v>
      </c>
      <c r="L11" s="762">
        <f>Input!$AD$15</f>
        <v>0</v>
      </c>
      <c r="M11" s="723">
        <f t="shared" si="0"/>
        <v>6199293</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Input!$AN$15</f>
        <v>5557572</v>
      </c>
      <c r="E13" s="762">
        <f>Input!$AO$15</f>
        <v>0</v>
      </c>
      <c r="F13" s="762">
        <f>Input!$AP$15</f>
        <v>0</v>
      </c>
      <c r="G13" s="762">
        <f>Input!$AQ$15</f>
        <v>0</v>
      </c>
      <c r="H13" s="762">
        <f>Input!$AR$15</f>
        <v>0</v>
      </c>
      <c r="I13" s="762">
        <f>Input!$AS$15</f>
        <v>0</v>
      </c>
      <c r="J13" s="762">
        <f>Input!$AT$15</f>
        <v>0</v>
      </c>
      <c r="K13" s="762">
        <f>Input!$AU$15</f>
        <v>0</v>
      </c>
      <c r="L13" s="762">
        <f>Input!$AV$15</f>
        <v>0</v>
      </c>
      <c r="M13" s="723">
        <f t="shared" si="0"/>
        <v>5557572</v>
      </c>
      <c r="O13" s="764" t="str">
        <f>IF(P13&lt;&gt;M13,"Out of Balance","Balanced")</f>
        <v>Balanced</v>
      </c>
      <c r="P13" s="767">
        <f>IFERROR(VLOOKUP($B$2,AMTLU,6,FALSE),0)</f>
        <v>5557572</v>
      </c>
      <c r="Q13" s="320"/>
      <c r="R13" s="320"/>
      <c r="S13" s="320"/>
      <c r="V13" s="320"/>
      <c r="W13" s="320"/>
      <c r="X13" s="320"/>
      <c r="Y13" s="320"/>
      <c r="Z13" s="320"/>
      <c r="AA13" s="320"/>
      <c r="AB13" s="320"/>
    </row>
    <row r="14" spans="1:28" s="752" customFormat="1" ht="15">
      <c r="A14" s="460">
        <v>13</v>
      </c>
      <c r="B14" s="752" t="s">
        <v>135</v>
      </c>
      <c r="D14" s="762">
        <f>Input!$AW$15</f>
        <v>0</v>
      </c>
      <c r="E14" s="762">
        <f>Input!$AX$15</f>
        <v>0</v>
      </c>
      <c r="F14" s="762">
        <f>Input!$AY$15</f>
        <v>0</v>
      </c>
      <c r="G14" s="762">
        <f>Input!$AZ$15</f>
        <v>0</v>
      </c>
      <c r="H14" s="762">
        <f>Input!$BA$15</f>
        <v>0</v>
      </c>
      <c r="I14" s="762">
        <f>Input!$BB$15</f>
        <v>0</v>
      </c>
      <c r="J14" s="762">
        <f>Input!$BC$15</f>
        <v>0</v>
      </c>
      <c r="K14" s="762">
        <f>Input!$BD$15</f>
        <v>0</v>
      </c>
      <c r="L14" s="762">
        <f>Input!$BE$15</f>
        <v>0</v>
      </c>
      <c r="M14" s="723">
        <f t="shared" si="0"/>
        <v>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86860731</v>
      </c>
      <c r="E15" s="769">
        <f t="shared" ref="E15:L15" si="1">SUM(E10:E14)</f>
        <v>175403</v>
      </c>
      <c r="F15" s="769">
        <f t="shared" si="1"/>
        <v>0</v>
      </c>
      <c r="G15" s="769">
        <f t="shared" si="1"/>
        <v>5279082</v>
      </c>
      <c r="H15" s="769">
        <f t="shared" si="1"/>
        <v>0</v>
      </c>
      <c r="I15" s="769">
        <f t="shared" si="1"/>
        <v>0</v>
      </c>
      <c r="J15" s="769">
        <f t="shared" si="1"/>
        <v>0</v>
      </c>
      <c r="K15" s="769">
        <f t="shared" si="1"/>
        <v>0</v>
      </c>
      <c r="L15" s="769">
        <f t="shared" si="1"/>
        <v>0</v>
      </c>
      <c r="M15" s="769">
        <f t="shared" si="0"/>
        <v>92315216</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4291126</v>
      </c>
      <c r="E18" s="769">
        <f t="shared" si="2"/>
        <v>7204424</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11495550</v>
      </c>
      <c r="V18" s="723"/>
      <c r="X18" s="492"/>
    </row>
    <row r="19" spans="1:26" s="320" customFormat="1" ht="12.75" customHeight="1" thickTop="1" thickBot="1">
      <c r="A19" s="322"/>
      <c r="B19" s="320" t="s">
        <v>592</v>
      </c>
      <c r="D19" s="762">
        <f>Input!$BF$15</f>
        <v>-238280</v>
      </c>
      <c r="E19" s="762">
        <f>Input!$BG$15</f>
        <v>0</v>
      </c>
      <c r="F19" s="762">
        <f>Input!$BH$15</f>
        <v>0</v>
      </c>
      <c r="G19" s="762">
        <f>Input!$BI$15</f>
        <v>0</v>
      </c>
      <c r="H19" s="762">
        <f>Input!$BJ$15</f>
        <v>0</v>
      </c>
      <c r="I19" s="762">
        <f>Input!BK6</f>
        <v>0</v>
      </c>
      <c r="J19" s="762">
        <f>Input!$BL$15</f>
        <v>0</v>
      </c>
      <c r="K19" s="762">
        <f>Input!BM6</f>
        <v>0</v>
      </c>
      <c r="L19" s="762">
        <f>Input!BN6</f>
        <v>0</v>
      </c>
      <c r="M19" s="723">
        <f t="shared" si="3"/>
        <v>-238280</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Input!$BO$15</f>
        <v>0</v>
      </c>
      <c r="E20" s="762">
        <f>Input!$BP$15</f>
        <v>0</v>
      </c>
      <c r="F20" s="762">
        <f>Input!$BQ$15</f>
        <v>0</v>
      </c>
      <c r="G20" s="762">
        <f>Input!$BR$15</f>
        <v>0</v>
      </c>
      <c r="H20" s="762">
        <f>Input!$BS$15</f>
        <v>0</v>
      </c>
      <c r="I20" s="762">
        <f>Input!$BT$15</f>
        <v>0</v>
      </c>
      <c r="J20" s="762">
        <f>Input!BU6</f>
        <v>0</v>
      </c>
      <c r="K20" s="762">
        <f>Input!BV6</f>
        <v>0</v>
      </c>
      <c r="L20" s="762">
        <f>Input!$BW$15</f>
        <v>0</v>
      </c>
      <c r="M20" s="723">
        <f t="shared" si="3"/>
        <v>0</v>
      </c>
      <c r="O20" s="773" t="s">
        <v>631</v>
      </c>
      <c r="P20" s="774"/>
      <c r="Q20" s="774"/>
      <c r="R20" s="774"/>
      <c r="S20" s="775"/>
      <c r="U20" s="776" t="s">
        <v>252</v>
      </c>
      <c r="Y20" s="777"/>
    </row>
    <row r="21" spans="1:26" s="320" customFormat="1">
      <c r="A21" s="322"/>
      <c r="B21" s="320" t="s">
        <v>594</v>
      </c>
      <c r="D21" s="762">
        <f>Input!$BX$15</f>
        <v>0</v>
      </c>
      <c r="E21" s="762">
        <f>Input!$BY$15</f>
        <v>0</v>
      </c>
      <c r="F21" s="762">
        <f>Input!$BZ$15</f>
        <v>0</v>
      </c>
      <c r="G21" s="762">
        <f>Input!$CA$15</f>
        <v>0</v>
      </c>
      <c r="H21" s="762">
        <f>Input!$CB$15</f>
        <v>0</v>
      </c>
      <c r="I21" s="762">
        <f>Input!$CC$15</f>
        <v>0</v>
      </c>
      <c r="J21" s="762">
        <f>Input!$CD$15</f>
        <v>0</v>
      </c>
      <c r="K21" s="762">
        <f>Input!$CE$15</f>
        <v>0</v>
      </c>
      <c r="L21" s="762">
        <f>Input!$CF$15</f>
        <v>0</v>
      </c>
      <c r="M21" s="723">
        <f t="shared" si="3"/>
        <v>0</v>
      </c>
      <c r="O21" s="778"/>
      <c r="R21" s="492"/>
      <c r="S21" s="779"/>
      <c r="U21" s="780" t="s">
        <v>632</v>
      </c>
      <c r="X21" s="781">
        <f>M44</f>
        <v>13256992</v>
      </c>
      <c r="Y21" s="777"/>
      <c r="Z21" s="492"/>
    </row>
    <row r="22" spans="1:26" s="320" customFormat="1">
      <c r="A22" s="322"/>
      <c r="B22" s="320" t="s">
        <v>595</v>
      </c>
      <c r="D22" s="762">
        <f>Input!$CG$15</f>
        <v>0</v>
      </c>
      <c r="E22" s="762">
        <f>Input!$CH$15</f>
        <v>0</v>
      </c>
      <c r="F22" s="762">
        <f>Input!$CI$15</f>
        <v>0</v>
      </c>
      <c r="G22" s="762">
        <f>Input!$CJ$15</f>
        <v>0</v>
      </c>
      <c r="H22" s="762">
        <f>Input!$CK$15</f>
        <v>0</v>
      </c>
      <c r="I22" s="762">
        <f>Input!$CL$15</f>
        <v>0</v>
      </c>
      <c r="J22" s="762">
        <f>Input!$CM$15</f>
        <v>0</v>
      </c>
      <c r="K22" s="762">
        <f>Input!$CN$15</f>
        <v>0</v>
      </c>
      <c r="L22" s="762">
        <f>Input!$CO$15</f>
        <v>0</v>
      </c>
      <c r="M22" s="723">
        <f t="shared" si="3"/>
        <v>0</v>
      </c>
      <c r="N22" s="406"/>
      <c r="O22" s="778" t="s">
        <v>633</v>
      </c>
      <c r="Q22" s="492">
        <f>M23</f>
        <v>11257270</v>
      </c>
      <c r="S22" s="782"/>
      <c r="U22" s="780" t="s">
        <v>634</v>
      </c>
      <c r="X22" s="783">
        <f>R30*-1</f>
        <v>2954414</v>
      </c>
      <c r="Y22" s="777"/>
    </row>
    <row r="23" spans="1:26" s="320" customFormat="1" ht="12.75" customHeight="1">
      <c r="A23" s="322"/>
      <c r="B23" s="772" t="s">
        <v>233</v>
      </c>
      <c r="C23" s="784"/>
      <c r="D23" s="785">
        <f>Input!$CP$15</f>
        <v>4052846</v>
      </c>
      <c r="E23" s="785">
        <f>Input!$CQ$15</f>
        <v>7204424</v>
      </c>
      <c r="F23" s="785">
        <f>Input!$CR$15</f>
        <v>0</v>
      </c>
      <c r="G23" s="785">
        <f>Input!$CS$15</f>
        <v>0</v>
      </c>
      <c r="H23" s="785">
        <f>Input!$CT$15</f>
        <v>0</v>
      </c>
      <c r="I23" s="785">
        <f>Input!$CU$15</f>
        <v>0</v>
      </c>
      <c r="J23" s="785">
        <f>Input!$CV$15</f>
        <v>0</v>
      </c>
      <c r="K23" s="785">
        <f>Input!$CW$15</f>
        <v>0</v>
      </c>
      <c r="L23" s="785">
        <f>Input!$CX$15</f>
        <v>0</v>
      </c>
      <c r="M23" s="786">
        <f t="shared" si="3"/>
        <v>11257270</v>
      </c>
      <c r="O23" s="778"/>
      <c r="Q23" s="492"/>
      <c r="S23" s="782"/>
      <c r="U23" s="776" t="s">
        <v>635</v>
      </c>
      <c r="Y23" s="777">
        <f>SUM(X21:X22)</f>
        <v>16211406</v>
      </c>
      <c r="Z23" s="492"/>
    </row>
    <row r="24" spans="1:26" s="320" customFormat="1" ht="12.75" customHeight="1">
      <c r="A24" s="322"/>
      <c r="B24" s="320" t="s">
        <v>596</v>
      </c>
      <c r="C24" s="751"/>
      <c r="D24" s="762">
        <f>Input!$CY$15</f>
        <v>0</v>
      </c>
      <c r="E24" s="762">
        <f>Input!$CZ$15</f>
        <v>0</v>
      </c>
      <c r="F24" s="762">
        <f>Input!$DA$15</f>
        <v>0</v>
      </c>
      <c r="G24" s="762">
        <f>Input!$DB$15</f>
        <v>0</v>
      </c>
      <c r="H24" s="762">
        <f>Input!$DC$15</f>
        <v>0</v>
      </c>
      <c r="I24" s="762">
        <f>Input!$DD$15</f>
        <v>0</v>
      </c>
      <c r="J24" s="762">
        <f>Input!$DE$15</f>
        <v>0</v>
      </c>
      <c r="K24" s="762">
        <f>Input!$DF$15</f>
        <v>0</v>
      </c>
      <c r="L24" s="762">
        <f>Input!$DG$15</f>
        <v>0</v>
      </c>
      <c r="M24" s="650">
        <f t="shared" si="3"/>
        <v>0</v>
      </c>
      <c r="O24" s="787" t="s">
        <v>636</v>
      </c>
      <c r="Q24" s="723"/>
      <c r="R24" s="723">
        <f>SUM(M24:M28)</f>
        <v>-2826239</v>
      </c>
      <c r="S24" s="782"/>
      <c r="U24" s="776"/>
      <c r="Y24" s="777"/>
      <c r="Z24" s="492"/>
    </row>
    <row r="25" spans="1:26" s="320" customFormat="1" ht="12.75" customHeight="1">
      <c r="A25" s="322"/>
      <c r="B25" s="320" t="s">
        <v>597</v>
      </c>
      <c r="C25" s="751"/>
      <c r="D25" s="762">
        <f>Input!$DH$15</f>
        <v>0</v>
      </c>
      <c r="E25" s="762">
        <f>Input!$DI$15</f>
        <v>0</v>
      </c>
      <c r="F25" s="762">
        <f>Input!$DJ$15</f>
        <v>0</v>
      </c>
      <c r="G25" s="762">
        <f>Input!$DK$15</f>
        <v>0</v>
      </c>
      <c r="H25" s="762">
        <f>Input!$DL$15</f>
        <v>0</v>
      </c>
      <c r="I25" s="762">
        <f>Input!$DM$15</f>
        <v>0</v>
      </c>
      <c r="J25" s="762">
        <f>Input!$DN$15</f>
        <v>0</v>
      </c>
      <c r="K25" s="762">
        <f>Input!$DO$15</f>
        <v>0</v>
      </c>
      <c r="L25" s="762">
        <f>Input!$DP$15</f>
        <v>0</v>
      </c>
      <c r="M25" s="650">
        <f t="shared" si="3"/>
        <v>0</v>
      </c>
      <c r="O25" s="778"/>
      <c r="Q25" s="723"/>
      <c r="R25" s="723"/>
      <c r="S25" s="782"/>
      <c r="U25" s="788" t="s">
        <v>637</v>
      </c>
      <c r="V25" s="789"/>
      <c r="W25" s="789"/>
      <c r="X25" s="790">
        <f>(M26+M39)*-1</f>
        <v>336609</v>
      </c>
      <c r="Y25" s="777"/>
      <c r="Z25" s="492"/>
    </row>
    <row r="26" spans="1:26" s="320" customFormat="1" ht="12.75" customHeight="1">
      <c r="A26" s="322"/>
      <c r="B26" s="320" t="s">
        <v>598</v>
      </c>
      <c r="C26" s="751"/>
      <c r="D26" s="762">
        <f>Input!$DQ$15</f>
        <v>-70773</v>
      </c>
      <c r="E26" s="762">
        <f>Input!$DR$15</f>
        <v>-137661</v>
      </c>
      <c r="F26" s="762">
        <f>Input!$DS$15</f>
        <v>0</v>
      </c>
      <c r="G26" s="762">
        <f>Input!$DT$15</f>
        <v>0</v>
      </c>
      <c r="H26" s="762">
        <f>Input!$DU$15</f>
        <v>0</v>
      </c>
      <c r="I26" s="762">
        <f>Input!$DV$15</f>
        <v>0</v>
      </c>
      <c r="J26" s="762">
        <f>Input!$DW$15</f>
        <v>0</v>
      </c>
      <c r="K26" s="762">
        <f>Input!$DX$15</f>
        <v>0</v>
      </c>
      <c r="L26" s="762">
        <f>Input!$DY$15</f>
        <v>0</v>
      </c>
      <c r="M26" s="650">
        <f t="shared" si="3"/>
        <v>-208434</v>
      </c>
      <c r="O26" s="778" t="s">
        <v>638</v>
      </c>
      <c r="Q26" s="723">
        <f>M36</f>
        <v>4954136</v>
      </c>
      <c r="R26" s="791"/>
      <c r="S26" s="792"/>
      <c r="U26" s="776" t="s">
        <v>639</v>
      </c>
      <c r="X26" s="793">
        <f>(M21+M34)*-1</f>
        <v>0</v>
      </c>
      <c r="Y26" s="777"/>
      <c r="Z26" s="492"/>
    </row>
    <row r="27" spans="1:26" s="320" customFormat="1">
      <c r="A27" s="322"/>
      <c r="B27" s="320" t="s">
        <v>599</v>
      </c>
      <c r="C27" s="751"/>
      <c r="D27" s="762">
        <f>Input!$DZ$15</f>
        <v>0</v>
      </c>
      <c r="E27" s="762">
        <f>Input!$EA$15</f>
        <v>0</v>
      </c>
      <c r="F27" s="762">
        <f>Input!$EB$15</f>
        <v>0</v>
      </c>
      <c r="G27" s="762">
        <f>Input!$EC$15</f>
        <v>0</v>
      </c>
      <c r="H27" s="762">
        <f>Input!$ED$15</f>
        <v>0</v>
      </c>
      <c r="I27" s="762">
        <f>Input!$EE$15</f>
        <v>0</v>
      </c>
      <c r="J27" s="762">
        <f>Input!$EF$15</f>
        <v>0</v>
      </c>
      <c r="K27" s="762">
        <f>Input!$EG$15</f>
        <v>0</v>
      </c>
      <c r="L27" s="762">
        <f>Input!$EH$15</f>
        <v>0</v>
      </c>
      <c r="M27" s="650">
        <f t="shared" si="3"/>
        <v>0</v>
      </c>
      <c r="O27" s="778"/>
      <c r="Q27" s="723"/>
      <c r="R27" s="791"/>
      <c r="S27" s="792"/>
      <c r="U27" s="780" t="s">
        <v>640</v>
      </c>
      <c r="V27" s="314"/>
      <c r="W27" s="314"/>
      <c r="X27" s="794">
        <f>SUM(X25:X26)</f>
        <v>336609</v>
      </c>
      <c r="Y27" s="721"/>
    </row>
    <row r="28" spans="1:26" s="320" customFormat="1">
      <c r="A28" s="322"/>
      <c r="B28" s="320" t="s">
        <v>600</v>
      </c>
      <c r="C28" s="751"/>
      <c r="D28" s="762">
        <f>Input!$EI$15</f>
        <v>-652619</v>
      </c>
      <c r="E28" s="762">
        <f>Input!$EJ$15</f>
        <v>-1965186</v>
      </c>
      <c r="F28" s="762">
        <f>Input!$EK$15</f>
        <v>0</v>
      </c>
      <c r="G28" s="762">
        <f>Input!$EL$15</f>
        <v>0</v>
      </c>
      <c r="H28" s="762">
        <f>Input!$EM$15</f>
        <v>0</v>
      </c>
      <c r="I28" s="762">
        <f>Input!$EN$15</f>
        <v>0</v>
      </c>
      <c r="J28" s="762">
        <f>Input!$EO$15</f>
        <v>0</v>
      </c>
      <c r="K28" s="762">
        <f>Input!$EP$15</f>
        <v>0</v>
      </c>
      <c r="L28" s="762">
        <f>Input!$EQ$15</f>
        <v>0</v>
      </c>
      <c r="M28" s="650">
        <f t="shared" si="3"/>
        <v>-2617805</v>
      </c>
      <c r="O28" s="787" t="s">
        <v>641</v>
      </c>
      <c r="Q28" s="723"/>
      <c r="R28" s="723">
        <f>SUM(M37:M41)</f>
        <v>-128175</v>
      </c>
      <c r="S28" s="782"/>
      <c r="U28" s="776" t="s">
        <v>642</v>
      </c>
      <c r="X28" s="777">
        <f>(M27+M40)*-1</f>
        <v>0</v>
      </c>
      <c r="Y28" s="721"/>
      <c r="Z28" s="492"/>
    </row>
    <row r="29" spans="1:26" s="320" customFormat="1" ht="12" customHeight="1">
      <c r="A29" s="322"/>
      <c r="B29" s="795" t="s">
        <v>165</v>
      </c>
      <c r="C29" s="784"/>
      <c r="D29" s="769">
        <f t="shared" ref="D29:L29" si="4">SUM(D23:D28)</f>
        <v>3329454</v>
      </c>
      <c r="E29" s="769">
        <f t="shared" si="4"/>
        <v>5101577</v>
      </c>
      <c r="F29" s="769">
        <f t="shared" si="4"/>
        <v>0</v>
      </c>
      <c r="G29" s="769">
        <f t="shared" si="4"/>
        <v>0</v>
      </c>
      <c r="H29" s="769">
        <f t="shared" si="4"/>
        <v>0</v>
      </c>
      <c r="I29" s="769">
        <f t="shared" si="4"/>
        <v>0</v>
      </c>
      <c r="J29" s="769">
        <f t="shared" si="4"/>
        <v>0</v>
      </c>
      <c r="K29" s="769">
        <f t="shared" si="4"/>
        <v>0</v>
      </c>
      <c r="L29" s="769">
        <f t="shared" si="4"/>
        <v>0</v>
      </c>
      <c r="M29" s="769">
        <f t="shared" si="3"/>
        <v>8431031</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16211406</v>
      </c>
      <c r="R30" s="798">
        <f>R28+R24</f>
        <v>-2954414</v>
      </c>
      <c r="S30" s="799"/>
      <c r="U30" s="780" t="s">
        <v>645</v>
      </c>
      <c r="V30" s="314"/>
      <c r="W30" s="314"/>
      <c r="X30" s="794">
        <f>SUM(X28:X29)</f>
        <v>0</v>
      </c>
      <c r="Y30" s="721"/>
    </row>
    <row r="31" spans="1:26" s="320" customFormat="1" ht="12.75" customHeight="1">
      <c r="A31" s="322"/>
      <c r="B31" s="772" t="s">
        <v>238</v>
      </c>
      <c r="C31" s="772"/>
      <c r="D31" s="769">
        <f t="shared" ref="D31:L31" si="5">D36-SUM(D32:D35)</f>
        <v>0</v>
      </c>
      <c r="E31" s="769">
        <f t="shared" si="5"/>
        <v>4954136</v>
      </c>
      <c r="F31" s="769">
        <f t="shared" si="5"/>
        <v>0</v>
      </c>
      <c r="G31" s="769">
        <f t="shared" si="5"/>
        <v>0</v>
      </c>
      <c r="H31" s="769">
        <f t="shared" si="5"/>
        <v>0</v>
      </c>
      <c r="I31" s="769">
        <f t="shared" si="5"/>
        <v>0</v>
      </c>
      <c r="J31" s="769">
        <f t="shared" si="5"/>
        <v>0</v>
      </c>
      <c r="K31" s="769">
        <f t="shared" si="5"/>
        <v>0</v>
      </c>
      <c r="L31" s="769">
        <f t="shared" si="5"/>
        <v>0</v>
      </c>
      <c r="M31" s="769">
        <f t="shared" ref="M31:M42" si="6">D31+E31+F31+G31+H31+I31+J31+K31+L31</f>
        <v>4954136</v>
      </c>
      <c r="O31" s="778" t="s">
        <v>646</v>
      </c>
      <c r="Q31" s="406"/>
      <c r="S31" s="782"/>
      <c r="U31" s="800" t="s">
        <v>647</v>
      </c>
      <c r="V31" s="801"/>
      <c r="W31" s="801"/>
      <c r="X31" s="802">
        <f>X27+X30</f>
        <v>336609</v>
      </c>
      <c r="Y31" s="777"/>
      <c r="Z31" s="492"/>
    </row>
    <row r="32" spans="1:26" s="320" customFormat="1" ht="12.75" customHeight="1">
      <c r="A32" s="322"/>
      <c r="B32" s="320" t="s">
        <v>592</v>
      </c>
      <c r="D32" s="762">
        <f>Input!$ER$15</f>
        <v>0</v>
      </c>
      <c r="E32" s="762">
        <f>Input!$ES$15</f>
        <v>0</v>
      </c>
      <c r="F32" s="762">
        <f>Input!$ET$15</f>
        <v>0</v>
      </c>
      <c r="G32" s="762">
        <f>Input!$EU$15</f>
        <v>0</v>
      </c>
      <c r="H32" s="762">
        <f>Input!$EV$15</f>
        <v>0</v>
      </c>
      <c r="I32" s="762">
        <f>Input!$EW$15</f>
        <v>0</v>
      </c>
      <c r="J32" s="762">
        <f>Input!$EX$15</f>
        <v>0</v>
      </c>
      <c r="K32" s="762">
        <f>Input!$EY$15</f>
        <v>0</v>
      </c>
      <c r="L32" s="762">
        <f>Input!$EZ$15</f>
        <v>0</v>
      </c>
      <c r="M32" s="650">
        <f t="shared" si="6"/>
        <v>0</v>
      </c>
      <c r="O32" s="803" t="s">
        <v>648</v>
      </c>
      <c r="P32" s="804"/>
      <c r="Q32" s="805">
        <f>Input!$TI$15</f>
        <v>16211406</v>
      </c>
      <c r="R32" s="804"/>
      <c r="S32" s="806"/>
      <c r="U32" s="776"/>
      <c r="Y32" s="777"/>
      <c r="Z32" s="492"/>
    </row>
    <row r="33" spans="1:28" s="320" customFormat="1">
      <c r="A33" s="322"/>
      <c r="B33" s="320" t="s">
        <v>593</v>
      </c>
      <c r="D33" s="762">
        <f>Input!$FA$15</f>
        <v>0</v>
      </c>
      <c r="E33" s="762">
        <f>Input!$FB$15</f>
        <v>0</v>
      </c>
      <c r="F33" s="762">
        <f>Input!$FC$15</f>
        <v>0</v>
      </c>
      <c r="G33" s="762">
        <f>Input!$FD$15</f>
        <v>0</v>
      </c>
      <c r="H33" s="762">
        <f>Input!$FE$15</f>
        <v>0</v>
      </c>
      <c r="I33" s="762">
        <f>Input!$FF$15</f>
        <v>0</v>
      </c>
      <c r="J33" s="762">
        <f>Input!$FG$15</f>
        <v>0</v>
      </c>
      <c r="K33" s="762">
        <f>Input!$FH$15</f>
        <v>0</v>
      </c>
      <c r="L33" s="762">
        <f>Input!$FI$15</f>
        <v>0</v>
      </c>
      <c r="M33" s="650">
        <f t="shared" si="6"/>
        <v>0</v>
      </c>
      <c r="O33" s="803"/>
      <c r="P33" s="804"/>
      <c r="Q33" s="723"/>
      <c r="R33" s="804"/>
      <c r="S33" s="806"/>
      <c r="U33" s="776" t="s">
        <v>649</v>
      </c>
      <c r="X33" s="492">
        <f>(M19+M32)*-1</f>
        <v>238280</v>
      </c>
      <c r="Y33" s="777"/>
    </row>
    <row r="34" spans="1:28" s="320" customFormat="1">
      <c r="A34" s="322"/>
      <c r="B34" s="320" t="s">
        <v>594</v>
      </c>
      <c r="D34" s="762">
        <f>Input!$FJ$15</f>
        <v>0</v>
      </c>
      <c r="E34" s="762">
        <f>Input!$FK$15</f>
        <v>0</v>
      </c>
      <c r="F34" s="762">
        <f>Input!$FL$15</f>
        <v>0</v>
      </c>
      <c r="G34" s="762">
        <f>Input!$FM$15</f>
        <v>0</v>
      </c>
      <c r="H34" s="762">
        <f>Input!$FN$15</f>
        <v>0</v>
      </c>
      <c r="I34" s="762">
        <f>Input!$FO$15</f>
        <v>0</v>
      </c>
      <c r="J34" s="762">
        <f>Input!$FP$15</f>
        <v>0</v>
      </c>
      <c r="K34" s="762">
        <f>Input!$FQ$15</f>
        <v>0</v>
      </c>
      <c r="L34" s="762">
        <f>Input!$FR$15</f>
        <v>0</v>
      </c>
      <c r="M34" s="650">
        <f t="shared" si="6"/>
        <v>0</v>
      </c>
      <c r="O34" s="807" t="s">
        <v>650</v>
      </c>
      <c r="P34" s="808"/>
      <c r="Q34" s="320" t="s">
        <v>651</v>
      </c>
      <c r="R34" s="805">
        <f>Input!$TJ$15</f>
        <v>-2954414</v>
      </c>
      <c r="S34" s="809"/>
      <c r="U34" s="776" t="s">
        <v>652</v>
      </c>
      <c r="X34" s="739">
        <f>(M24+M37)*-1</f>
        <v>0</v>
      </c>
      <c r="Y34" s="777"/>
    </row>
    <row r="35" spans="1:28" s="320" customFormat="1" ht="13.8" thickBot="1">
      <c r="A35" s="322"/>
      <c r="B35" s="320" t="s">
        <v>595</v>
      </c>
      <c r="D35" s="762">
        <f>Input!$FS$15</f>
        <v>0</v>
      </c>
      <c r="E35" s="762">
        <f>Input!$FT$15</f>
        <v>0</v>
      </c>
      <c r="F35" s="762">
        <f>Input!$FU$15</f>
        <v>0</v>
      </c>
      <c r="G35" s="762">
        <f>Input!$FV$15</f>
        <v>0</v>
      </c>
      <c r="H35" s="762">
        <f>Input!$FW$15</f>
        <v>0</v>
      </c>
      <c r="I35" s="762">
        <f>Input!$FX$15</f>
        <v>0</v>
      </c>
      <c r="J35" s="762">
        <f>Input!$FY$15</f>
        <v>0</v>
      </c>
      <c r="K35" s="762">
        <f>Input!$FZ$15</f>
        <v>0</v>
      </c>
      <c r="L35" s="762">
        <f>Input!$GA$15</f>
        <v>0</v>
      </c>
      <c r="M35" s="650">
        <f t="shared" si="6"/>
        <v>0</v>
      </c>
      <c r="O35" s="810" t="s">
        <v>653</v>
      </c>
      <c r="P35" s="811"/>
      <c r="Q35" s="812">
        <f>Q30-Q32</f>
        <v>0</v>
      </c>
      <c r="R35" s="813">
        <f>R30-R34</f>
        <v>0</v>
      </c>
      <c r="S35" s="814"/>
      <c r="U35" s="780" t="s">
        <v>654</v>
      </c>
      <c r="V35" s="314"/>
      <c r="W35" s="314"/>
      <c r="X35" s="781">
        <f>SUM(X33:X34)</f>
        <v>238280</v>
      </c>
      <c r="Y35" s="721"/>
    </row>
    <row r="36" spans="1:28" s="320" customFormat="1" ht="13.8" thickTop="1">
      <c r="A36" s="322"/>
      <c r="B36" s="772" t="s">
        <v>239</v>
      </c>
      <c r="C36" s="784"/>
      <c r="D36" s="785">
        <f>Input!$GB$15</f>
        <v>0</v>
      </c>
      <c r="E36" s="785">
        <f>Input!$GC$15</f>
        <v>4954136</v>
      </c>
      <c r="F36" s="785">
        <f>Input!$GD$15</f>
        <v>0</v>
      </c>
      <c r="G36" s="785">
        <f>Input!$GE$15</f>
        <v>0</v>
      </c>
      <c r="H36" s="785">
        <f>Input!$GF$15</f>
        <v>0</v>
      </c>
      <c r="I36" s="785">
        <f>Input!$GG$15</f>
        <v>0</v>
      </c>
      <c r="J36" s="785">
        <f>Input!$GH$15</f>
        <v>0</v>
      </c>
      <c r="K36" s="785">
        <f>Input!$GI$15</f>
        <v>0</v>
      </c>
      <c r="L36" s="785">
        <f>Input!$GJ$15</f>
        <v>0</v>
      </c>
      <c r="M36" s="786">
        <f t="shared" si="6"/>
        <v>4954136</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Input!$GK$15</f>
        <v>0</v>
      </c>
      <c r="E37" s="762">
        <f>Input!$GL$15</f>
        <v>0</v>
      </c>
      <c r="F37" s="762">
        <f>Input!$GM$15</f>
        <v>0</v>
      </c>
      <c r="G37" s="762">
        <f>Input!$GN$15</f>
        <v>0</v>
      </c>
      <c r="H37" s="762">
        <f>Input!$GO$15</f>
        <v>0</v>
      </c>
      <c r="I37" s="762">
        <f>Input!$GP$15</f>
        <v>0</v>
      </c>
      <c r="J37" s="762">
        <f>Input!$GQ$15</f>
        <v>0</v>
      </c>
      <c r="K37" s="762">
        <f>Input!$GR$15</f>
        <v>0</v>
      </c>
      <c r="L37" s="762">
        <f>Input!$GS$15</f>
        <v>0</v>
      </c>
      <c r="M37" s="650">
        <f t="shared" si="6"/>
        <v>0</v>
      </c>
      <c r="U37" s="776" t="s">
        <v>656</v>
      </c>
      <c r="X37" s="739">
        <f>(M25+M38)*-1</f>
        <v>0</v>
      </c>
      <c r="Y37" s="721"/>
    </row>
    <row r="38" spans="1:28" s="320" customFormat="1">
      <c r="A38" s="322"/>
      <c r="B38" s="320" t="s">
        <v>597</v>
      </c>
      <c r="C38" s="751"/>
      <c r="D38" s="762">
        <f>Input!$GT$15</f>
        <v>0</v>
      </c>
      <c r="E38" s="762">
        <f>Input!$GU$15</f>
        <v>0</v>
      </c>
      <c r="F38" s="762">
        <f>Input!$GV$15</f>
        <v>0</v>
      </c>
      <c r="G38" s="762">
        <f>Input!$GW$15</f>
        <v>0</v>
      </c>
      <c r="H38" s="762">
        <f>Input!$GX$15</f>
        <v>0</v>
      </c>
      <c r="I38" s="762">
        <f>Input!$GY$15</f>
        <v>0</v>
      </c>
      <c r="J38" s="762">
        <f>Input!$GZ$15</f>
        <v>0</v>
      </c>
      <c r="K38" s="762">
        <f>Input!$HA$15</f>
        <v>0</v>
      </c>
      <c r="L38" s="762">
        <f>Input!$HB$15</f>
        <v>0</v>
      </c>
      <c r="M38" s="650">
        <f t="shared" si="6"/>
        <v>0</v>
      </c>
      <c r="U38" s="780" t="s">
        <v>657</v>
      </c>
      <c r="V38" s="314"/>
      <c r="W38" s="314"/>
      <c r="X38" s="781">
        <f>SUM(X36:X37)</f>
        <v>0</v>
      </c>
      <c r="Y38" s="777"/>
    </row>
    <row r="39" spans="1:28" s="320" customFormat="1">
      <c r="A39" s="322"/>
      <c r="B39" s="320" t="s">
        <v>598</v>
      </c>
      <c r="C39" s="751"/>
      <c r="D39" s="762">
        <f>Input!$HC$15</f>
        <v>0</v>
      </c>
      <c r="E39" s="762">
        <f>Input!$HD$15</f>
        <v>-128175</v>
      </c>
      <c r="F39" s="762">
        <f>Input!$HE$15</f>
        <v>0</v>
      </c>
      <c r="G39" s="762">
        <f>Input!$HF$15</f>
        <v>0</v>
      </c>
      <c r="H39" s="762">
        <f>Input!$HG$15</f>
        <v>0</v>
      </c>
      <c r="I39" s="762">
        <f>Input!$HH$15</f>
        <v>0</v>
      </c>
      <c r="J39" s="762">
        <f>Input!$HI$15</f>
        <v>0</v>
      </c>
      <c r="K39" s="762">
        <f>Input!$HJ$15</f>
        <v>0</v>
      </c>
      <c r="L39" s="762">
        <f>Input!$HK$15</f>
        <v>0</v>
      </c>
      <c r="M39" s="650">
        <f t="shared" si="6"/>
        <v>-128175</v>
      </c>
      <c r="U39" s="776" t="s">
        <v>658</v>
      </c>
      <c r="X39" s="492"/>
      <c r="Y39" s="777">
        <f>X38+X35</f>
        <v>238280</v>
      </c>
    </row>
    <row r="40" spans="1:28" s="320" customFormat="1">
      <c r="A40" s="322"/>
      <c r="B40" s="320" t="s">
        <v>599</v>
      </c>
      <c r="C40" s="751"/>
      <c r="D40" s="762">
        <f>Input!$HL$15</f>
        <v>0</v>
      </c>
      <c r="E40" s="762">
        <f>Input!$HM$15</f>
        <v>0</v>
      </c>
      <c r="F40" s="762">
        <f>Input!$HN$15</f>
        <v>0</v>
      </c>
      <c r="G40" s="762">
        <f>Input!$HO$15</f>
        <v>0</v>
      </c>
      <c r="H40" s="762">
        <f>Input!$HP$15</f>
        <v>0</v>
      </c>
      <c r="I40" s="762">
        <f>Input!$HQ$15</f>
        <v>0</v>
      </c>
      <c r="J40" s="762">
        <f>Input!$HR$15</f>
        <v>0</v>
      </c>
      <c r="K40" s="762">
        <f>Input!$HS$15</f>
        <v>0</v>
      </c>
      <c r="L40" s="762">
        <f>Input!$HT$15</f>
        <v>0</v>
      </c>
      <c r="M40" s="650">
        <f t="shared" si="6"/>
        <v>0</v>
      </c>
      <c r="U40" s="776"/>
      <c r="Y40" s="721"/>
    </row>
    <row r="41" spans="1:28" s="320" customFormat="1">
      <c r="A41" s="322"/>
      <c r="B41" s="320" t="s">
        <v>600</v>
      </c>
      <c r="C41" s="751"/>
      <c r="D41" s="762">
        <f>Input!$HU$15</f>
        <v>0</v>
      </c>
      <c r="E41" s="762">
        <f>Input!$HV$15</f>
        <v>0</v>
      </c>
      <c r="F41" s="762">
        <f>Input!$HW$15</f>
        <v>0</v>
      </c>
      <c r="G41" s="762">
        <f>Input!$HX$15</f>
        <v>0</v>
      </c>
      <c r="H41" s="762">
        <f>Input!$HY$15</f>
        <v>0</v>
      </c>
      <c r="I41" s="762">
        <f>Input!$HZ$15</f>
        <v>0</v>
      </c>
      <c r="J41" s="762">
        <f>Input!$IA$15</f>
        <v>0</v>
      </c>
      <c r="K41" s="762">
        <f>Input!$IB$15</f>
        <v>0</v>
      </c>
      <c r="L41" s="762">
        <f>Input!$IC$15</f>
        <v>0</v>
      </c>
      <c r="M41" s="650">
        <f t="shared" si="6"/>
        <v>0</v>
      </c>
      <c r="U41" s="776" t="s">
        <v>639</v>
      </c>
      <c r="X41" s="492">
        <f>(M21+M34)*-1</f>
        <v>0</v>
      </c>
      <c r="Y41" s="777"/>
    </row>
    <row r="42" spans="1:28" s="320" customFormat="1">
      <c r="A42" s="322"/>
      <c r="B42" s="795" t="s">
        <v>166</v>
      </c>
      <c r="C42" s="784"/>
      <c r="D42" s="769">
        <f t="shared" ref="D42:L42" si="7">SUM(D36:D41)</f>
        <v>0</v>
      </c>
      <c r="E42" s="769">
        <f t="shared" si="7"/>
        <v>4825961</v>
      </c>
      <c r="F42" s="769">
        <f t="shared" si="7"/>
        <v>0</v>
      </c>
      <c r="G42" s="769">
        <f t="shared" si="7"/>
        <v>0</v>
      </c>
      <c r="H42" s="769">
        <f t="shared" si="7"/>
        <v>0</v>
      </c>
      <c r="I42" s="769">
        <f t="shared" si="7"/>
        <v>0</v>
      </c>
      <c r="J42" s="769">
        <f t="shared" si="7"/>
        <v>0</v>
      </c>
      <c r="K42" s="769">
        <f t="shared" si="7"/>
        <v>0</v>
      </c>
      <c r="L42" s="769">
        <f t="shared" si="7"/>
        <v>0</v>
      </c>
      <c r="M42" s="769">
        <f t="shared" si="6"/>
        <v>4825961</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3329454</v>
      </c>
      <c r="E44" s="769">
        <f t="shared" si="8"/>
        <v>9927538</v>
      </c>
      <c r="F44" s="769">
        <f t="shared" si="8"/>
        <v>0</v>
      </c>
      <c r="G44" s="769">
        <f t="shared" si="8"/>
        <v>0</v>
      </c>
      <c r="H44" s="769">
        <f t="shared" si="8"/>
        <v>0</v>
      </c>
      <c r="I44" s="769">
        <f t="shared" si="8"/>
        <v>0</v>
      </c>
      <c r="J44" s="769">
        <f t="shared" si="8"/>
        <v>0</v>
      </c>
      <c r="K44" s="769">
        <f t="shared" si="8"/>
        <v>0</v>
      </c>
      <c r="L44" s="769">
        <f t="shared" si="8"/>
        <v>0</v>
      </c>
      <c r="M44" s="769">
        <f>D44+E44+F44+G44+H44+I44+J44+K44+L44</f>
        <v>13256992</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Input!$ID$15</f>
        <v>126788</v>
      </c>
      <c r="E47" s="815">
        <f>Input!$IE$15</f>
        <v>0</v>
      </c>
      <c r="F47" s="815">
        <f>Input!$IF$15</f>
        <v>0</v>
      </c>
      <c r="G47" s="815">
        <f>Input!$IG$15</f>
        <v>4270649</v>
      </c>
      <c r="H47" s="815">
        <f>Input!$IH$15</f>
        <v>0</v>
      </c>
      <c r="I47" s="815">
        <f>Input!$II$15</f>
        <v>0</v>
      </c>
      <c r="J47" s="815">
        <f>Input!$IJ$15</f>
        <v>0</v>
      </c>
      <c r="K47" s="815">
        <f>Input!$IK$15</f>
        <v>0</v>
      </c>
      <c r="L47" s="815">
        <f>Input!$IL$15</f>
        <v>0</v>
      </c>
      <c r="M47" s="769">
        <f>D47+E47+F47+G47+H47+I47+J47+K47+L47</f>
        <v>4397437</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16449686</v>
      </c>
      <c r="Z49" s="320"/>
      <c r="AA49" s="320"/>
      <c r="AB49" s="320"/>
    </row>
    <row r="50" spans="1:28" s="752" customFormat="1">
      <c r="A50" s="460">
        <v>33</v>
      </c>
      <c r="B50" s="768" t="s">
        <v>200</v>
      </c>
      <c r="C50" s="768"/>
      <c r="D50" s="815">
        <f>Input!$IM$15</f>
        <v>0</v>
      </c>
      <c r="E50" s="815">
        <f>Input!$IN$15</f>
        <v>57620664</v>
      </c>
      <c r="F50" s="815">
        <f>Input!$IO$15</f>
        <v>0</v>
      </c>
      <c r="G50" s="815">
        <f>Input!$IP$15</f>
        <v>0</v>
      </c>
      <c r="H50" s="815">
        <f>Input!$IQ$15</f>
        <v>0</v>
      </c>
      <c r="I50" s="815">
        <f>Input!$IR$15</f>
        <v>0</v>
      </c>
      <c r="J50" s="815">
        <f>Input!$IS$15</f>
        <v>0</v>
      </c>
      <c r="K50" s="815">
        <f>Input!$IT$15</f>
        <v>0</v>
      </c>
      <c r="L50" s="815">
        <f>Input!$IU$15</f>
        <v>0</v>
      </c>
      <c r="M50" s="769">
        <f>D50+E50+F50+G50+H50+I50+J50+K50+L50</f>
        <v>57620664</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Input!$IV$15</f>
        <v>0</v>
      </c>
      <c r="E53" s="815">
        <f>Input!$IW$15</f>
        <v>0</v>
      </c>
      <c r="F53" s="815">
        <f>Input!$IX$15</f>
        <v>0</v>
      </c>
      <c r="G53" s="815">
        <f>Input!$IY$15</f>
        <v>0</v>
      </c>
      <c r="H53" s="815">
        <f>Input!$IZ$15</f>
        <v>0</v>
      </c>
      <c r="I53" s="815">
        <f>Input!$JA$15</f>
        <v>0</v>
      </c>
      <c r="J53" s="815">
        <f>Input!$JB$15</f>
        <v>0</v>
      </c>
      <c r="K53" s="815">
        <f>Input!$JC$15</f>
        <v>0</v>
      </c>
      <c r="L53" s="815">
        <f>Input!$JD$15</f>
        <v>0</v>
      </c>
      <c r="M53" s="769">
        <f>D53+E53+F53+G53+H53+I53+J53+K53+L53</f>
        <v>0</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Input!$JE$15</f>
        <v>24014</v>
      </c>
      <c r="E56" s="762">
        <f>Input!$JF$15</f>
        <v>6031075</v>
      </c>
      <c r="F56" s="762">
        <f>Input!$JG$15</f>
        <v>14360</v>
      </c>
      <c r="G56" s="762">
        <f>Input!$JH$15</f>
        <v>1741960</v>
      </c>
      <c r="H56" s="762">
        <f>Input!$JI$15</f>
        <v>21364</v>
      </c>
      <c r="I56" s="762">
        <f>Input!$JJ$15</f>
        <v>-2165859</v>
      </c>
      <c r="J56" s="762">
        <f>Input!$JK$15</f>
        <v>47531</v>
      </c>
      <c r="K56" s="762">
        <f>Input!$JL$15</f>
        <v>0</v>
      </c>
      <c r="L56" s="762">
        <f>Input!$JM$15</f>
        <v>0</v>
      </c>
      <c r="M56" s="723">
        <f t="shared" ref="M56:M62" si="9">D56+E56+F56+G56+H56+I56+J56+K56+L56</f>
        <v>5714445</v>
      </c>
      <c r="O56" s="320"/>
      <c r="P56" s="320"/>
      <c r="Q56" s="320"/>
      <c r="R56" s="320"/>
      <c r="S56" s="320"/>
      <c r="T56" s="320"/>
      <c r="U56" s="320"/>
      <c r="V56" s="320"/>
      <c r="W56" s="320"/>
      <c r="X56" s="322"/>
      <c r="Y56" s="320"/>
      <c r="Z56" s="320"/>
      <c r="AA56" s="320"/>
      <c r="AB56" s="320"/>
    </row>
    <row r="57" spans="1:28" s="752" customFormat="1">
      <c r="A57" s="460">
        <v>40</v>
      </c>
      <c r="B57" s="752" t="s">
        <v>173</v>
      </c>
      <c r="D57" s="762">
        <f>Input!$JN$15</f>
        <v>0</v>
      </c>
      <c r="E57" s="762">
        <f>Input!$JO$15</f>
        <v>56691366</v>
      </c>
      <c r="F57" s="762">
        <f>Input!$JP$15</f>
        <v>0</v>
      </c>
      <c r="G57" s="762">
        <f>Input!$JQ$15</f>
        <v>12621886</v>
      </c>
      <c r="H57" s="762">
        <f>Input!$JR$15</f>
        <v>0</v>
      </c>
      <c r="I57" s="762">
        <f>Input!$JS$15</f>
        <v>0</v>
      </c>
      <c r="J57" s="762">
        <f>Input!$JT$15</f>
        <v>0</v>
      </c>
      <c r="K57" s="762">
        <f>Input!$JU$15</f>
        <v>0</v>
      </c>
      <c r="L57" s="762">
        <f>Input!$JV$15</f>
        <v>0</v>
      </c>
      <c r="M57" s="723">
        <f t="shared" si="9"/>
        <v>69313252</v>
      </c>
      <c r="O57" s="320"/>
      <c r="P57" s="819"/>
      <c r="Q57" s="320"/>
      <c r="R57" s="320"/>
      <c r="S57" s="320"/>
      <c r="T57" s="320"/>
      <c r="U57" s="320"/>
      <c r="V57" s="320"/>
      <c r="W57" s="320"/>
      <c r="X57" s="320"/>
      <c r="Y57" s="320"/>
      <c r="Z57" s="320"/>
      <c r="AA57" s="320"/>
      <c r="AB57" s="320"/>
    </row>
    <row r="58" spans="1:28" s="752" customFormat="1">
      <c r="A58" s="460">
        <v>41</v>
      </c>
      <c r="B58" s="752" t="s">
        <v>174</v>
      </c>
      <c r="D58" s="762">
        <f>Input!$JW$15</f>
        <v>0</v>
      </c>
      <c r="E58" s="762">
        <f>Input!$JX$15</f>
        <v>21014551</v>
      </c>
      <c r="F58" s="762">
        <f>Input!$JY$15</f>
        <v>0</v>
      </c>
      <c r="G58" s="762">
        <f>Input!$JZ$15</f>
        <v>9832913</v>
      </c>
      <c r="H58" s="762">
        <f>Input!$KA$15</f>
        <v>0</v>
      </c>
      <c r="I58" s="762">
        <f>Input!$KB$15</f>
        <v>0</v>
      </c>
      <c r="J58" s="762">
        <f>Input!$KC$15</f>
        <v>6120</v>
      </c>
      <c r="K58" s="762">
        <f>Input!$KD$15</f>
        <v>0</v>
      </c>
      <c r="L58" s="762">
        <f>Input!$KE$15</f>
        <v>0</v>
      </c>
      <c r="M58" s="723">
        <f t="shared" si="9"/>
        <v>30853584</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Input!$KF$15</f>
        <v>0</v>
      </c>
      <c r="E59" s="762">
        <f>Input!$KG$15</f>
        <v>358872</v>
      </c>
      <c r="F59" s="762">
        <f>Input!$KH$15</f>
        <v>0</v>
      </c>
      <c r="G59" s="762">
        <f>Input!$KI$15</f>
        <v>0</v>
      </c>
      <c r="H59" s="762">
        <f>Input!$KJ$15</f>
        <v>0</v>
      </c>
      <c r="I59" s="762">
        <f>Input!$KK$15</f>
        <v>0</v>
      </c>
      <c r="J59" s="762">
        <f>Input!$KL$15</f>
        <v>0</v>
      </c>
      <c r="K59" s="762">
        <f>Input!$KM$15</f>
        <v>0</v>
      </c>
      <c r="L59" s="762">
        <f>Input!$KN$15</f>
        <v>0</v>
      </c>
      <c r="M59" s="723">
        <f t="shared" si="9"/>
        <v>358872</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Input!$KO$15</f>
        <v>0</v>
      </c>
      <c r="E60" s="762">
        <f>Input!$KP$15</f>
        <v>0</v>
      </c>
      <c r="F60" s="762">
        <f>Input!$KQ$15</f>
        <v>290446</v>
      </c>
      <c r="G60" s="762">
        <f>Input!$KR$15</f>
        <v>0</v>
      </c>
      <c r="H60" s="762">
        <f>Input!$KS$15</f>
        <v>0</v>
      </c>
      <c r="I60" s="762">
        <f>Input!$KT$15</f>
        <v>0</v>
      </c>
      <c r="J60" s="762">
        <f>Input!$KU$15</f>
        <v>0</v>
      </c>
      <c r="K60" s="762">
        <f>Input!$KV$15</f>
        <v>0</v>
      </c>
      <c r="L60" s="762">
        <f>Input!$KW$15</f>
        <v>0</v>
      </c>
      <c r="M60" s="723">
        <f t="shared" si="9"/>
        <v>290446</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Input!$KX$15</f>
        <v>14962</v>
      </c>
      <c r="E61" s="762">
        <f>Input!$KY$15</f>
        <v>26406270</v>
      </c>
      <c r="F61" s="762">
        <f>Input!$KZ$15</f>
        <v>3568</v>
      </c>
      <c r="G61" s="762">
        <f>Input!$LA$15</f>
        <v>0</v>
      </c>
      <c r="H61" s="762">
        <f>Input!$LB$15</f>
        <v>0</v>
      </c>
      <c r="I61" s="762">
        <f>Input!$LC$15</f>
        <v>0</v>
      </c>
      <c r="J61" s="762">
        <f>Input!$LD$15</f>
        <v>0</v>
      </c>
      <c r="K61" s="762">
        <f>Input!$LE$15</f>
        <v>0</v>
      </c>
      <c r="L61" s="762">
        <f>Input!$LF$15</f>
        <v>-30885</v>
      </c>
      <c r="M61" s="723">
        <f t="shared" si="9"/>
        <v>26393915</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38976</v>
      </c>
      <c r="E62" s="769">
        <f t="shared" si="10"/>
        <v>110502134</v>
      </c>
      <c r="F62" s="769">
        <f t="shared" si="10"/>
        <v>308374</v>
      </c>
      <c r="G62" s="769">
        <f t="shared" si="10"/>
        <v>24196759</v>
      </c>
      <c r="H62" s="769">
        <f t="shared" si="10"/>
        <v>21364</v>
      </c>
      <c r="I62" s="769">
        <f t="shared" si="10"/>
        <v>-2165859</v>
      </c>
      <c r="J62" s="769">
        <f t="shared" si="10"/>
        <v>53651</v>
      </c>
      <c r="K62" s="769">
        <f t="shared" si="10"/>
        <v>0</v>
      </c>
      <c r="L62" s="769">
        <f t="shared" si="10"/>
        <v>-30885</v>
      </c>
      <c r="M62" s="769">
        <f t="shared" si="9"/>
        <v>132924514</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90355949</v>
      </c>
      <c r="E63" s="769">
        <f t="shared" ref="E63:M63" si="11">E15+E44+E47+E50+E53+E62</f>
        <v>178225739</v>
      </c>
      <c r="F63" s="769">
        <f t="shared" si="11"/>
        <v>308374</v>
      </c>
      <c r="G63" s="769">
        <f t="shared" si="11"/>
        <v>33746490</v>
      </c>
      <c r="H63" s="769">
        <f t="shared" si="11"/>
        <v>21364</v>
      </c>
      <c r="I63" s="769">
        <f t="shared" si="11"/>
        <v>-2165859</v>
      </c>
      <c r="J63" s="769">
        <f t="shared" si="11"/>
        <v>53651</v>
      </c>
      <c r="K63" s="769">
        <f t="shared" si="11"/>
        <v>0</v>
      </c>
      <c r="L63" s="769">
        <f t="shared" si="11"/>
        <v>-30885</v>
      </c>
      <c r="M63" s="769">
        <f t="shared" si="11"/>
        <v>300514823</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Input!$LG$15</f>
        <v>31491788</v>
      </c>
      <c r="E65" s="762">
        <f>Input!$LH$15</f>
        <v>77709232</v>
      </c>
      <c r="F65" s="762">
        <f>Input!$LI$15</f>
        <v>0</v>
      </c>
      <c r="G65" s="762">
        <f>Input!$LJ$15</f>
        <v>15737108</v>
      </c>
      <c r="H65" s="762">
        <f>Input!$LK$15</f>
        <v>0</v>
      </c>
      <c r="I65" s="762">
        <f>Input!$LL$15</f>
        <v>0</v>
      </c>
      <c r="J65" s="762">
        <f>Input!$LM$15</f>
        <v>0</v>
      </c>
      <c r="K65" s="762">
        <f>Input!$LN$15</f>
        <v>0</v>
      </c>
      <c r="L65" s="762">
        <f>Input!$LO$15</f>
        <v>0</v>
      </c>
      <c r="M65" s="723">
        <f t="shared" ref="M65:M77" si="12">D65+E65+F65+G65+H65+I65+J65+K65+L65</f>
        <v>124938128</v>
      </c>
      <c r="O65" s="824">
        <f>D65+E65+G65</f>
        <v>124938128</v>
      </c>
      <c r="P65" s="825">
        <f>Input!$TK$15</f>
        <v>1985160</v>
      </c>
      <c r="Q65" s="825">
        <f>Input!$TU$15</f>
        <v>0</v>
      </c>
      <c r="R65" s="825">
        <f>Input!$UD$15</f>
        <v>0</v>
      </c>
      <c r="S65" s="826">
        <f>O65+P65-Q65-R65</f>
        <v>126923288</v>
      </c>
      <c r="T65" s="492"/>
      <c r="U65" s="827">
        <f>D65+E65+F65+G65+J65</f>
        <v>124938128</v>
      </c>
      <c r="V65" s="492"/>
      <c r="W65" s="828" t="s">
        <v>92</v>
      </c>
      <c r="X65" s="829">
        <f>Input!$UO$15</f>
        <v>124938128</v>
      </c>
      <c r="Y65" s="830">
        <f t="shared" ref="Y65:Y74" si="13">X65-M65</f>
        <v>0</v>
      </c>
      <c r="Z65" s="492"/>
      <c r="AA65" s="492"/>
      <c r="AB65" s="492"/>
    </row>
    <row r="66" spans="1:28" s="752" customFormat="1" ht="14.4" thickTop="1" thickBot="1">
      <c r="A66" s="460">
        <v>49</v>
      </c>
      <c r="B66" s="823" t="s">
        <v>179</v>
      </c>
      <c r="C66" s="823"/>
      <c r="D66" s="762">
        <f>Input!$LP$15</f>
        <v>2834029</v>
      </c>
      <c r="E66" s="762">
        <f>Input!$LQ$15</f>
        <v>4430073</v>
      </c>
      <c r="F66" s="762">
        <f>Input!$LR$15</f>
        <v>0</v>
      </c>
      <c r="G66" s="762">
        <f>Input!$LS$15</f>
        <v>5034658</v>
      </c>
      <c r="H66" s="762">
        <f>Input!$LT$15</f>
        <v>0</v>
      </c>
      <c r="I66" s="762">
        <f>Input!$LU$15</f>
        <v>0</v>
      </c>
      <c r="J66" s="762">
        <f>Input!$LV$15</f>
        <v>0</v>
      </c>
      <c r="K66" s="762">
        <f>Input!$LW$15</f>
        <v>0</v>
      </c>
      <c r="L66" s="762">
        <f>Input!$LX$15</f>
        <v>0</v>
      </c>
      <c r="M66" s="723">
        <f t="shared" si="12"/>
        <v>12298760</v>
      </c>
      <c r="O66" s="831">
        <f t="shared" ref="O66:O72" si="14">D66+E66+G66</f>
        <v>12298760</v>
      </c>
      <c r="P66" s="832">
        <f>Input!$TL$15</f>
        <v>535273</v>
      </c>
      <c r="Q66" s="832">
        <f>Input!$TV$15</f>
        <v>29275</v>
      </c>
      <c r="R66" s="832">
        <f>Input!$UE$15</f>
        <v>248719</v>
      </c>
      <c r="S66" s="833">
        <f>O66+P66-Q66-R66</f>
        <v>12556039</v>
      </c>
      <c r="T66" s="492"/>
      <c r="U66" s="834">
        <f t="shared" ref="U66:U76" si="15">D66+E66+F66+G66+J66</f>
        <v>12298760</v>
      </c>
      <c r="V66" s="492"/>
      <c r="W66" s="828" t="s">
        <v>179</v>
      </c>
      <c r="X66" s="835">
        <f>Input!$UP$15</f>
        <v>12298760</v>
      </c>
      <c r="Y66" s="836">
        <f t="shared" si="13"/>
        <v>0</v>
      </c>
      <c r="Z66" s="723"/>
      <c r="AA66" s="723"/>
      <c r="AB66" s="723"/>
    </row>
    <row r="67" spans="1:28" s="752" customFormat="1" ht="13.8" thickTop="1">
      <c r="A67" s="460">
        <v>50</v>
      </c>
      <c r="B67" s="823" t="s">
        <v>180</v>
      </c>
      <c r="C67" s="823"/>
      <c r="D67" s="762">
        <f>Input!$LY$15</f>
        <v>2508506</v>
      </c>
      <c r="E67" s="762">
        <f>Input!$LZ$15</f>
        <v>541679</v>
      </c>
      <c r="F67" s="762">
        <f>Input!$MA$15</f>
        <v>0</v>
      </c>
      <c r="G67" s="762">
        <f>Input!$MB$15</f>
        <v>1022373</v>
      </c>
      <c r="H67" s="762">
        <f>Input!$MC$15</f>
        <v>0</v>
      </c>
      <c r="I67" s="762">
        <f>Input!$MD$15</f>
        <v>0</v>
      </c>
      <c r="J67" s="762">
        <f>Input!$ME$15</f>
        <v>0</v>
      </c>
      <c r="K67" s="762">
        <f>Input!$MF$15</f>
        <v>0</v>
      </c>
      <c r="L67" s="762">
        <f>Input!$MG$15</f>
        <v>0</v>
      </c>
      <c r="M67" s="723">
        <f t="shared" si="12"/>
        <v>4072558</v>
      </c>
      <c r="O67" s="831">
        <f t="shared" si="14"/>
        <v>4072558</v>
      </c>
      <c r="P67" s="832">
        <f>Input!$TM$15</f>
        <v>118283</v>
      </c>
      <c r="Q67" s="832">
        <f>Input!$TW$15</f>
        <v>0</v>
      </c>
      <c r="R67" s="832">
        <f>Input!$UF$15</f>
        <v>0</v>
      </c>
      <c r="S67" s="837">
        <f t="shared" ref="S67:S72" si="16">O67+P67-Q67-R67</f>
        <v>4190841</v>
      </c>
      <c r="T67" s="723"/>
      <c r="U67" s="834">
        <f t="shared" si="15"/>
        <v>4072558</v>
      </c>
      <c r="V67" s="723"/>
      <c r="W67" s="828" t="s">
        <v>180</v>
      </c>
      <c r="X67" s="835">
        <f>Input!$UQ$15</f>
        <v>4072558</v>
      </c>
      <c r="Y67" s="836">
        <f t="shared" si="13"/>
        <v>0</v>
      </c>
      <c r="Z67" s="723"/>
      <c r="AA67" s="723"/>
      <c r="AB67" s="723"/>
    </row>
    <row r="68" spans="1:28" s="752" customFormat="1">
      <c r="A68" s="460">
        <v>51</v>
      </c>
      <c r="B68" s="823" t="s">
        <v>164</v>
      </c>
      <c r="C68" s="823"/>
      <c r="D68" s="762">
        <f>Input!$MH$15</f>
        <v>1817584</v>
      </c>
      <c r="E68" s="762">
        <f>Input!$MI$15</f>
        <v>21758551</v>
      </c>
      <c r="F68" s="762">
        <f>Input!$MJ$15</f>
        <v>0</v>
      </c>
      <c r="G68" s="762">
        <f>Input!$MK$15</f>
        <v>722037</v>
      </c>
      <c r="H68" s="762">
        <f>Input!$ML$15</f>
        <v>0</v>
      </c>
      <c r="I68" s="762">
        <f>Input!$MM$15</f>
        <v>0</v>
      </c>
      <c r="J68" s="762">
        <f>Input!$MN$15</f>
        <v>0</v>
      </c>
      <c r="K68" s="762">
        <f>Input!$MO$15</f>
        <v>0</v>
      </c>
      <c r="L68" s="762">
        <f>Input!$MP$15</f>
        <v>0</v>
      </c>
      <c r="M68" s="723">
        <f t="shared" si="12"/>
        <v>24298172</v>
      </c>
      <c r="O68" s="831">
        <f t="shared" si="14"/>
        <v>24298172</v>
      </c>
      <c r="P68" s="832">
        <f>Input!$TN$15</f>
        <v>1036237</v>
      </c>
      <c r="Q68" s="832">
        <f>Input!$TX$15</f>
        <v>0</v>
      </c>
      <c r="R68" s="832">
        <f>Input!$UG$15</f>
        <v>0</v>
      </c>
      <c r="S68" s="837">
        <f t="shared" si="16"/>
        <v>25334409</v>
      </c>
      <c r="T68" s="723"/>
      <c r="U68" s="834">
        <f t="shared" si="15"/>
        <v>24298172</v>
      </c>
      <c r="V68" s="723"/>
      <c r="W68" s="828" t="s">
        <v>164</v>
      </c>
      <c r="X68" s="835">
        <f>Input!$UR$15</f>
        <v>24298172</v>
      </c>
      <c r="Y68" s="836">
        <f t="shared" si="13"/>
        <v>0</v>
      </c>
      <c r="Z68" s="723"/>
      <c r="AA68" s="723"/>
      <c r="AB68" s="723"/>
    </row>
    <row r="69" spans="1:28" s="752" customFormat="1">
      <c r="A69" s="460">
        <v>52</v>
      </c>
      <c r="B69" s="823" t="s">
        <v>181</v>
      </c>
      <c r="C69" s="823"/>
      <c r="D69" s="762">
        <f>Input!$MQ$15</f>
        <v>18819182</v>
      </c>
      <c r="E69" s="762">
        <f>Input!$MR$15</f>
        <v>38465122</v>
      </c>
      <c r="F69" s="762">
        <f>Input!$MS$15</f>
        <v>0</v>
      </c>
      <c r="G69" s="762">
        <f>Input!$MT$15</f>
        <v>1854758</v>
      </c>
      <c r="H69" s="762">
        <f>Input!$MU$15</f>
        <v>0</v>
      </c>
      <c r="I69" s="762">
        <f>Input!$MV$15</f>
        <v>0</v>
      </c>
      <c r="J69" s="762">
        <f>Input!$MW$15</f>
        <v>0</v>
      </c>
      <c r="K69" s="762">
        <f>Input!$MX$15</f>
        <v>0</v>
      </c>
      <c r="L69" s="762">
        <f>Input!$MY$15</f>
        <v>0</v>
      </c>
      <c r="M69" s="723">
        <f t="shared" si="12"/>
        <v>59139062</v>
      </c>
      <c r="O69" s="831">
        <f t="shared" si="14"/>
        <v>59139062</v>
      </c>
      <c r="P69" s="832">
        <f>Input!$TO$15</f>
        <v>2913380</v>
      </c>
      <c r="Q69" s="832">
        <f>Input!$TY$15</f>
        <v>0</v>
      </c>
      <c r="R69" s="832">
        <f>Input!$UH$15</f>
        <v>0</v>
      </c>
      <c r="S69" s="837">
        <f t="shared" si="16"/>
        <v>62052442</v>
      </c>
      <c r="T69" s="723"/>
      <c r="U69" s="834">
        <f t="shared" si="15"/>
        <v>59139062</v>
      </c>
      <c r="V69" s="723"/>
      <c r="W69" s="828" t="s">
        <v>181</v>
      </c>
      <c r="X69" s="835">
        <f>Input!$US$15</f>
        <v>59139062</v>
      </c>
      <c r="Y69" s="836">
        <f t="shared" si="13"/>
        <v>0</v>
      </c>
      <c r="Z69" s="723"/>
      <c r="AA69" s="723"/>
      <c r="AB69" s="723"/>
    </row>
    <row r="70" spans="1:28" s="752" customFormat="1">
      <c r="A70" s="460">
        <v>53</v>
      </c>
      <c r="B70" s="823" t="s">
        <v>182</v>
      </c>
      <c r="C70" s="823"/>
      <c r="D70" s="762">
        <f>Input!$MZ$15</f>
        <v>1012746</v>
      </c>
      <c r="E70" s="762">
        <f>Input!$NA$15</f>
        <v>3857939</v>
      </c>
      <c r="F70" s="762">
        <f>Input!$NB$15</f>
        <v>0</v>
      </c>
      <c r="G70" s="762">
        <f>Input!$NC$15</f>
        <v>6618</v>
      </c>
      <c r="H70" s="762">
        <f>Input!$ND$15</f>
        <v>6241</v>
      </c>
      <c r="I70" s="762">
        <f>Input!$NE$15</f>
        <v>0</v>
      </c>
      <c r="J70" s="762">
        <f>Input!$NF$15</f>
        <v>0</v>
      </c>
      <c r="K70" s="762">
        <f>Input!$NG$15</f>
        <v>0</v>
      </c>
      <c r="L70" s="762">
        <f>Input!$NH$15</f>
        <v>0</v>
      </c>
      <c r="M70" s="723">
        <f t="shared" si="12"/>
        <v>4883544</v>
      </c>
      <c r="O70" s="831">
        <f t="shared" si="14"/>
        <v>4877303</v>
      </c>
      <c r="P70" s="832">
        <f>Input!$TP$15</f>
        <v>37187</v>
      </c>
      <c r="Q70" s="832">
        <f>Input!$TZ$15</f>
        <v>0</v>
      </c>
      <c r="R70" s="832">
        <f>Input!$UI$15</f>
        <v>0</v>
      </c>
      <c r="S70" s="837">
        <f t="shared" si="16"/>
        <v>4914490</v>
      </c>
      <c r="T70" s="723"/>
      <c r="U70" s="834">
        <f t="shared" si="15"/>
        <v>4877303</v>
      </c>
      <c r="V70" s="723"/>
      <c r="W70" s="828" t="s">
        <v>182</v>
      </c>
      <c r="X70" s="835">
        <f>Input!$UT$15</f>
        <v>4883544</v>
      </c>
      <c r="Y70" s="836">
        <f t="shared" si="13"/>
        <v>0</v>
      </c>
      <c r="Z70" s="723"/>
      <c r="AA70" s="723"/>
      <c r="AB70" s="723"/>
    </row>
    <row r="71" spans="1:28" s="752" customFormat="1">
      <c r="A71" s="460">
        <v>54</v>
      </c>
      <c r="B71" s="823" t="s">
        <v>183</v>
      </c>
      <c r="C71" s="823"/>
      <c r="D71" s="762">
        <f>Input!$NI$15</f>
        <v>12104274</v>
      </c>
      <c r="E71" s="762">
        <f>Input!$NJ$15</f>
        <v>6484012</v>
      </c>
      <c r="F71" s="762">
        <f>Input!$NK$15</f>
        <v>0</v>
      </c>
      <c r="G71" s="762">
        <f>Input!$NL$15</f>
        <v>415428</v>
      </c>
      <c r="H71" s="762">
        <f>Input!$NM$15</f>
        <v>0</v>
      </c>
      <c r="I71" s="762">
        <f>Input!$NN$15</f>
        <v>0</v>
      </c>
      <c r="J71" s="762">
        <f>Input!$NO$15</f>
        <v>0</v>
      </c>
      <c r="K71" s="762">
        <f>Input!$NP$15</f>
        <v>0</v>
      </c>
      <c r="L71" s="762">
        <f>Input!$NQ$15</f>
        <v>0</v>
      </c>
      <c r="M71" s="723">
        <f t="shared" si="12"/>
        <v>19003714</v>
      </c>
      <c r="O71" s="831">
        <f t="shared" si="14"/>
        <v>19003714</v>
      </c>
      <c r="P71" s="832">
        <f>Input!$TQ$15</f>
        <v>781155</v>
      </c>
      <c r="Q71" s="832">
        <f>Input!$UA$15</f>
        <v>0</v>
      </c>
      <c r="R71" s="832">
        <f>Input!$UJ$15</f>
        <v>0</v>
      </c>
      <c r="S71" s="837">
        <f t="shared" si="16"/>
        <v>19784869</v>
      </c>
      <c r="T71" s="723"/>
      <c r="U71" s="834">
        <f t="shared" si="15"/>
        <v>19003714</v>
      </c>
      <c r="V71" s="723"/>
      <c r="W71" s="828" t="s">
        <v>183</v>
      </c>
      <c r="X71" s="835">
        <f>Input!$UU$15</f>
        <v>19003714</v>
      </c>
      <c r="Y71" s="836">
        <f t="shared" si="13"/>
        <v>0</v>
      </c>
      <c r="Z71" s="723"/>
      <c r="AA71" s="723"/>
      <c r="AB71" s="723"/>
    </row>
    <row r="72" spans="1:28" s="752" customFormat="1">
      <c r="A72" s="460">
        <v>55</v>
      </c>
      <c r="B72" s="823" t="s">
        <v>184</v>
      </c>
      <c r="C72" s="823"/>
      <c r="D72" s="762">
        <f>Input!$NR$15</f>
        <v>5957517</v>
      </c>
      <c r="E72" s="762">
        <f>Input!$NS$15</f>
        <v>5524249</v>
      </c>
      <c r="F72" s="762">
        <f>Input!$NT$15</f>
        <v>0</v>
      </c>
      <c r="G72" s="762">
        <f>Input!$NU$15</f>
        <v>0</v>
      </c>
      <c r="H72" s="762">
        <f>Input!$NV$15</f>
        <v>0</v>
      </c>
      <c r="I72" s="762">
        <f>Input!$NW$15</f>
        <v>0</v>
      </c>
      <c r="J72" s="762">
        <f>Input!$NX$15</f>
        <v>2016943</v>
      </c>
      <c r="K72" s="762">
        <f>Input!$NY$15</f>
        <v>0</v>
      </c>
      <c r="L72" s="762">
        <f>Input!$NZ$15</f>
        <v>0</v>
      </c>
      <c r="M72" s="723">
        <f t="shared" si="12"/>
        <v>13498709</v>
      </c>
      <c r="O72" s="831">
        <f t="shared" si="14"/>
        <v>11481766</v>
      </c>
      <c r="P72" s="832">
        <f>Input!$TR$15</f>
        <v>135017</v>
      </c>
      <c r="Q72" s="832">
        <f>Input!$UB$15</f>
        <v>0</v>
      </c>
      <c r="R72" s="832">
        <f>Input!$UK$15</f>
        <v>0</v>
      </c>
      <c r="S72" s="837">
        <f t="shared" si="16"/>
        <v>11616783</v>
      </c>
      <c r="T72" s="723"/>
      <c r="U72" s="834">
        <f t="shared" si="15"/>
        <v>13498709</v>
      </c>
      <c r="V72" s="723"/>
      <c r="W72" s="828" t="s">
        <v>671</v>
      </c>
      <c r="X72" s="835">
        <f>Input!$UV$15</f>
        <v>13498709</v>
      </c>
      <c r="Y72" s="836">
        <f t="shared" si="13"/>
        <v>0</v>
      </c>
      <c r="Z72" s="723"/>
      <c r="AA72" s="723"/>
      <c r="AB72" s="723"/>
    </row>
    <row r="73" spans="1:28" s="752" customFormat="1" ht="13.8" thickBot="1">
      <c r="A73" s="460">
        <v>56</v>
      </c>
      <c r="B73" s="823" t="s">
        <v>185</v>
      </c>
      <c r="C73" s="823"/>
      <c r="D73" s="762">
        <f>Input!$OA$15</f>
        <v>-12638</v>
      </c>
      <c r="E73" s="762">
        <f>Input!$OB$15</f>
        <v>178381</v>
      </c>
      <c r="F73" s="762">
        <f>Input!$OC$15</f>
        <v>0</v>
      </c>
      <c r="G73" s="762">
        <f>Input!$OD$15</f>
        <v>1079344</v>
      </c>
      <c r="H73" s="762">
        <f>Input!$OE$15</f>
        <v>140000</v>
      </c>
      <c r="I73" s="762">
        <f>Input!$OF$15</f>
        <v>0</v>
      </c>
      <c r="J73" s="762">
        <f>Input!$OG$15</f>
        <v>0</v>
      </c>
      <c r="K73" s="762">
        <f>Input!$OH$15</f>
        <v>0</v>
      </c>
      <c r="L73" s="762">
        <f>Input!$OI$15</f>
        <v>0</v>
      </c>
      <c r="M73" s="723">
        <f t="shared" si="12"/>
        <v>1385087</v>
      </c>
      <c r="O73" s="838">
        <f>D73+E73+G73</f>
        <v>1245087</v>
      </c>
      <c r="P73" s="832">
        <f>Input!$TS$15</f>
        <v>0</v>
      </c>
      <c r="Q73" s="839">
        <f>Input!$UC$15</f>
        <v>0</v>
      </c>
      <c r="R73" s="839">
        <f>Input!$UL$15</f>
        <v>0</v>
      </c>
      <c r="S73" s="840">
        <f>O73+P73-Q73-R73</f>
        <v>1245087</v>
      </c>
      <c r="T73" s="841"/>
      <c r="U73" s="834">
        <f t="shared" si="15"/>
        <v>1245087</v>
      </c>
      <c r="V73" s="841"/>
      <c r="W73" s="828" t="s">
        <v>185</v>
      </c>
      <c r="X73" s="835">
        <f>Input!$UW$15</f>
        <v>1385087</v>
      </c>
      <c r="Y73" s="836">
        <f t="shared" si="13"/>
        <v>0</v>
      </c>
      <c r="Z73" s="723"/>
      <c r="AA73" s="723"/>
      <c r="AB73" s="723"/>
    </row>
    <row r="74" spans="1:28" s="752" customFormat="1" ht="13.8" thickTop="1">
      <c r="A74" s="460">
        <v>57</v>
      </c>
      <c r="B74" s="823" t="s">
        <v>472</v>
      </c>
      <c r="C74" s="823"/>
      <c r="D74" s="762">
        <f>Input!$OJ$15</f>
        <v>0</v>
      </c>
      <c r="E74" s="762">
        <f>Input!$OK$15</f>
        <v>0</v>
      </c>
      <c r="F74" s="762">
        <f>Input!$OL$15</f>
        <v>228210</v>
      </c>
      <c r="G74" s="762">
        <f>Input!$OM$15</f>
        <v>0</v>
      </c>
      <c r="H74" s="762">
        <f>Input!$ON$15</f>
        <v>0</v>
      </c>
      <c r="I74" s="762">
        <f>Input!$OO$15</f>
        <v>0</v>
      </c>
      <c r="J74" s="762">
        <f>Input!$OP$15</f>
        <v>0</v>
      </c>
      <c r="K74" s="762">
        <f>Input!$OQ$15</f>
        <v>0</v>
      </c>
      <c r="L74" s="762">
        <f>Input!$OR$15</f>
        <v>0</v>
      </c>
      <c r="M74" s="723">
        <f t="shared" si="12"/>
        <v>228210</v>
      </c>
      <c r="O74" s="492"/>
      <c r="P74" s="842">
        <f>Input!$TT$15</f>
        <v>73198</v>
      </c>
      <c r="Q74" s="843"/>
      <c r="R74" s="844"/>
      <c r="S74" s="845">
        <f>SUM(S65:S73)</f>
        <v>268618248</v>
      </c>
      <c r="T74" s="844"/>
      <c r="U74" s="834">
        <f t="shared" si="15"/>
        <v>228210</v>
      </c>
      <c r="V74" s="844"/>
      <c r="W74" s="828" t="s">
        <v>186</v>
      </c>
      <c r="X74" s="835">
        <f>Input!$UX$15</f>
        <v>228210</v>
      </c>
      <c r="Y74" s="836">
        <f t="shared" si="13"/>
        <v>0</v>
      </c>
      <c r="Z74" s="723"/>
      <c r="AA74" s="723"/>
      <c r="AB74" s="723"/>
    </row>
    <row r="75" spans="1:28" s="752" customFormat="1">
      <c r="A75" s="460">
        <v>58</v>
      </c>
      <c r="B75" s="846" t="s">
        <v>602</v>
      </c>
      <c r="C75" s="846"/>
      <c r="D75" s="762">
        <f>Input!$OS$15</f>
        <v>1139292</v>
      </c>
      <c r="E75" s="762">
        <f>Input!$OT$15</f>
        <v>5774000</v>
      </c>
      <c r="F75" s="762">
        <f>Input!$OU$15</f>
        <v>73198</v>
      </c>
      <c r="G75" s="762">
        <f>Input!$OV$15</f>
        <v>628400</v>
      </c>
      <c r="H75" s="762">
        <f>Input!$OW$15</f>
        <v>0</v>
      </c>
      <c r="I75" s="762">
        <f>Input!$OX$15</f>
        <v>0</v>
      </c>
      <c r="J75" s="762">
        <f>Input!$OY$15</f>
        <v>0</v>
      </c>
      <c r="K75" s="762">
        <f>Input!$OZ$15</f>
        <v>0</v>
      </c>
      <c r="L75" s="762">
        <f>Input!$PA$15</f>
        <v>0</v>
      </c>
      <c r="M75" s="723">
        <f t="shared" si="12"/>
        <v>7614890</v>
      </c>
      <c r="O75" s="492"/>
      <c r="P75" s="492">
        <f>SUM(P65:P74)</f>
        <v>7614890</v>
      </c>
      <c r="Q75" s="843" t="s">
        <v>672</v>
      </c>
      <c r="R75" s="844"/>
      <c r="S75" s="847"/>
      <c r="T75" s="844"/>
      <c r="U75" s="834">
        <f t="shared" si="15"/>
        <v>7614890</v>
      </c>
      <c r="V75" s="844"/>
      <c r="W75" s="828" t="s">
        <v>673</v>
      </c>
      <c r="X75" s="848">
        <f>M93*-1</f>
        <v>19266718</v>
      </c>
      <c r="Y75" s="836">
        <f>X75+M93</f>
        <v>0</v>
      </c>
      <c r="Z75" s="849"/>
      <c r="AA75" s="849"/>
      <c r="AB75" s="849"/>
    </row>
    <row r="76" spans="1:28" s="752" customFormat="1" ht="13.8" thickBot="1">
      <c r="A76" s="460">
        <v>59</v>
      </c>
      <c r="B76" s="850" t="s">
        <v>603</v>
      </c>
      <c r="C76" s="850"/>
      <c r="D76" s="851">
        <f>Input!$PB$15</f>
        <v>0</v>
      </c>
      <c r="E76" s="851">
        <f>Input!$PC$15</f>
        <v>0</v>
      </c>
      <c r="F76" s="851">
        <f>Input!$PD$15</f>
        <v>0</v>
      </c>
      <c r="G76" s="851">
        <f>Input!$PE$15</f>
        <v>0</v>
      </c>
      <c r="H76" s="851">
        <f>Input!$PF$15</f>
        <v>0</v>
      </c>
      <c r="I76" s="851">
        <f>Input!$PG$15</f>
        <v>0</v>
      </c>
      <c r="J76" s="851">
        <f>Input!$PH$15</f>
        <v>0</v>
      </c>
      <c r="K76" s="851">
        <f>Input!$PI$15</f>
        <v>0</v>
      </c>
      <c r="L76" s="851">
        <f>Input!$PJ$15</f>
        <v>433564</v>
      </c>
      <c r="M76" s="723">
        <f t="shared" si="12"/>
        <v>433564</v>
      </c>
      <c r="O76" s="492"/>
      <c r="P76" s="852" t="str">
        <f>IF(P75&lt;&gt;M75,"Out of Balance","Balanced")</f>
        <v>Balanced</v>
      </c>
      <c r="Q76" s="1213" t="s">
        <v>674</v>
      </c>
      <c r="R76" s="1214"/>
      <c r="S76" s="853">
        <f>Input!$UM$15</f>
        <v>0</v>
      </c>
      <c r="T76" s="492"/>
      <c r="U76" s="854">
        <f t="shared" si="15"/>
        <v>0</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77672280</v>
      </c>
      <c r="E77" s="769">
        <f t="shared" si="17"/>
        <v>164723238</v>
      </c>
      <c r="F77" s="769">
        <f t="shared" si="17"/>
        <v>301408</v>
      </c>
      <c r="G77" s="769">
        <f t="shared" si="17"/>
        <v>26500724</v>
      </c>
      <c r="H77" s="769">
        <f t="shared" si="17"/>
        <v>146241</v>
      </c>
      <c r="I77" s="769">
        <f t="shared" si="17"/>
        <v>0</v>
      </c>
      <c r="J77" s="769">
        <f t="shared" si="17"/>
        <v>2016943</v>
      </c>
      <c r="K77" s="769">
        <f t="shared" si="17"/>
        <v>0</v>
      </c>
      <c r="L77" s="769">
        <f t="shared" si="17"/>
        <v>433564</v>
      </c>
      <c r="M77" s="769">
        <f t="shared" si="12"/>
        <v>271794398</v>
      </c>
      <c r="O77" s="320"/>
      <c r="P77" s="492"/>
      <c r="Q77" s="859" t="s">
        <v>676</v>
      </c>
      <c r="R77" s="860"/>
      <c r="S77" s="861">
        <f>Input!$UN$15</f>
        <v>0</v>
      </c>
      <c r="T77" s="320"/>
      <c r="U77" s="862">
        <f>SUM(U65:U76)</f>
        <v>271214593</v>
      </c>
      <c r="V77" s="320"/>
      <c r="W77" s="320"/>
      <c r="X77" s="863">
        <f>SUM(X65:X76)</f>
        <v>283012662</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268618248</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Input!$PK$15</f>
        <v>0</v>
      </c>
      <c r="E80" s="762">
        <f>Input!$PL$15</f>
        <v>0</v>
      </c>
      <c r="F80" s="762">
        <f>Input!$PM$15</f>
        <v>0</v>
      </c>
      <c r="G80" s="762">
        <f>Input!$PN$15</f>
        <v>0</v>
      </c>
      <c r="H80" s="762">
        <f>Input!$PO$15</f>
        <v>0</v>
      </c>
      <c r="I80" s="762">
        <f>Input!$PP$15</f>
        <v>0</v>
      </c>
      <c r="J80" s="762">
        <f>Input!$PQ$15</f>
        <v>-2447978</v>
      </c>
      <c r="K80" s="762">
        <f>Input!$PR$15</f>
        <v>0</v>
      </c>
      <c r="L80" s="762">
        <f>Input!$PS$15</f>
        <v>0</v>
      </c>
      <c r="M80" s="723">
        <f>D80+E80+F80+G80+H80+I80+J80+K80+L80</f>
        <v>-2447978</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Input!$PT$15</f>
        <v>1698975</v>
      </c>
      <c r="E81" s="762">
        <f>Input!$PU$15</f>
        <v>4285063</v>
      </c>
      <c r="F81" s="762">
        <f>Input!$PV$15</f>
        <v>0</v>
      </c>
      <c r="G81" s="762">
        <f>Input!$PW$15</f>
        <v>-3539862</v>
      </c>
      <c r="H81" s="762">
        <f>Input!$PX$15</f>
        <v>0</v>
      </c>
      <c r="I81" s="762">
        <f>Input!$PY$15</f>
        <v>-279774</v>
      </c>
      <c r="J81" s="762">
        <f>Input!$PZ$15</f>
        <v>-1310802</v>
      </c>
      <c r="K81" s="762">
        <f>Input!$QA$15</f>
        <v>0</v>
      </c>
      <c r="L81" s="762">
        <f>Input!$QB$15</f>
        <v>0</v>
      </c>
      <c r="M81" s="723">
        <f>D81+E81+F81+G81+H81+I81+J81+K81+L81</f>
        <v>853600</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Input!$QC$15</f>
        <v>0</v>
      </c>
      <c r="E82" s="762">
        <f>Input!$QD$15</f>
        <v>0</v>
      </c>
      <c r="F82" s="762">
        <f>Input!$QE$15</f>
        <v>0</v>
      </c>
      <c r="G82" s="762">
        <f>Input!$QF$15</f>
        <v>0</v>
      </c>
      <c r="H82" s="762">
        <f>Input!$QG$15</f>
        <v>0</v>
      </c>
      <c r="I82" s="762">
        <f>Input!$QH$15</f>
        <v>0</v>
      </c>
      <c r="J82" s="762">
        <f>Input!$QI$15</f>
        <v>5188902</v>
      </c>
      <c r="K82" s="762">
        <f>Input!$QJ$15</f>
        <v>0</v>
      </c>
      <c r="L82" s="762">
        <f>Input!$QK$15</f>
        <v>0</v>
      </c>
      <c r="M82" s="723">
        <f>D82+E82+F82+G82+H82+I82+J82+K82+L82</f>
        <v>5188902</v>
      </c>
      <c r="O82" s="492"/>
      <c r="P82" s="1218" t="str">
        <f>IF(M91&lt;0,"Footnote 11 is N/A - No Data Entry Required","Footnote 11")</f>
        <v>Footnote 11 is N/A - No Data Entry Required</v>
      </c>
      <c r="Q82" s="1219"/>
      <c r="R82" s="1219"/>
      <c r="S82" s="1220"/>
      <c r="T82" s="443"/>
      <c r="U82" s="443"/>
      <c r="V82" s="320"/>
      <c r="W82" s="320"/>
      <c r="X82" s="320"/>
      <c r="Y82" s="320"/>
      <c r="Z82" s="320"/>
      <c r="AA82" s="320"/>
      <c r="AB82" s="320"/>
    </row>
    <row r="83" spans="1:28" s="752" customFormat="1" ht="13.8" thickTop="1">
      <c r="A83" s="460">
        <v>66</v>
      </c>
      <c r="B83" s="752" t="s">
        <v>477</v>
      </c>
      <c r="D83" s="762">
        <f>Input!$QL$15</f>
        <v>-13205381</v>
      </c>
      <c r="E83" s="762">
        <f>Input!$QM$15</f>
        <v>-5650129</v>
      </c>
      <c r="F83" s="762">
        <f>Input!$QN$15</f>
        <v>0</v>
      </c>
      <c r="G83" s="762">
        <f>Input!$QO$15</f>
        <v>0</v>
      </c>
      <c r="H83" s="762">
        <f>Input!$QP$15</f>
        <v>0</v>
      </c>
      <c r="I83" s="762">
        <f>Input!$QQ$15</f>
        <v>0</v>
      </c>
      <c r="J83" s="762">
        <f>Input!$QR$15</f>
        <v>-611140</v>
      </c>
      <c r="K83" s="762">
        <f>Input!$QS$15</f>
        <v>0</v>
      </c>
      <c r="L83" s="762">
        <f>Input!$QT$15</f>
        <v>0</v>
      </c>
      <c r="M83" s="723">
        <f>D83+E83+F83+G83+H83+I83+J83+K83+L83</f>
        <v>-19466650</v>
      </c>
      <c r="O83" s="723"/>
      <c r="P83" s="869" t="s">
        <v>678</v>
      </c>
      <c r="Q83" s="870"/>
      <c r="R83" s="871"/>
      <c r="S83" s="872" t="str">
        <f>IF(M91&lt;0,"N/A",M91)</f>
        <v>N/A</v>
      </c>
      <c r="T83" s="492"/>
      <c r="U83" s="443"/>
      <c r="V83" s="320"/>
      <c r="W83" s="320"/>
      <c r="X83" s="443"/>
      <c r="Y83" s="443"/>
      <c r="Z83" s="320"/>
      <c r="AA83" s="320"/>
      <c r="AB83" s="320"/>
    </row>
    <row r="84" spans="1:28" s="752" customFormat="1">
      <c r="A84" s="460">
        <v>67</v>
      </c>
      <c r="B84" s="858" t="s">
        <v>155</v>
      </c>
      <c r="C84" s="858"/>
      <c r="D84" s="769">
        <f t="shared" ref="D84:L84" si="18">SUM(D80:D83)</f>
        <v>-11506406</v>
      </c>
      <c r="E84" s="769">
        <f t="shared" si="18"/>
        <v>-1365066</v>
      </c>
      <c r="F84" s="769">
        <f t="shared" si="18"/>
        <v>0</v>
      </c>
      <c r="G84" s="769">
        <f t="shared" si="18"/>
        <v>-3539862</v>
      </c>
      <c r="H84" s="769">
        <f t="shared" si="18"/>
        <v>0</v>
      </c>
      <c r="I84" s="769">
        <f t="shared" si="18"/>
        <v>-279774</v>
      </c>
      <c r="J84" s="769">
        <f t="shared" si="18"/>
        <v>818982</v>
      </c>
      <c r="K84" s="769">
        <f t="shared" si="18"/>
        <v>0</v>
      </c>
      <c r="L84" s="769">
        <f t="shared" si="18"/>
        <v>0</v>
      </c>
      <c r="M84" s="769">
        <f>D84+E84+F84+G84+H84+I84+J84+K84+L84</f>
        <v>-15872126</v>
      </c>
      <c r="O84" s="723"/>
      <c r="P84" s="873" t="s">
        <v>679</v>
      </c>
      <c r="Q84" s="492"/>
      <c r="R84" s="492"/>
      <c r="S84" s="874">
        <f>Input!$UY$15</f>
        <v>12848298</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t="str">
        <f>IF(M91&lt;0,"",S83-S84)</f>
        <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Input!$QU$15</f>
        <v>0</v>
      </c>
      <c r="E87" s="762">
        <f>Input!$QV$15</f>
        <v>-13212345</v>
      </c>
      <c r="F87" s="762">
        <f>Input!$QW$15</f>
        <v>0</v>
      </c>
      <c r="G87" s="762">
        <f>Input!$QX$15</f>
        <v>-404575</v>
      </c>
      <c r="H87" s="762">
        <f>Input!$QY$15</f>
        <v>0</v>
      </c>
      <c r="I87" s="762">
        <f>Input!$QZ$15</f>
        <v>-1185356</v>
      </c>
      <c r="J87" s="762">
        <f>Input!$RA$15</f>
        <v>0</v>
      </c>
      <c r="K87" s="762">
        <f>Input!$RB$15</f>
        <v>0</v>
      </c>
      <c r="L87" s="762">
        <f>Input!$RC$15</f>
        <v>0</v>
      </c>
      <c r="M87" s="723">
        <f>D87+E87+F87+G87+H87+I87+J87+K87+L87</f>
        <v>-14802276</v>
      </c>
      <c r="O87" s="320"/>
      <c r="P87" s="873" t="s">
        <v>681</v>
      </c>
      <c r="Q87" s="320"/>
      <c r="R87" s="492"/>
      <c r="S87" s="878">
        <f>Input!$UZ$15</f>
        <v>-14802276</v>
      </c>
      <c r="T87" s="320"/>
      <c r="U87" s="320"/>
      <c r="V87" s="320"/>
      <c r="W87" s="320"/>
      <c r="X87" s="443"/>
      <c r="Y87" s="443"/>
      <c r="Z87" s="320"/>
      <c r="AA87" s="320"/>
      <c r="AB87" s="320"/>
    </row>
    <row r="88" spans="1:28" s="752" customFormat="1">
      <c r="A88" s="460">
        <v>71</v>
      </c>
      <c r="B88" s="752" t="s">
        <v>480</v>
      </c>
      <c r="D88" s="762">
        <f>Input!$RD$15</f>
        <v>0</v>
      </c>
      <c r="E88" s="762">
        <f>Input!$RE$15</f>
        <v>0</v>
      </c>
      <c r="F88" s="762">
        <f>Input!$RF$15</f>
        <v>0</v>
      </c>
      <c r="G88" s="762">
        <f>Input!$RG$15</f>
        <v>0</v>
      </c>
      <c r="H88" s="762">
        <f>Input!$RH$15</f>
        <v>0</v>
      </c>
      <c r="I88" s="762">
        <f>Input!$RI$15</f>
        <v>71929</v>
      </c>
      <c r="J88" s="762">
        <f>Input!$RJ$15</f>
        <v>0</v>
      </c>
      <c r="K88" s="762">
        <f>Input!$RK$15</f>
        <v>0</v>
      </c>
      <c r="L88" s="762">
        <f>Input!$RL$15</f>
        <v>0</v>
      </c>
      <c r="M88" s="723">
        <f>D88+E88+F88+G88+H88+I88+J88+K88+L88</f>
        <v>71929</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0</v>
      </c>
      <c r="E89" s="769">
        <f t="shared" si="19"/>
        <v>-13212345</v>
      </c>
      <c r="F89" s="769">
        <f t="shared" si="19"/>
        <v>0</v>
      </c>
      <c r="G89" s="769">
        <f t="shared" si="19"/>
        <v>-404575</v>
      </c>
      <c r="H89" s="769">
        <f t="shared" si="19"/>
        <v>0</v>
      </c>
      <c r="I89" s="769">
        <f t="shared" si="19"/>
        <v>-1113427</v>
      </c>
      <c r="J89" s="769">
        <f t="shared" si="19"/>
        <v>0</v>
      </c>
      <c r="K89" s="769">
        <f t="shared" si="19"/>
        <v>0</v>
      </c>
      <c r="L89" s="769">
        <f t="shared" si="19"/>
        <v>0</v>
      </c>
      <c r="M89" s="769">
        <f>D89+E89+F89+G89+H89+I89+J89+K89+L89</f>
        <v>-14730347</v>
      </c>
      <c r="O89" s="320"/>
      <c r="P89" s="873" t="s">
        <v>683</v>
      </c>
      <c r="Q89" s="320"/>
      <c r="R89" s="320"/>
      <c r="S89" s="875" t="str">
        <f>IFERROR(S85-S87,"")</f>
        <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1177263</v>
      </c>
      <c r="E91" s="769">
        <f t="shared" si="20"/>
        <v>-1074910</v>
      </c>
      <c r="F91" s="769">
        <f t="shared" si="20"/>
        <v>6966</v>
      </c>
      <c r="G91" s="769">
        <f t="shared" si="20"/>
        <v>3301329</v>
      </c>
      <c r="H91" s="769">
        <f t="shared" si="20"/>
        <v>-124877</v>
      </c>
      <c r="I91" s="769">
        <f t="shared" si="20"/>
        <v>-3559060</v>
      </c>
      <c r="J91" s="769">
        <f t="shared" si="20"/>
        <v>-1144310</v>
      </c>
      <c r="K91" s="769">
        <f t="shared" si="20"/>
        <v>0</v>
      </c>
      <c r="L91" s="769">
        <f>L63-L77+L84+L89</f>
        <v>-464449</v>
      </c>
      <c r="M91" s="769">
        <f>D91+E91+F91+G91+H91+I91+J91+K91+L91</f>
        <v>-1882048</v>
      </c>
      <c r="O91" s="320"/>
      <c r="P91" s="881" t="s">
        <v>684</v>
      </c>
      <c r="Q91" s="882"/>
      <c r="R91" s="882"/>
      <c r="S91" s="883" t="str">
        <f>IFERROR((S89+S87)-S85,"")</f>
        <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Input!$RM$15</f>
        <v>0</v>
      </c>
      <c r="E93" s="762">
        <f>Input!$RN$15</f>
        <v>0</v>
      </c>
      <c r="F93" s="762">
        <f>Input!$RO$15</f>
        <v>0</v>
      </c>
      <c r="G93" s="762">
        <f>Input!$RP$15</f>
        <v>0</v>
      </c>
      <c r="H93" s="762">
        <f>Input!$RQ$15</f>
        <v>0</v>
      </c>
      <c r="I93" s="762">
        <f>Input!$RR$15</f>
        <v>0</v>
      </c>
      <c r="J93" s="762">
        <f>Input!$RS$15</f>
        <v>0</v>
      </c>
      <c r="K93" s="762">
        <f>Input!$RT$15</f>
        <v>0</v>
      </c>
      <c r="L93" s="762">
        <f>Input!$RU$15</f>
        <v>-19266718</v>
      </c>
      <c r="M93" s="723">
        <f>D93+E93+F93+G93+H93+I93+J93+K93+L93</f>
        <v>-19266718</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Input!$RV$15</f>
        <v>0</v>
      </c>
      <c r="E94" s="762">
        <f>Input!$RW$15</f>
        <v>0</v>
      </c>
      <c r="F94" s="762">
        <f>Input!$RX$15</f>
        <v>0</v>
      </c>
      <c r="G94" s="762">
        <f>Input!$RY$15</f>
        <v>0</v>
      </c>
      <c r="H94" s="762">
        <f>Input!$RZ$15</f>
        <v>0</v>
      </c>
      <c r="I94" s="762">
        <f>Input!$SA$15</f>
        <v>0</v>
      </c>
      <c r="J94" s="762">
        <f>Input!$SB$15</f>
        <v>0</v>
      </c>
      <c r="K94" s="762">
        <f>Input!$SC$15</f>
        <v>0</v>
      </c>
      <c r="L94" s="762">
        <f>Input!$SD$15</f>
        <v>-6780</v>
      </c>
      <c r="M94" s="723">
        <f>D94+E94+F94+G94+H94+I94+J94+K94+L94</f>
        <v>-6780</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Input!$SE$15</f>
        <v>0</v>
      </c>
      <c r="E95" s="762">
        <f>Input!$SF$15</f>
        <v>0</v>
      </c>
      <c r="F95" s="762">
        <f>Input!$SG$15</f>
        <v>0</v>
      </c>
      <c r="G95" s="762">
        <f>Input!$SH$15</f>
        <v>0</v>
      </c>
      <c r="H95" s="762">
        <f>Input!$SI$15</f>
        <v>0</v>
      </c>
      <c r="I95" s="762">
        <f>Input!$SJ$15</f>
        <v>0</v>
      </c>
      <c r="J95" s="762">
        <f>Input!$SK$15</f>
        <v>0</v>
      </c>
      <c r="K95" s="762">
        <f>Input!$SL$15</f>
        <v>0</v>
      </c>
      <c r="L95" s="762">
        <f>Input!$SM$15</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Input!$SN$15</f>
        <v>0</v>
      </c>
      <c r="E96" s="762">
        <f>Input!$SO$15</f>
        <v>0</v>
      </c>
      <c r="F96" s="762">
        <f>Input!$SP$15</f>
        <v>0</v>
      </c>
      <c r="G96" s="762">
        <f>Input!$SQ$15</f>
        <v>0</v>
      </c>
      <c r="H96" s="762">
        <f>Input!$SR$15</f>
        <v>0</v>
      </c>
      <c r="I96" s="762">
        <f>Input!$SS$15</f>
        <v>0</v>
      </c>
      <c r="J96" s="762">
        <f>Input!$ST$15</f>
        <v>0</v>
      </c>
      <c r="K96" s="762">
        <f>Input!$SU$15</f>
        <v>0</v>
      </c>
      <c r="L96" s="762">
        <f>Input!$SV$15</f>
        <v>56541</v>
      </c>
      <c r="M96" s="723">
        <f>D96+E96+F96+G96+H96+I96+J96+K96+L96</f>
        <v>56541</v>
      </c>
      <c r="O96" s="884"/>
      <c r="P96" s="320"/>
      <c r="Q96" s="320"/>
      <c r="R96" s="320"/>
      <c r="S96" s="320"/>
      <c r="Y96" s="320"/>
      <c r="Z96" s="320"/>
      <c r="AA96" s="320"/>
      <c r="AB96" s="320"/>
    </row>
    <row r="97" spans="1:28" s="752" customFormat="1">
      <c r="A97" s="460">
        <v>79</v>
      </c>
      <c r="B97" s="320" t="s">
        <v>486</v>
      </c>
      <c r="C97" s="320"/>
      <c r="D97" s="762">
        <f>Input!$SW$15</f>
        <v>1139292</v>
      </c>
      <c r="E97" s="762">
        <f>Input!$SX$15</f>
        <v>5774000</v>
      </c>
      <c r="F97" s="762">
        <f>Input!$SY$15</f>
        <v>73198</v>
      </c>
      <c r="G97" s="762">
        <f>Input!$SZ$15</f>
        <v>628401</v>
      </c>
      <c r="H97" s="762">
        <f>Input!$TA$15</f>
        <v>0</v>
      </c>
      <c r="I97" s="762">
        <f>Input!$TB$15</f>
        <v>0</v>
      </c>
      <c r="J97" s="762">
        <f>Input!$TC$15</f>
        <v>2447978</v>
      </c>
      <c r="K97" s="762">
        <f>Input!$TD$15</f>
        <v>0</v>
      </c>
      <c r="L97" s="762">
        <f>Input!$TE$15</f>
        <v>0</v>
      </c>
      <c r="M97" s="723">
        <f>D97+E97+F97+G97+H97+I97+J97+K97+L97</f>
        <v>10062869</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2316555</v>
      </c>
      <c r="E98" s="886">
        <f t="shared" si="21"/>
        <v>4699090</v>
      </c>
      <c r="F98" s="886">
        <f t="shared" si="21"/>
        <v>80164</v>
      </c>
      <c r="G98" s="886">
        <f t="shared" si="21"/>
        <v>3929730</v>
      </c>
      <c r="H98" s="886">
        <f t="shared" si="21"/>
        <v>-124877</v>
      </c>
      <c r="I98" s="886">
        <f t="shared" si="21"/>
        <v>-3559060</v>
      </c>
      <c r="J98" s="886">
        <f t="shared" si="21"/>
        <v>1303668</v>
      </c>
      <c r="K98" s="886">
        <f t="shared" si="21"/>
        <v>0</v>
      </c>
      <c r="L98" s="886">
        <f t="shared" si="21"/>
        <v>-19681406</v>
      </c>
      <c r="M98" s="886">
        <f>SUM(M91:M97)</f>
        <v>-11036136</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4" t="str">
        <f>Input!$VC$15</f>
        <v xml:space="preserve">Robert Ortega </v>
      </c>
      <c r="Q103" s="1225"/>
      <c r="R103" s="1224" t="str">
        <f>Input!$VD$15</f>
        <v>(915) 215 - 4378</v>
      </c>
      <c r="S103" s="1225"/>
      <c r="T103" s="320"/>
      <c r="U103" s="1226" t="str">
        <f>HYPERLINK("Mailto:"&amp;Input!$VE$15,Input!$VE$15)</f>
        <v>Robert.ortega@ttuhsc.edu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Input!$TF$15</f>
        <v>-11036136</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IF($L$123&lt;&gt;Input!$F$15,"Out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157422835</v>
      </c>
      <c r="E110" s="723">
        <f>SUM($E$10:$E$14)+SUM($E$19:$E$28)+SUM($E$50)+$E$53+SUM($E$56:$E$61)+SUM($E$65:$E$76)+SUM($E$80:$E$83)+SUM($E$87:$E$88)+SUM($E$93:$E$97)+SUM($E$32:$E$41)+$E$47</f>
        <v>334145566</v>
      </c>
      <c r="F110" s="723">
        <f>SUM($F$10:$F$14)+SUM($F$19:$F$28)+SUM($F$50)+$F$53+SUM($F$56:$F$61)+SUM($F$65:$F$76)+SUM($F$80:$F$83)+SUM($F$87:$F$88)+SUM($F$93:$F$97)+SUM($F$32:$F$41)+$F$47</f>
        <v>682980</v>
      </c>
      <c r="G110" s="723">
        <f>SUM($G$10:$G$14)+SUM($G$19:$G$28)+SUM($G$50)+$G$53+SUM($G$56:$G$61)+SUM($G$65:$G$76)+SUM($G$80:$G$83)+SUM($G$87:$G$88)+SUM($G$93:$G$97)+SUM($G$32:$G$41)+$G$47</f>
        <v>56931178</v>
      </c>
      <c r="H110" s="723">
        <f>SUM($H$10:$H$14)+SUM($H$19:$H$28)+SUM($H$50)+$H$53+SUM($H$56:$H$61)+SUM($H$65:$H$76)+SUM($H$80:$H$83)+SUM($H$87:$H$88)+SUM($H$93:$H$97)+SUM($H$32:$H$41)+$H$47</f>
        <v>167605</v>
      </c>
      <c r="I110" s="723">
        <f>SUM($I$10:$I$14)+SUM($I$19:$I$28)+SUM($I$50)+$I$53+SUM($I$56:$I$61)+SUM($I$65:$I$76)+SUM($I$80:$I$83)+SUM($I$87:$I$88)+SUM($I$93:$I$97)+SUM($I$32:$I$41)+$I$47</f>
        <v>-3559060</v>
      </c>
      <c r="J110" s="723">
        <f>SUM($J$10:$J$14)+SUM($J$19:$J$28)+SUM($J$50)+$J$53+SUM($J$56:$J$61)+SUM($J$65:$J$76)+SUM($J$80:$J$83)+SUM($J$87:$J$88)+SUM($J$93:$J$97)+SUM($J$32:$J$41)+$J$47</f>
        <v>5337554</v>
      </c>
      <c r="K110" s="723">
        <f>SUM($K$10:$K$14)+SUM($K$19:$K$28)+SUM($K$50)+$K$53+SUM($K$56:$K$61)+SUM($K$65:$K$76)+SUM($K$80:$K$83)+SUM($K$87:$K$88)+SUM($K$93:$K$97)+SUM($K$32:$K$41)+$K$47</f>
        <v>0</v>
      </c>
      <c r="L110" s="723">
        <f>SUM($L$10:$L$14)+SUM($L$19:$L$28)+SUM($L$50)+$L$53+SUM($L$56:$L$61)+SUM($L$65:$L$76)+SUM($L$80:$L$83)+SUM($L$87:$L$88)+SUM($L$93:$L$97)+SUM($L$32:$L$41)+$L$47</f>
        <v>-18814278</v>
      </c>
      <c r="M110" s="751"/>
      <c r="N110" s="751"/>
      <c r="O110" s="751"/>
    </row>
    <row r="111" spans="1:28" s="320" customFormat="1">
      <c r="A111" s="322"/>
      <c r="L111" s="723">
        <f>SUM($D$110:$L$110)</f>
        <v>532314380</v>
      </c>
      <c r="M111" s="751"/>
      <c r="N111" s="751"/>
      <c r="O111" s="751"/>
    </row>
    <row r="112" spans="1:28" s="320" customFormat="1">
      <c r="A112" s="322"/>
      <c r="J112" s="320" t="s">
        <v>690</v>
      </c>
      <c r="L112" s="723">
        <f>$M$105</f>
        <v>-11036136</v>
      </c>
      <c r="M112" s="751"/>
      <c r="N112" s="751"/>
      <c r="O112" s="751"/>
    </row>
    <row r="113" spans="1:15" s="320" customFormat="1">
      <c r="A113" s="322"/>
      <c r="J113" s="320" t="s">
        <v>691</v>
      </c>
      <c r="L113" s="492">
        <f>$Q$32</f>
        <v>16211406</v>
      </c>
      <c r="M113" s="751"/>
      <c r="N113" s="751"/>
      <c r="O113" s="751"/>
    </row>
    <row r="114" spans="1:15" s="320" customFormat="1">
      <c r="A114" s="322"/>
      <c r="J114" s="320" t="s">
        <v>691</v>
      </c>
      <c r="L114" s="492">
        <f>$R$34</f>
        <v>-2954414</v>
      </c>
      <c r="M114" s="751"/>
      <c r="N114" s="751"/>
      <c r="O114" s="751"/>
    </row>
    <row r="115" spans="1:15" s="320" customFormat="1">
      <c r="A115" s="322"/>
      <c r="J115" s="320" t="s">
        <v>521</v>
      </c>
      <c r="L115" s="492">
        <f>SUM($P$65:$P$74)</f>
        <v>7614890</v>
      </c>
      <c r="M115" s="751"/>
      <c r="N115" s="751"/>
      <c r="O115" s="751"/>
    </row>
    <row r="116" spans="1:15" s="320" customFormat="1">
      <c r="A116" s="322"/>
      <c r="J116" s="320" t="s">
        <v>692</v>
      </c>
      <c r="L116" s="492">
        <f>$S$76+$S$77</f>
        <v>0</v>
      </c>
      <c r="M116" s="751"/>
      <c r="N116" s="751"/>
      <c r="O116" s="751"/>
    </row>
    <row r="117" spans="1:15" s="320" customFormat="1">
      <c r="A117" s="322"/>
      <c r="J117" s="320" t="s">
        <v>693</v>
      </c>
      <c r="L117" s="492">
        <f>SUM($Q$65:$Q$73)</f>
        <v>29275</v>
      </c>
      <c r="M117" s="751"/>
      <c r="N117" s="751"/>
      <c r="O117" s="751"/>
    </row>
    <row r="118" spans="1:15" s="320" customFormat="1">
      <c r="A118" s="322"/>
      <c r="J118" s="320" t="s">
        <v>694</v>
      </c>
      <c r="L118" s="492">
        <f>SUM($R$65:$R$73)</f>
        <v>248719</v>
      </c>
      <c r="M118" s="751"/>
      <c r="N118" s="751"/>
      <c r="O118" s="751"/>
    </row>
    <row r="119" spans="1:15" s="320" customFormat="1">
      <c r="A119" s="322"/>
      <c r="J119" s="320" t="s">
        <v>695</v>
      </c>
      <c r="L119" s="492">
        <f>SUM($X$65:$X$74)</f>
        <v>263745944</v>
      </c>
      <c r="M119" s="751"/>
      <c r="N119" s="751"/>
      <c r="O119" s="751"/>
    </row>
    <row r="120" spans="1:15" s="320" customFormat="1">
      <c r="A120" s="322"/>
      <c r="J120" s="320" t="s">
        <v>696</v>
      </c>
      <c r="L120" s="492">
        <f>$S$84</f>
        <v>12848298</v>
      </c>
      <c r="M120" s="751"/>
      <c r="N120" s="751"/>
      <c r="O120" s="751"/>
    </row>
    <row r="121" spans="1:15" s="320" customFormat="1">
      <c r="A121" s="322"/>
      <c r="J121" s="320" t="s">
        <v>696</v>
      </c>
      <c r="L121" s="492">
        <f>$S$87</f>
        <v>-14802276</v>
      </c>
      <c r="M121" s="751"/>
      <c r="N121" s="751"/>
      <c r="O121" s="751"/>
    </row>
    <row r="122" spans="1:15" s="320" customFormat="1">
      <c r="A122" s="322"/>
      <c r="J122" s="320" t="s">
        <v>697</v>
      </c>
      <c r="L122" s="443">
        <f>VLOOKUP(B2,Names!$B$10:$C$90,2,FALSE)</f>
        <v>862</v>
      </c>
      <c r="M122" s="751"/>
      <c r="N122" s="751"/>
      <c r="O122" s="751"/>
    </row>
    <row r="123" spans="1:15" s="320" customFormat="1">
      <c r="A123" s="322"/>
      <c r="L123" s="898">
        <f>SUM($L$111:$L$122)</f>
        <v>804220948</v>
      </c>
      <c r="M123" s="751"/>
      <c r="N123" s="751"/>
      <c r="O123" s="751"/>
    </row>
    <row r="124" spans="1:15">
      <c r="O124" s="751"/>
    </row>
  </sheetData>
  <mergeCells count="27">
    <mergeCell ref="P100:V100"/>
    <mergeCell ref="P103:Q103"/>
    <mergeCell ref="R103:S103"/>
    <mergeCell ref="U103:V103"/>
    <mergeCell ref="P105:V106"/>
    <mergeCell ref="W61:W64"/>
    <mergeCell ref="X61:X64"/>
    <mergeCell ref="Y61:Y64"/>
    <mergeCell ref="G64:K64"/>
    <mergeCell ref="Q76:R76"/>
    <mergeCell ref="U61:U64"/>
    <mergeCell ref="P82:S82"/>
    <mergeCell ref="O61:O64"/>
    <mergeCell ref="P61:P64"/>
    <mergeCell ref="Q61:Q64"/>
    <mergeCell ref="R61:R64"/>
    <mergeCell ref="S61:S64"/>
    <mergeCell ref="O19:S19"/>
    <mergeCell ref="U19:Y19"/>
    <mergeCell ref="O60:S60"/>
    <mergeCell ref="W60:Y60"/>
    <mergeCell ref="P10:P11"/>
    <mergeCell ref="B2:F2"/>
    <mergeCell ref="B3:F3"/>
    <mergeCell ref="B4:F4"/>
    <mergeCell ref="P4:Q4"/>
    <mergeCell ref="B6:M6"/>
  </mergeCells>
  <conditionalFormatting sqref="D98:L98">
    <cfRule type="cellIs" dxfId="187" priority="15" stopIfTrue="1" operator="notEqual">
      <formula>#REF!</formula>
    </cfRule>
  </conditionalFormatting>
  <conditionalFormatting sqref="D99:M99">
    <cfRule type="cellIs" dxfId="186" priority="21" stopIfTrue="1" operator="notEqual">
      <formula>#REF!</formula>
    </cfRule>
  </conditionalFormatting>
  <conditionalFormatting sqref="G64:K64">
    <cfRule type="expression" dxfId="185" priority="14">
      <formula>$R$98&lt;&gt;0</formula>
    </cfRule>
    <cfRule type="expression" dxfId="184" priority="37">
      <formula>$T$93&gt;0</formula>
    </cfRule>
  </conditionalFormatting>
  <conditionalFormatting sqref="M15">
    <cfRule type="cellIs" dxfId="183" priority="16" stopIfTrue="1" operator="notEqual">
      <formula>SUM($M$10:$M$14)</formula>
    </cfRule>
  </conditionalFormatting>
  <conditionalFormatting sqref="M62">
    <cfRule type="cellIs" dxfId="182" priority="17" stopIfTrue="1" operator="notEqual">
      <formula>SUM($M$56:$M$61)</formula>
    </cfRule>
  </conditionalFormatting>
  <conditionalFormatting sqref="M77">
    <cfRule type="cellIs" dxfId="181" priority="20" stopIfTrue="1" operator="notEqual">
      <formula>SUM($M$65:$M$76)</formula>
    </cfRule>
  </conditionalFormatting>
  <conditionalFormatting sqref="M84">
    <cfRule type="cellIs" dxfId="180" priority="18" stopIfTrue="1" operator="notEqual">
      <formula>SUM($M$80:$M$83)</formula>
    </cfRule>
  </conditionalFormatting>
  <conditionalFormatting sqref="M89">
    <cfRule type="cellIs" dxfId="179" priority="19" stopIfTrue="1" operator="notEqual">
      <formula>SUM($M$87:$M$88)</formula>
    </cfRule>
  </conditionalFormatting>
  <conditionalFormatting sqref="O12">
    <cfRule type="expression" dxfId="178" priority="11">
      <formula>$Q$12&lt;&gt;$N$12</formula>
    </cfRule>
    <cfRule type="expression" dxfId="177" priority="56">
      <formula>$P$12&lt;&gt;$M$12</formula>
    </cfRule>
  </conditionalFormatting>
  <conditionalFormatting sqref="O13">
    <cfRule type="expression" dxfId="176" priority="12">
      <formula>$Q$13&lt;&gt;$N$13</formula>
    </cfRule>
    <cfRule type="expression" dxfId="175" priority="57">
      <formula>$P$13&lt;&gt;$M$13</formula>
    </cfRule>
  </conditionalFormatting>
  <conditionalFormatting sqref="O11:P11">
    <cfRule type="expression" dxfId="174" priority="13">
      <formula>#REF!&lt;&gt;$N$11</formula>
    </cfRule>
  </conditionalFormatting>
  <conditionalFormatting sqref="P76">
    <cfRule type="expression" dxfId="173" priority="5">
      <formula>$P$75&lt;&gt;$M$75</formula>
    </cfRule>
  </conditionalFormatting>
  <conditionalFormatting sqref="P94:P101 Q100:R100 U100:V100 S100:T102 U101 R102 S105:U106">
    <cfRule type="cellIs" dxfId="172" priority="6" stopIfTrue="1" operator="notEqual">
      <formula>#REF!</formula>
    </cfRule>
  </conditionalFormatting>
  <conditionalFormatting sqref="Q35">
    <cfRule type="expression" dxfId="171" priority="1">
      <formula>#REF!&lt;&gt;0</formula>
    </cfRule>
  </conditionalFormatting>
  <conditionalFormatting sqref="Q93:Q100 U93:W100 T95:T102 R99:S102 O93:O100 R95:R97 S95:S98 X95:AB102">
    <cfRule type="cellIs" dxfId="170" priority="38" stopIfTrue="1" operator="notEqual">
      <formula>#REF!</formula>
    </cfRule>
  </conditionalFormatting>
  <conditionalFormatting sqref="Q36:R36">
    <cfRule type="expression" dxfId="169" priority="3">
      <formula>#REF!&lt;&gt;#REF!</formula>
    </cfRule>
  </conditionalFormatting>
  <conditionalFormatting sqref="R35">
    <cfRule type="expression" dxfId="168" priority="2">
      <formula>#REF!&lt;&gt;0</formula>
    </cfRule>
  </conditionalFormatting>
  <conditionalFormatting sqref="S84 S87">
    <cfRule type="expression" dxfId="167" priority="7" stopIfTrue="1">
      <formula>$M$91&gt;=0</formula>
    </cfRule>
    <cfRule type="expression" priority="8">
      <formula>$M$91&lt;0</formula>
    </cfRule>
    <cfRule type="expression" dxfId="166" priority="29" stopIfTrue="1">
      <formula>$M$91&gt;=0</formula>
    </cfRule>
    <cfRule type="expression" priority="30">
      <formula>$M$91&lt;0</formula>
    </cfRule>
    <cfRule type="expression" dxfId="165" priority="52" stopIfTrue="1">
      <formula>$N$91&gt;=0</formula>
    </cfRule>
    <cfRule type="expression" priority="53">
      <formula>$N$91&lt;0</formula>
    </cfRule>
  </conditionalFormatting>
  <conditionalFormatting sqref="S91">
    <cfRule type="expression" priority="9" stopIfTrue="1">
      <formula>$N$91&lt;0</formula>
    </cfRule>
    <cfRule type="expression" dxfId="164" priority="10">
      <formula>$T$91&lt;&gt;0</formula>
    </cfRule>
    <cfRule type="expression" priority="31" stopIfTrue="1">
      <formula>$N$91&lt;0</formula>
    </cfRule>
    <cfRule type="expression" dxfId="163" priority="32">
      <formula>$T$91&lt;&gt;0</formula>
    </cfRule>
    <cfRule type="expression" priority="54" stopIfTrue="1">
      <formula>$N$91&lt;0</formula>
    </cfRule>
    <cfRule type="expression" dxfId="162" priority="55">
      <formula>$T$91&lt;&gt;0</formula>
    </cfRule>
  </conditionalFormatting>
  <conditionalFormatting sqref="Y78">
    <cfRule type="expression" dxfId="161" priority="4">
      <formula>$Y$77&lt;&gt;0</formula>
    </cfRule>
  </conditionalFormatting>
  <hyperlinks>
    <hyperlink ref="O2" location="Index!A1" display="Return to Index" xr:uid="{00000000-0004-0000-3C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2.109375" style="277" customWidth="1"/>
    <col min="11" max="16384" width="9.109375" style="277"/>
  </cols>
  <sheetData>
    <row r="1" spans="1:6">
      <c r="B1" s="742" t="str">
        <f>'TTUHSCEP Chts'!$A$1</f>
        <v>Texas Tech University Health Sciences Center at El Paso</v>
      </c>
      <c r="D1" s="321" t="s">
        <v>51</v>
      </c>
    </row>
    <row r="2" spans="1:6">
      <c r="B2" s="742" t="str">
        <f>'Smmy Chts'!$A$2</f>
        <v>For the Year Ended August 31, 2022</v>
      </c>
    </row>
    <row r="3" spans="1:6">
      <c r="B3" s="742" t="str">
        <f>'Smmy Chts'!$A$3</f>
        <v>Source: FY 2022 Annual Financial Report</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e">
        <f>IF('TTUHSC FGD'!$S$83="N/A","FN11.  N/A",$B$14&amp;$B$15&amp;$B$16&amp;$B$17&amp;$B$18&amp;$B$19&amp;$B$20&amp;$B$21&amp;$B$22&amp;$B$23&amp;$B$24)</f>
        <v>#VALUE!</v>
      </c>
      <c r="E9" s="669"/>
    </row>
    <row r="14" spans="1:6">
      <c r="B14" s="277" t="s">
        <v>698</v>
      </c>
    </row>
    <row r="15" spans="1:6">
      <c r="A15" s="277">
        <v>75</v>
      </c>
      <c r="B15" s="669" t="str">
        <f>TEXT(IF('TTUHSCEP FGD'!$M$91&lt;0,"N/A",'TTUHSCEP FGD'!$M$91),"$* #,##0;$* (#,##0)")</f>
        <v>N/A</v>
      </c>
      <c r="C15" s="282"/>
      <c r="F15" s="282"/>
    </row>
    <row r="16" spans="1:6">
      <c r="B16" s="277" t="s">
        <v>699</v>
      </c>
    </row>
    <row r="17" spans="1:6">
      <c r="A17" s="277">
        <v>68</v>
      </c>
      <c r="B17" s="748" t="str">
        <f>IF(ABS('TTUHSCEP FGD'!$S$84)&gt;=1000000,TEXT('TTUHSCEP FGD'!$S$84/1000000,"$* #,##0.0;$* (#,##0.0)")&amp;" million",IF(ABS('TTUHSCEP FGD'!$S$84)&lt;1000,TEXT('TTUHSCEP FGD'!$S$84,"$* #,##0;$* (#,##0)"),TEXT('TTUHSCEP FGD'!$S$84/1000,"$* #,##0;$* (#,##0)")&amp;" thousand"))</f>
        <v>$12.8 million</v>
      </c>
      <c r="C17" s="748"/>
      <c r="F17" s="748"/>
    </row>
    <row r="18" spans="1:6">
      <c r="B18" s="277" t="s">
        <v>700</v>
      </c>
    </row>
    <row r="19" spans="1:6">
      <c r="A19" s="277">
        <v>69</v>
      </c>
      <c r="B19" s="277" t="e">
        <f>IF(ABS('TTUHSCEP FGD'!$S$85)&gt;=1000000,TEXT('TTUHSCEP FGD'!$S$85/1000000,"$* #,##0.0;$* (#,##0.0)")&amp;" million",IF(ABS('TTUHSCEP FGD'!$S$85)&lt;1000,TEXT('TTUHSCEP FGD'!$S$85,"$* #,##0;$* (#,##0)"),TEXT('TTUHSCEP FGD'!$S$85/1000,"$* #,##0;$* (#,##0)")&amp;" thousand"))</f>
        <v>#VALUE!</v>
      </c>
    </row>
    <row r="20" spans="1:6">
      <c r="B20" s="277" t="s">
        <v>701</v>
      </c>
    </row>
    <row r="21" spans="1:6">
      <c r="A21" s="277">
        <v>71</v>
      </c>
      <c r="B21" s="277" t="str">
        <f>IF(ABS('TTUHSCEP FGD'!$S$87)&gt;=1000000,TEXT('TTUHSCEP FGD'!$S$87/1000000,"$* #,##0.0;$* (#,##0.0)")&amp;" million",IF(ABS('TTUHSCEP FGD'!$S$87)&lt;1000,TEXT('TTUHSCEP FGD'!$S$87,"$* #,##0;$* (#,##0)"),TEXT('TTUHSCEP FGD'!$S$87/1000,"$* #,##0;$* (#,##0)")&amp;" thousand"))</f>
        <v>$(14.8) million</v>
      </c>
    </row>
    <row r="22" spans="1:6">
      <c r="B22" s="277" t="s">
        <v>702</v>
      </c>
    </row>
    <row r="23" spans="1:6">
      <c r="A23" s="277">
        <v>73</v>
      </c>
      <c r="B23" s="277" t="e">
        <f>IF(ABS('TTUHSCEP FGD'!$S$89)&gt;=1000000,TEXT('TTUHSCEP FGD'!$S$89/1000000,"$* #,##0.0;$* (#,##0.0)")&amp;" million",IF(ABS('TTUHSCEP FGD'!$S$89)&lt;1000,TEXT('TTUHSCEP FGD'!$S$89,"$* #,##0;$* (#,##0)"),TEXT('TTUHSCEP FGD'!$S$89/1000,"$* #,##0;$* (#,##0)")&amp;" thousand"))</f>
        <v>#VALUE!</v>
      </c>
    </row>
    <row r="24" spans="1:6">
      <c r="B24" s="277" t="s">
        <v>703</v>
      </c>
    </row>
  </sheetData>
  <hyperlinks>
    <hyperlink ref="D1" location="Index!A1" display="Return to Index" xr:uid="{00000000-0004-0000-3D00-000000000000}"/>
  </hyperlinks>
  <pageMargins left="0.25" right="0.25" top="0.5" bottom="0.25" header="0.5" footer="0.5"/>
  <pageSetup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13.5546875" style="277" customWidth="1"/>
    <col min="3" max="3" width="55" style="277" customWidth="1"/>
    <col min="4" max="4" width="20.109375" style="277" customWidth="1"/>
    <col min="5" max="16384" width="9.109375" style="277"/>
  </cols>
  <sheetData>
    <row r="1" spans="1:5" ht="27.75" customHeight="1">
      <c r="A1" s="989" t="s">
        <v>29</v>
      </c>
      <c r="C1" s="321" t="s">
        <v>51</v>
      </c>
    </row>
    <row r="2" spans="1:5" ht="27.75" customHeight="1">
      <c r="A2" s="990" t="str">
        <f>'Smmy Chts'!$A$2</f>
        <v>For the Year Ended August 31, 2022</v>
      </c>
    </row>
    <row r="3" spans="1:5" ht="27" customHeight="1">
      <c r="A3" s="990" t="str">
        <f>'Smmy Chts'!$A$3</f>
        <v>Source: FY 2022 Annual Financial Report</v>
      </c>
      <c r="C3" s="991" t="s">
        <v>493</v>
      </c>
    </row>
    <row r="4" spans="1:5" ht="12.9" customHeight="1">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'AUSM Sum'!A9</f>
        <v>State of Texas</v>
      </c>
      <c r="D11" s="994">
        <f>'AUSM Sum'!B15</f>
        <v>46216168</v>
      </c>
      <c r="E11" s="995">
        <f>ROUND(D11/$D$17,3)</f>
        <v>0.19</v>
      </c>
    </row>
    <row r="12" spans="1:5" ht="12.9" customHeight="1">
      <c r="C12" s="993" t="str">
        <f>'AUSM Sum'!A17</f>
        <v>Student &amp; Parent</v>
      </c>
      <c r="D12" s="994">
        <f>'AUSM Sum'!B20</f>
        <v>3489213</v>
      </c>
      <c r="E12" s="995">
        <f t="shared" ref="E12:E15" si="0">ROUND(D12/$D$17,3)</f>
        <v>1.4E-2</v>
      </c>
    </row>
    <row r="13" spans="1:5" ht="12.9" customHeight="1">
      <c r="C13" s="993" t="str">
        <f>'AUSM Sum'!A22</f>
        <v>Federal Government</v>
      </c>
      <c r="D13" s="994">
        <f>'AUSM Sum'!B23</f>
        <v>12717100</v>
      </c>
      <c r="E13" s="995">
        <f t="shared" si="0"/>
        <v>5.1999999999999998E-2</v>
      </c>
    </row>
    <row r="14" spans="1:5" ht="12.9" customHeight="1">
      <c r="C14" s="993" t="str">
        <f>'AUSM Sum'!A31</f>
        <v>Institutional Resources</v>
      </c>
      <c r="D14" s="994">
        <f>'AUSM Sum'!B38</f>
        <v>166578519</v>
      </c>
      <c r="E14" s="995">
        <f t="shared" si="0"/>
        <v>0.68500000000000005</v>
      </c>
    </row>
    <row r="15" spans="1:5" ht="12.9" customHeight="1">
      <c r="C15" s="996" t="s">
        <v>497</v>
      </c>
      <c r="D15" s="994">
        <f>'AUSM Sum'!B29+'AUSM Sum'!B26</f>
        <v>14099224</v>
      </c>
      <c r="E15" s="995">
        <f t="shared" si="0"/>
        <v>5.8000000000000003E-2</v>
      </c>
    </row>
    <row r="16" spans="1:5" ht="12.9" customHeight="1">
      <c r="C16" s="991"/>
      <c r="D16" s="992"/>
    </row>
    <row r="17" spans="3:5" ht="12.9" customHeight="1">
      <c r="C17" s="997" t="s">
        <v>201</v>
      </c>
      <c r="D17" s="998">
        <f>SUM(D11:D16)</f>
        <v>243100224</v>
      </c>
      <c r="E17" s="999">
        <f>SUM(E11:E15)</f>
        <v>0.99900000000000011</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$243,100,224</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2.9" customHeight="1">
      <c r="C53" s="993" t="s">
        <v>101</v>
      </c>
      <c r="D53" s="994">
        <f>'AUSM Sum'!B10</f>
        <v>16760652</v>
      </c>
      <c r="E53" s="995">
        <f>ROUND(D53/$D$68,3)</f>
        <v>6.9000000000000006E-2</v>
      </c>
    </row>
    <row r="54" spans="3:5" ht="12.9" customHeight="1">
      <c r="C54" s="993" t="s">
        <v>510</v>
      </c>
      <c r="D54" s="994">
        <f>'AUSM Sum'!B11</f>
        <v>4445326</v>
      </c>
      <c r="E54" s="995">
        <f t="shared" ref="E54:E67" si="1">ROUND(D54/$D$68,3)</f>
        <v>1.7999999999999999E-2</v>
      </c>
    </row>
    <row r="55" spans="3:5" ht="12.9" customHeight="1">
      <c r="C55" s="1001"/>
      <c r="D55" s="994"/>
      <c r="E55" s="995"/>
    </row>
    <row r="56" spans="3:5" ht="12.9" customHeight="1">
      <c r="C56" s="993" t="str">
        <f>'AUSM Sum'!A13</f>
        <v>Higher Education Fund</v>
      </c>
      <c r="D56" s="994">
        <f>'AUSM Sum'!B13</f>
        <v>0</v>
      </c>
      <c r="E56" s="995">
        <f t="shared" si="1"/>
        <v>0</v>
      </c>
    </row>
    <row r="57" spans="3:5" ht="12.9" customHeight="1">
      <c r="C57" s="1001" t="s">
        <v>511</v>
      </c>
      <c r="D57" s="994">
        <f>'AUSM Sum'!B14</f>
        <v>25010190</v>
      </c>
      <c r="E57" s="995">
        <f t="shared" si="1"/>
        <v>0.10299999999999999</v>
      </c>
    </row>
    <row r="58" spans="3:5" ht="12.9" customHeight="1">
      <c r="C58" s="993" t="s">
        <v>460</v>
      </c>
      <c r="D58" s="994">
        <f>'AUSM Sum'!B20</f>
        <v>3489213</v>
      </c>
      <c r="E58" s="995">
        <f t="shared" si="1"/>
        <v>1.4E-2</v>
      </c>
    </row>
    <row r="59" spans="3:5" ht="12.9" customHeight="1">
      <c r="C59" s="993" t="s">
        <v>512</v>
      </c>
      <c r="D59" s="994">
        <f>'AUSM Sum'!B23</f>
        <v>12717100</v>
      </c>
      <c r="E59" s="995">
        <f t="shared" si="1"/>
        <v>5.1999999999999998E-2</v>
      </c>
    </row>
    <row r="60" spans="3:5" ht="12.9" customHeight="1">
      <c r="C60" s="993" t="s">
        <v>513</v>
      </c>
      <c r="D60" s="994">
        <f>'AUSM Sum'!B32</f>
        <v>2051180</v>
      </c>
      <c r="E60" s="995">
        <f t="shared" si="1"/>
        <v>8.0000000000000002E-3</v>
      </c>
    </row>
    <row r="61" spans="3:5" ht="12.9" customHeight="1">
      <c r="C61" s="993" t="s">
        <v>514</v>
      </c>
      <c r="D61" s="994">
        <f>'AUSM Sum'!B33</f>
        <v>35115904</v>
      </c>
      <c r="E61" s="995">
        <f t="shared" si="1"/>
        <v>0.14399999999999999</v>
      </c>
    </row>
    <row r="62" spans="3:5" ht="12.9" customHeight="1">
      <c r="C62" s="993" t="s">
        <v>515</v>
      </c>
      <c r="D62" s="994">
        <f>'AUSM Sum'!B34</f>
        <v>120581706</v>
      </c>
      <c r="E62" s="995">
        <f t="shared" si="1"/>
        <v>0.496</v>
      </c>
    </row>
    <row r="63" spans="3:5" ht="12.9" customHeight="1">
      <c r="C63" s="993" t="s">
        <v>516</v>
      </c>
      <c r="D63" s="994">
        <f>'AUSM Sum'!B35</f>
        <v>3868656</v>
      </c>
      <c r="E63" s="995">
        <f t="shared" si="1"/>
        <v>1.6E-2</v>
      </c>
    </row>
    <row r="64" spans="3:5" ht="12.9" customHeight="1">
      <c r="C64" s="993" t="s">
        <v>176</v>
      </c>
      <c r="D64" s="994">
        <f>'AUSM Sum'!B36</f>
        <v>3148117</v>
      </c>
      <c r="E64" s="995">
        <f t="shared" si="1"/>
        <v>1.2999999999999999E-2</v>
      </c>
    </row>
    <row r="65" spans="3:5" ht="12.9" customHeight="1">
      <c r="C65" s="993" t="s">
        <v>517</v>
      </c>
      <c r="D65" s="994">
        <f>'AUSM Sum'!B37</f>
        <v>1812956</v>
      </c>
      <c r="E65" s="995">
        <f t="shared" si="1"/>
        <v>7.0000000000000001E-3</v>
      </c>
    </row>
    <row r="66" spans="3:5" ht="12.9" customHeight="1">
      <c r="C66" s="993" t="s">
        <v>163</v>
      </c>
      <c r="D66" s="994">
        <f>'AUSM Sum'!B26</f>
        <v>12639757</v>
      </c>
      <c r="E66" s="995">
        <f t="shared" si="1"/>
        <v>5.1999999999999998E-2</v>
      </c>
    </row>
    <row r="67" spans="3:5" ht="12.9" customHeight="1">
      <c r="C67" s="1002" t="s">
        <v>497</v>
      </c>
      <c r="D67" s="994">
        <f>'AUSM Sum'!B29</f>
        <v>1459467</v>
      </c>
      <c r="E67" s="995">
        <f t="shared" si="1"/>
        <v>6.0000000000000001E-3</v>
      </c>
    </row>
    <row r="68" spans="3:5" ht="12.9" customHeight="1">
      <c r="C68" s="997" t="s">
        <v>201</v>
      </c>
      <c r="D68" s="998">
        <f>SUM(D53:D67)</f>
        <v>243100224</v>
      </c>
      <c r="E68" s="999">
        <f>SUM(E53:E67)</f>
        <v>0.99800000000000011</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$243,100,224</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'AUSM Sum'!B42</f>
        <v>8217265</v>
      </c>
      <c r="E102" s="995">
        <f>ROUND(D102/$D$115,3)</f>
        <v>3.3000000000000002E-2</v>
      </c>
    </row>
    <row r="103" spans="1:5" ht="12.9" customHeight="1">
      <c r="C103" s="1004" t="s">
        <v>179</v>
      </c>
      <c r="D103" s="994">
        <f>'AUSM Sum'!B43</f>
        <v>40120464</v>
      </c>
      <c r="E103" s="995">
        <f t="shared" ref="E103:E113" si="2">ROUND(D103/$D$115,3)</f>
        <v>0.161</v>
      </c>
    </row>
    <row r="104" spans="1:5" ht="12.9" customHeight="1">
      <c r="C104" s="1004" t="s">
        <v>180</v>
      </c>
      <c r="D104" s="994">
        <f>'AUSM Sum'!B44</f>
        <v>4104162</v>
      </c>
      <c r="E104" s="995">
        <f t="shared" si="2"/>
        <v>1.7000000000000001E-2</v>
      </c>
    </row>
    <row r="105" spans="1:5" ht="12.9" customHeight="1">
      <c r="C105" s="1004" t="s">
        <v>181</v>
      </c>
      <c r="D105" s="994">
        <f>'AUSM Sum'!B46</f>
        <v>38679284</v>
      </c>
      <c r="E105" s="995">
        <f t="shared" si="2"/>
        <v>0.156</v>
      </c>
    </row>
    <row r="106" spans="1:5" ht="12.9" customHeight="1">
      <c r="C106" s="1004" t="s">
        <v>182</v>
      </c>
      <c r="D106" s="994">
        <f>'AUSM Sum'!B47</f>
        <v>15621</v>
      </c>
      <c r="E106" s="995">
        <f t="shared" si="2"/>
        <v>0</v>
      </c>
    </row>
    <row r="107" spans="1:5" ht="12.9" customHeight="1">
      <c r="C107" s="1004" t="s">
        <v>183</v>
      </c>
      <c r="D107" s="994">
        <f>'AUSM Sum'!B48</f>
        <v>24622557</v>
      </c>
      <c r="E107" s="995">
        <f t="shared" si="2"/>
        <v>9.9000000000000005E-2</v>
      </c>
    </row>
    <row r="108" spans="1:5" ht="12.9" customHeight="1">
      <c r="C108" s="1004" t="s">
        <v>519</v>
      </c>
      <c r="D108" s="994">
        <f>'AUSM Sum'!B49</f>
        <v>2570508</v>
      </c>
      <c r="E108" s="995">
        <f t="shared" si="2"/>
        <v>0.01</v>
      </c>
    </row>
    <row r="109" spans="1:5" ht="12.9" customHeight="1">
      <c r="C109" s="1004" t="s">
        <v>520</v>
      </c>
      <c r="D109" s="994">
        <f>'AUSM Sum'!B50</f>
        <v>2454481</v>
      </c>
      <c r="E109" s="995">
        <f t="shared" si="2"/>
        <v>0.01</v>
      </c>
    </row>
    <row r="110" spans="1:5" ht="12.9" customHeight="1">
      <c r="C110" s="1004" t="s">
        <v>186</v>
      </c>
      <c r="D110" s="994">
        <f>'AUSM Sum'!B51</f>
        <v>967543</v>
      </c>
      <c r="E110" s="995">
        <f t="shared" si="2"/>
        <v>4.0000000000000001E-3</v>
      </c>
    </row>
    <row r="111" spans="1:5" ht="12.9" customHeight="1">
      <c r="C111" s="1004" t="s">
        <v>521</v>
      </c>
      <c r="D111" s="994">
        <f>'AUSM Sum'!B52</f>
        <v>252133</v>
      </c>
      <c r="E111" s="995">
        <f t="shared" si="2"/>
        <v>1E-3</v>
      </c>
    </row>
    <row r="112" spans="1:5" ht="12.9" customHeight="1">
      <c r="C112" s="993" t="s">
        <v>522</v>
      </c>
      <c r="D112" s="994">
        <f>'AUSM Sum'!B53</f>
        <v>2850</v>
      </c>
      <c r="E112" s="995">
        <f t="shared" si="2"/>
        <v>0</v>
      </c>
    </row>
    <row r="113" spans="3:5" ht="12.9" customHeight="1">
      <c r="C113" s="996" t="s">
        <v>523</v>
      </c>
      <c r="D113" s="994">
        <f>'AUSM Sum'!B45</f>
        <v>126417532</v>
      </c>
      <c r="E113" s="995">
        <f t="shared" si="2"/>
        <v>0.50900000000000001</v>
      </c>
    </row>
    <row r="114" spans="3:5" ht="12.9" customHeight="1">
      <c r="C114" s="991"/>
      <c r="D114" s="991"/>
      <c r="E114" s="999"/>
    </row>
    <row r="115" spans="3:5" ht="12.9" customHeight="1">
      <c r="C115" s="1005" t="s">
        <v>189</v>
      </c>
      <c r="D115" s="998">
        <f>SUM(D102:D114)</f>
        <v>248424400</v>
      </c>
      <c r="E115" s="999">
        <f>SUM(E102:E113)</f>
        <v>1</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$248,424,400</v>
      </c>
    </row>
    <row r="137" spans="1:1" ht="12.9" customHeight="1">
      <c r="A137" s="1136"/>
    </row>
    <row r="138" spans="1:1" ht="12.9" customHeight="1"/>
    <row r="139" spans="1:1" ht="12.9" customHeight="1">
      <c r="A139" s="1006" t="s">
        <v>524</v>
      </c>
    </row>
    <row r="140" spans="1:1" ht="12.9"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A136:A137"/>
    <mergeCell ref="C9:D9"/>
    <mergeCell ref="A47:A48"/>
    <mergeCell ref="A92:A93"/>
    <mergeCell ref="C100:D100"/>
    <mergeCell ref="C101:D101"/>
  </mergeCells>
  <hyperlinks>
    <hyperlink ref="C1" location="Index!A1" display="Return to Index" xr:uid="{00000000-0004-0000-3E00-000000000000}"/>
  </hyperlinks>
  <printOptions horizontalCentered="1"/>
  <pageMargins left="0.5" right="0.5" top="0.25" bottom="0.25" header="0.25" footer="0.25"/>
  <pageSetup scale="41" orientation="portrait" r:id="rId1"/>
  <headerFooter alignWithMargins="0"/>
  <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ransitionEvaluation="1" transitionEntry="1">
    <tabColor indexed="13"/>
  </sheetPr>
  <dimension ref="A1:AD83"/>
  <sheetViews>
    <sheetView showGridLines="0" zoomScale="85" zoomScaleNormal="85"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3.33203125" style="277" customWidth="1"/>
    <col min="16" max="16384" width="9.109375" style="277"/>
  </cols>
  <sheetData>
    <row r="1" spans="1:15" ht="16.8" thickTop="1" thickBot="1">
      <c r="A1" s="899" t="str">
        <f>'AUSM Chts'!$A$1</f>
        <v>The University of Texas at Austin Medical School (M)</v>
      </c>
      <c r="B1" s="754"/>
      <c r="C1" s="754"/>
      <c r="D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320">
        <f>VLOOKUP(A1,NamesLU,2,FALSE)</f>
        <v>203658</v>
      </c>
      <c r="J2" s="901"/>
      <c r="K2" s="901"/>
      <c r="L2" s="901"/>
      <c r="M2" s="901"/>
      <c r="O2" s="320"/>
    </row>
    <row r="3" spans="1:15" ht="15.75" customHeight="1">
      <c r="A3" s="900" t="str">
        <f>'Smmy Chts'!$A$3</f>
        <v>Source: FY 2022 Annual Financial Report</v>
      </c>
      <c r="B3" s="754"/>
      <c r="C3" s="754"/>
      <c r="O3" s="320"/>
    </row>
    <row r="4" spans="1:15" ht="13.5" customHeight="1">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909"/>
      <c r="C6" s="427">
        <f>VLOOKUP($G$2,FTSELU,10,FALSE)</f>
        <v>197</v>
      </c>
      <c r="J6" s="910"/>
      <c r="O6" s="320"/>
    </row>
    <row r="7" spans="1:15">
      <c r="B7" s="909"/>
      <c r="C7" s="909"/>
      <c r="I7" s="446" t="s">
        <v>533</v>
      </c>
      <c r="J7" s="911"/>
      <c r="O7" s="320"/>
    </row>
    <row r="8" spans="1:15">
      <c r="A8" s="912" t="s">
        <v>151</v>
      </c>
      <c r="B8" s="912"/>
      <c r="C8" s="913"/>
      <c r="I8" s="914">
        <f>VLOOKUP($G$2,FTSELU,11,FALSE)</f>
        <v>290.3</v>
      </c>
      <c r="J8" s="910"/>
      <c r="O8" s="320"/>
    </row>
    <row r="9" spans="1:15" ht="12.75" customHeight="1" thickBot="1">
      <c r="A9" s="279" t="s">
        <v>152</v>
      </c>
      <c r="B9" s="915"/>
      <c r="C9" s="915"/>
      <c r="J9" s="910"/>
      <c r="O9" s="320"/>
    </row>
    <row r="10" spans="1:15" ht="12.75" customHeight="1" thickTop="1">
      <c r="A10" s="277" t="s">
        <v>535</v>
      </c>
      <c r="B10" s="501">
        <f>'AUSM FGD'!M10</f>
        <v>16760652</v>
      </c>
      <c r="C10" s="501"/>
      <c r="D10" s="492">
        <f>'AUSM FGD'!F10</f>
        <v>0</v>
      </c>
      <c r="E10" s="492"/>
      <c r="F10" s="916">
        <f>B10-(SUM(D10:E10))</f>
        <v>16760652</v>
      </c>
      <c r="G10" s="917" t="s">
        <v>101</v>
      </c>
      <c r="H10" s="918"/>
      <c r="I10" s="919" t="s">
        <v>536</v>
      </c>
      <c r="J10" s="920">
        <f>ROUND(F10/$C$6,0)</f>
        <v>85079</v>
      </c>
      <c r="O10" s="320"/>
    </row>
    <row r="11" spans="1:15" ht="12.75" customHeight="1" thickBot="1">
      <c r="A11" s="277" t="s">
        <v>134</v>
      </c>
      <c r="B11" s="669">
        <f>'AUSM FGD'!M11</f>
        <v>4445326</v>
      </c>
      <c r="C11" s="669"/>
      <c r="D11" s="921">
        <f>'AUSM FGD'!F11</f>
        <v>0</v>
      </c>
      <c r="E11" s="754"/>
      <c r="F11" s="922">
        <f t="shared" ref="F11:F14" si="0">B11-(SUM(D11:E11))</f>
        <v>4445326</v>
      </c>
      <c r="G11" s="923">
        <f>SUM(F10:F11)</f>
        <v>21205978</v>
      </c>
      <c r="H11" s="924"/>
      <c r="I11" s="925">
        <f>ROUND($G$11/$C$6,0)</f>
        <v>107645</v>
      </c>
      <c r="J11" s="926">
        <f t="shared" ref="J11:J14" si="1">ROUND(F11/$C$6,0)</f>
        <v>22565</v>
      </c>
      <c r="O11" s="320"/>
    </row>
    <row r="12" spans="1:15" ht="12.75" hidden="1" customHeight="1" thickTop="1" thickBot="1">
      <c r="A12" s="277" t="s">
        <v>537</v>
      </c>
      <c r="B12" s="669"/>
      <c r="C12" s="669"/>
      <c r="D12" s="921"/>
      <c r="E12" s="754"/>
      <c r="F12" s="927"/>
      <c r="J12" s="926"/>
      <c r="O12" s="928"/>
    </row>
    <row r="13" spans="1:15" ht="12.75" customHeight="1" thickTop="1">
      <c r="A13" s="277" t="s">
        <v>468</v>
      </c>
      <c r="B13" s="669">
        <f>'AUSM FGD'!M13</f>
        <v>0</v>
      </c>
      <c r="C13" s="669"/>
      <c r="D13" s="921">
        <f>'AUSM FGD'!F13</f>
        <v>0</v>
      </c>
      <c r="E13" s="754"/>
      <c r="F13" s="929">
        <f t="shared" si="0"/>
        <v>0</v>
      </c>
      <c r="G13" s="930" t="s">
        <v>102</v>
      </c>
      <c r="H13" s="931"/>
      <c r="I13" s="417" t="s">
        <v>538</v>
      </c>
      <c r="J13" s="926">
        <f t="shared" si="1"/>
        <v>0</v>
      </c>
      <c r="O13" s="320"/>
    </row>
    <row r="14" spans="1:15" ht="12.75" customHeight="1" thickBot="1">
      <c r="A14" s="277" t="s">
        <v>135</v>
      </c>
      <c r="B14" s="669">
        <f>'AUSM FGD'!M14</f>
        <v>25010190</v>
      </c>
      <c r="C14" s="669"/>
      <c r="D14" s="921">
        <f>'AUSM FGD'!F14</f>
        <v>0</v>
      </c>
      <c r="E14" s="754"/>
      <c r="F14" s="927">
        <f t="shared" si="0"/>
        <v>25010190</v>
      </c>
      <c r="G14" s="932">
        <f>SUM(F13:F14)</f>
        <v>25010190</v>
      </c>
      <c r="H14" s="933"/>
      <c r="I14" s="934">
        <f>ROUND($G$11/$I$8,0)</f>
        <v>73048</v>
      </c>
      <c r="J14" s="935">
        <f t="shared" si="1"/>
        <v>126955</v>
      </c>
      <c r="O14" s="320"/>
    </row>
    <row r="15" spans="1:15" ht="12.75" customHeight="1" thickTop="1">
      <c r="A15" s="936" t="s">
        <v>155</v>
      </c>
      <c r="B15" s="937">
        <f>SUM(B10:B14)</f>
        <v>46216168</v>
      </c>
      <c r="C15" s="937">
        <f>SUM(C10:C14)</f>
        <v>0</v>
      </c>
      <c r="D15" s="937">
        <f>SUM(D10:D14)</f>
        <v>0</v>
      </c>
      <c r="E15" s="937">
        <f>SUM(E10:E14)</f>
        <v>0</v>
      </c>
      <c r="F15" s="938">
        <f>SUM(F10:F14)</f>
        <v>46216168</v>
      </c>
      <c r="I15" s="345"/>
      <c r="J15" s="939">
        <f>SUM(J10:J14)</f>
        <v>234599</v>
      </c>
      <c r="O15" s="320"/>
    </row>
    <row r="16" spans="1:15">
      <c r="C16" s="277"/>
      <c r="J16" s="910"/>
      <c r="O16" s="320"/>
    </row>
    <row r="17" spans="1:15" ht="12.75" customHeight="1">
      <c r="A17" s="279" t="s">
        <v>161</v>
      </c>
      <c r="C17" s="277"/>
      <c r="J17" s="910"/>
      <c r="O17" s="320"/>
    </row>
    <row r="18" spans="1:15">
      <c r="A18" s="277" t="s">
        <v>165</v>
      </c>
      <c r="B18" s="501">
        <f>'AUSM FGD'!M29</f>
        <v>3423148</v>
      </c>
      <c r="C18" s="501"/>
      <c r="D18" s="492">
        <f>'AUSM FGD'!$F$29</f>
        <v>0</v>
      </c>
      <c r="E18" s="492"/>
      <c r="F18" s="492">
        <f t="shared" ref="F18:F19" si="2">B18-(SUM(D18:E18))</f>
        <v>3423148</v>
      </c>
      <c r="J18" s="920">
        <f>ROUND(F18/$C$6,0)</f>
        <v>17376</v>
      </c>
      <c r="O18" s="320"/>
    </row>
    <row r="19" spans="1:15" ht="13.8" thickBot="1">
      <c r="A19" s="277" t="s">
        <v>166</v>
      </c>
      <c r="B19" s="669">
        <f>'AUSM FGD'!M42</f>
        <v>66065</v>
      </c>
      <c r="C19" s="669"/>
      <c r="D19" s="754">
        <f>'AUSM FGD'!$F$42</f>
        <v>0</v>
      </c>
      <c r="E19" s="754"/>
      <c r="F19" s="754">
        <f t="shared" si="2"/>
        <v>66065</v>
      </c>
      <c r="J19" s="926">
        <f>ROUND(F19/$C$6,0)</f>
        <v>335</v>
      </c>
      <c r="O19" s="320"/>
    </row>
    <row r="20" spans="1:15" ht="14.4" thickTop="1" thickBot="1">
      <c r="A20" s="936" t="s">
        <v>167</v>
      </c>
      <c r="B20" s="937">
        <f>SUM(B18:B19)</f>
        <v>3489213</v>
      </c>
      <c r="C20" s="937">
        <f>SUM(C18:C19)</f>
        <v>0</v>
      </c>
      <c r="D20" s="798">
        <f>SUM(D18:D19)</f>
        <v>0</v>
      </c>
      <c r="E20" s="940">
        <f>SUM(E18:E19)</f>
        <v>0</v>
      </c>
      <c r="F20" s="941">
        <f>SUM(F18:F19)</f>
        <v>3489213</v>
      </c>
      <c r="G20" s="942" t="s">
        <v>539</v>
      </c>
      <c r="H20" s="943"/>
      <c r="J20" s="944">
        <f>SUM(J18:J19)</f>
        <v>17711</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'AUSM FGD'!M47</f>
        <v>12717100</v>
      </c>
      <c r="C23" s="937"/>
      <c r="D23" s="798">
        <f>'AUSM FGD'!F47</f>
        <v>0</v>
      </c>
      <c r="E23" s="940"/>
      <c r="F23" s="941">
        <f>B23-(SUM(D23:E23))</f>
        <v>12717100</v>
      </c>
      <c r="G23" s="946" t="s">
        <v>540</v>
      </c>
      <c r="H23" s="943"/>
      <c r="J23" s="947">
        <f>ROUND(F23/$C$6,0)</f>
        <v>64554</v>
      </c>
      <c r="O23" s="320"/>
    </row>
    <row r="24" spans="1:15" ht="13.8" thickTop="1">
      <c r="C24" s="277"/>
      <c r="J24" s="910"/>
      <c r="O24" s="320"/>
    </row>
    <row r="25" spans="1:15">
      <c r="A25" s="279" t="s">
        <v>163</v>
      </c>
      <c r="C25" s="277"/>
      <c r="D25" s="754"/>
      <c r="J25" s="910"/>
      <c r="O25" s="320"/>
    </row>
    <row r="26" spans="1:15">
      <c r="A26" s="936" t="s">
        <v>200</v>
      </c>
      <c r="B26" s="937">
        <f>'AUSM FGD'!M50</f>
        <v>12639757</v>
      </c>
      <c r="C26" s="937"/>
      <c r="D26" s="937">
        <f>'AUSM FGD'!F50</f>
        <v>0</v>
      </c>
      <c r="E26" s="937">
        <f>B26-D26</f>
        <v>12639757</v>
      </c>
      <c r="F26" s="937">
        <f t="shared" ref="F26" si="3">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'AUSM FGD'!M53</f>
        <v>1459467</v>
      </c>
      <c r="C29" s="937"/>
      <c r="D29" s="937">
        <f>'AUSM FGD'!F53</f>
        <v>0</v>
      </c>
      <c r="E29" s="937">
        <f>B29-D29</f>
        <v>1459467</v>
      </c>
      <c r="F29" s="937">
        <f t="shared" ref="F29" si="4">B29-(SUM(D29:E29))</f>
        <v>0</v>
      </c>
      <c r="J29" s="926"/>
      <c r="O29" s="320"/>
    </row>
    <row r="30" spans="1:15">
      <c r="C30" s="277"/>
      <c r="E30" s="754"/>
      <c r="F30" s="754"/>
      <c r="J30" s="926"/>
      <c r="O30" s="320"/>
    </row>
    <row r="31" spans="1:15">
      <c r="A31" s="279" t="s">
        <v>171</v>
      </c>
      <c r="C31" s="277"/>
      <c r="E31" s="754"/>
      <c r="F31" s="754"/>
      <c r="G31" s="400"/>
      <c r="H31" s="400"/>
      <c r="I31" s="400"/>
      <c r="J31" s="926"/>
      <c r="O31" s="320"/>
    </row>
    <row r="32" spans="1:15">
      <c r="A32" s="277" t="s">
        <v>172</v>
      </c>
      <c r="B32" s="501">
        <f>'AUSM FGD'!M56</f>
        <v>2051180</v>
      </c>
      <c r="C32" s="501"/>
      <c r="D32" s="492">
        <f>'AUSM FGD'!F56</f>
        <v>0</v>
      </c>
      <c r="E32" s="492"/>
      <c r="F32" s="492">
        <f t="shared" ref="F32:F37" si="5">B32-(SUM(D32:E32))</f>
        <v>2051180</v>
      </c>
      <c r="J32" s="920">
        <f>ROUND(F32/$C$6,0)</f>
        <v>10412</v>
      </c>
      <c r="O32" s="320"/>
    </row>
    <row r="33" spans="1:30">
      <c r="A33" s="277" t="s">
        <v>173</v>
      </c>
      <c r="B33" s="669">
        <f>'AUSM FGD'!M57</f>
        <v>35115904</v>
      </c>
      <c r="C33" s="669"/>
      <c r="D33" s="921">
        <f>'AUSM FGD'!F57</f>
        <v>0</v>
      </c>
      <c r="E33" s="754"/>
      <c r="F33" s="754">
        <f t="shared" si="5"/>
        <v>35115904</v>
      </c>
      <c r="J33" s="926">
        <f t="shared" ref="J33:J37" si="6">ROUND(F33/$C$6,0)</f>
        <v>178253</v>
      </c>
      <c r="O33" s="320"/>
    </row>
    <row r="34" spans="1:30" ht="13.8" thickBot="1">
      <c r="A34" s="277" t="s">
        <v>174</v>
      </c>
      <c r="B34" s="669">
        <f>'AUSM FGD'!M58</f>
        <v>120581706</v>
      </c>
      <c r="C34" s="669"/>
      <c r="D34" s="921">
        <f>'AUSM FGD'!F58</f>
        <v>0</v>
      </c>
      <c r="E34" s="754"/>
      <c r="F34" s="754">
        <f t="shared" si="5"/>
        <v>120581706</v>
      </c>
      <c r="J34" s="926">
        <f t="shared" si="6"/>
        <v>612090</v>
      </c>
      <c r="O34" s="320"/>
    </row>
    <row r="35" spans="1:30" ht="13.8" thickBot="1">
      <c r="A35" s="277" t="s">
        <v>175</v>
      </c>
      <c r="B35" s="669">
        <f>'AUSM FGD'!M59</f>
        <v>3868656</v>
      </c>
      <c r="C35" s="669"/>
      <c r="D35" s="921">
        <f>'AUSM FGD'!F59</f>
        <v>0</v>
      </c>
      <c r="E35" s="754"/>
      <c r="F35" s="754">
        <f t="shared" si="5"/>
        <v>3868656</v>
      </c>
      <c r="J35" s="926">
        <f t="shared" si="6"/>
        <v>19638</v>
      </c>
      <c r="K35" s="1157"/>
      <c r="L35" s="1140"/>
      <c r="M35" s="1140"/>
      <c r="N35" s="1140"/>
      <c r="O35" s="1141"/>
    </row>
    <row r="36" spans="1:30" ht="13.8" thickBot="1">
      <c r="A36" s="277" t="s">
        <v>471</v>
      </c>
      <c r="B36" s="669">
        <f>'AUSM FGD'!M60</f>
        <v>3148117</v>
      </c>
      <c r="C36" s="669"/>
      <c r="D36" s="921">
        <f>'AUSM FGD'!F60</f>
        <v>3148117</v>
      </c>
      <c r="E36" s="754"/>
      <c r="F36" s="754">
        <f t="shared" si="5"/>
        <v>0</v>
      </c>
      <c r="J36" s="926">
        <f t="shared" si="6"/>
        <v>0</v>
      </c>
      <c r="K36" s="1157" t="s">
        <v>268</v>
      </c>
      <c r="L36" s="1140"/>
      <c r="M36" s="1140"/>
      <c r="N36" s="1140"/>
      <c r="O36" s="1141"/>
    </row>
    <row r="37" spans="1:30" ht="13.5" customHeight="1" thickBot="1">
      <c r="A37" s="538" t="s">
        <v>177</v>
      </c>
      <c r="B37" s="669">
        <f>'AUSM FGD'!M61</f>
        <v>1812956</v>
      </c>
      <c r="C37" s="669"/>
      <c r="D37" s="921">
        <f>'AUSM FGD'!F61</f>
        <v>0</v>
      </c>
      <c r="E37" s="754"/>
      <c r="F37" s="754">
        <f t="shared" si="5"/>
        <v>1812956</v>
      </c>
      <c r="G37" s="400"/>
      <c r="H37" s="400"/>
      <c r="I37" s="400"/>
      <c r="J37" s="926">
        <f t="shared" si="6"/>
        <v>9203</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166578519</v>
      </c>
      <c r="C38" s="937"/>
      <c r="D38" s="949">
        <f>SUM(D32:D37)</f>
        <v>3148117</v>
      </c>
      <c r="E38" s="949">
        <f>SUM(E32:E37)</f>
        <v>0</v>
      </c>
      <c r="F38" s="950">
        <f>SUM(F32:F37)</f>
        <v>163430402</v>
      </c>
      <c r="G38" s="1154" t="s">
        <v>171</v>
      </c>
      <c r="H38" s="1155"/>
      <c r="I38" s="951" t="s">
        <v>542</v>
      </c>
      <c r="J38" s="952">
        <f>SUM(J32:J37)</f>
        <v>829596</v>
      </c>
      <c r="K38" s="1159"/>
      <c r="L38" s="1159"/>
      <c r="M38" s="1159"/>
      <c r="N38" s="1159" t="s">
        <v>543</v>
      </c>
      <c r="O38" s="1159" t="s">
        <v>280</v>
      </c>
    </row>
    <row r="39" spans="1:30" ht="13.8" thickTop="1">
      <c r="A39" s="953" t="s">
        <v>201</v>
      </c>
      <c r="B39" s="954">
        <f>B15+B20+B23+B26+B29+B38</f>
        <v>243100224</v>
      </c>
      <c r="C39" s="955"/>
      <c r="D39" s="954">
        <f>D15+D20+D23+D26+D29+D38</f>
        <v>3148117</v>
      </c>
      <c r="E39" s="954">
        <f>E15+E20+E23+E26+E29+E38</f>
        <v>14099224</v>
      </c>
      <c r="F39" s="956">
        <f>F38+F23+F20+F15</f>
        <v>225852883</v>
      </c>
      <c r="G39" s="1156" t="s">
        <v>271</v>
      </c>
      <c r="H39" s="1156"/>
      <c r="I39" s="957">
        <f>ROUND($G$41/$C$6,0)</f>
        <v>1019506</v>
      </c>
      <c r="J39" s="958">
        <f>J15+J20+J23+J38</f>
        <v>1146460</v>
      </c>
      <c r="K39" s="1159"/>
      <c r="L39" s="1159"/>
      <c r="M39" s="1159"/>
      <c r="N39" s="1159"/>
      <c r="O39" s="1159"/>
    </row>
    <row r="40" spans="1:30" ht="13.8" thickBot="1">
      <c r="C40" s="277"/>
      <c r="F40" s="320" t="s">
        <v>577</v>
      </c>
      <c r="G40" s="959">
        <f>G14*-1</f>
        <v>-25010190</v>
      </c>
      <c r="I40" s="951" t="s">
        <v>545</v>
      </c>
      <c r="J40" s="960"/>
      <c r="K40" s="1160"/>
      <c r="L40" s="1160"/>
      <c r="M40" s="1160"/>
      <c r="N40" s="1160"/>
      <c r="O40" s="1160"/>
    </row>
    <row r="41" spans="1:30" ht="14.4" thickTop="1" thickBot="1">
      <c r="A41" s="912" t="s">
        <v>178</v>
      </c>
      <c r="B41" s="912"/>
      <c r="C41" s="912"/>
      <c r="D41" s="344"/>
      <c r="E41" s="344"/>
      <c r="F41" s="961" t="s">
        <v>546</v>
      </c>
      <c r="G41" s="962">
        <f>F39+G40</f>
        <v>200842693</v>
      </c>
      <c r="I41" s="963">
        <f>ROUND($G$41/$I$8,0)</f>
        <v>691845</v>
      </c>
      <c r="K41" s="964"/>
      <c r="L41" s="964"/>
      <c r="M41" s="964"/>
      <c r="N41" s="964"/>
      <c r="O41" s="964"/>
    </row>
    <row r="42" spans="1:30" ht="13.8" thickTop="1">
      <c r="A42" s="490" t="s">
        <v>92</v>
      </c>
      <c r="B42" s="501">
        <f>'AUSM FGD'!M65</f>
        <v>8217265</v>
      </c>
      <c r="C42" s="501"/>
      <c r="D42" s="492">
        <f>'AUSM FGD'!F65</f>
        <v>0</v>
      </c>
      <c r="E42" s="492"/>
      <c r="F42" s="492">
        <f t="shared" ref="F42" si="7">B42-(SUM(D42:E42))</f>
        <v>8217265</v>
      </c>
      <c r="H42" s="965" t="s">
        <v>547</v>
      </c>
      <c r="I42" s="966">
        <f>ROUND(F42/$C$6,0)</f>
        <v>41712</v>
      </c>
      <c r="J42" s="320" t="s">
        <v>548</v>
      </c>
      <c r="K42" s="492">
        <f>F42</f>
        <v>8217265</v>
      </c>
      <c r="L42" s="492">
        <f>K42</f>
        <v>8217265</v>
      </c>
      <c r="M42" s="492"/>
      <c r="N42" s="492"/>
      <c r="O42" s="492"/>
    </row>
    <row r="43" spans="1:30">
      <c r="A43" s="490" t="s">
        <v>179</v>
      </c>
      <c r="B43" s="669">
        <f>'AUSM FGD'!M66</f>
        <v>40120464</v>
      </c>
      <c r="C43" s="669"/>
      <c r="D43" s="723">
        <f>'AUSM FGD'!F66</f>
        <v>0</v>
      </c>
      <c r="E43" s="754"/>
      <c r="F43" s="754">
        <f t="shared" ref="F43:F44" si="8">B43-(SUM(D43:E43))</f>
        <v>40120464</v>
      </c>
      <c r="J43" s="320" t="s">
        <v>549</v>
      </c>
      <c r="K43" s="723">
        <f>F43</f>
        <v>40120464</v>
      </c>
      <c r="L43" s="723">
        <f>K43</f>
        <v>40120464</v>
      </c>
      <c r="M43" s="723"/>
      <c r="N43" s="723"/>
      <c r="O43" s="723"/>
    </row>
    <row r="44" spans="1:30">
      <c r="A44" s="490" t="s">
        <v>180</v>
      </c>
      <c r="B44" s="669">
        <f>'AUSM FGD'!M67</f>
        <v>4104162</v>
      </c>
      <c r="C44" s="669"/>
      <c r="D44" s="723">
        <f>'AUSM FGD'!F67</f>
        <v>0</v>
      </c>
      <c r="E44" s="921">
        <f>B44-D44</f>
        <v>4104162</v>
      </c>
      <c r="F44" s="754">
        <f t="shared" si="8"/>
        <v>0</v>
      </c>
      <c r="J44" s="320" t="s">
        <v>550</v>
      </c>
      <c r="K44" s="967"/>
      <c r="L44" s="769"/>
      <c r="M44" s="769" t="s">
        <v>551</v>
      </c>
      <c r="N44" s="769"/>
      <c r="O44" s="968"/>
    </row>
    <row r="45" spans="1:30">
      <c r="A45" s="300" t="s">
        <v>164</v>
      </c>
      <c r="B45" s="669">
        <f>'AUSM FGD'!M68</f>
        <v>126417532</v>
      </c>
      <c r="C45" s="669"/>
      <c r="D45" s="723">
        <f>'AUSM FGD'!F68</f>
        <v>0</v>
      </c>
      <c r="E45" s="921">
        <f>B45-D45</f>
        <v>126417532</v>
      </c>
      <c r="F45" s="754">
        <f t="shared" ref="F45:F53" si="9">B45-(SUM(D45:E45))</f>
        <v>0</v>
      </c>
      <c r="G45" s="492"/>
      <c r="J45" s="320" t="s">
        <v>552</v>
      </c>
      <c r="K45" s="1161" t="s">
        <v>551</v>
      </c>
      <c r="L45" s="1162"/>
      <c r="M45" s="1162"/>
      <c r="N45" s="1162"/>
      <c r="O45" s="1163"/>
    </row>
    <row r="46" spans="1:30">
      <c r="A46" s="490" t="s">
        <v>181</v>
      </c>
      <c r="B46" s="669">
        <f>'AUSM FGD'!M69</f>
        <v>38679284</v>
      </c>
      <c r="C46" s="669"/>
      <c r="D46" s="723">
        <f>'AUSM FGD'!F69</f>
        <v>0</v>
      </c>
      <c r="E46" s="754"/>
      <c r="F46" s="754">
        <f t="shared" si="9"/>
        <v>38679284</v>
      </c>
      <c r="H46" s="965" t="s">
        <v>553</v>
      </c>
      <c r="I46" s="966">
        <f>ROUND(F46/$C$6,0)</f>
        <v>196342</v>
      </c>
      <c r="J46" s="320" t="s">
        <v>554</v>
      </c>
      <c r="K46" s="723">
        <f t="shared" ref="K46:K50" si="10">F46</f>
        <v>38679284</v>
      </c>
      <c r="L46" s="723">
        <f>K46</f>
        <v>38679284</v>
      </c>
      <c r="M46" s="723"/>
      <c r="N46" s="723"/>
      <c r="O46" s="723"/>
    </row>
    <row r="47" spans="1:30">
      <c r="A47" s="490" t="s">
        <v>182</v>
      </c>
      <c r="B47" s="669">
        <f>'AUSM FGD'!M70</f>
        <v>15621</v>
      </c>
      <c r="C47" s="669"/>
      <c r="D47" s="723">
        <f>'AUSM FGD'!F70</f>
        <v>0</v>
      </c>
      <c r="E47" s="754"/>
      <c r="F47" s="754">
        <f t="shared" si="9"/>
        <v>15621</v>
      </c>
      <c r="J47" s="320" t="s">
        <v>555</v>
      </c>
      <c r="K47" s="723">
        <f t="shared" si="10"/>
        <v>15621</v>
      </c>
      <c r="L47" s="723"/>
      <c r="M47" s="723">
        <f>K47</f>
        <v>15621</v>
      </c>
      <c r="N47" s="723"/>
      <c r="O47" s="723"/>
    </row>
    <row r="48" spans="1:30">
      <c r="A48" s="490" t="s">
        <v>183</v>
      </c>
      <c r="B48" s="669">
        <f>'AUSM FGD'!M71</f>
        <v>24622557</v>
      </c>
      <c r="C48" s="669"/>
      <c r="D48" s="723">
        <f>'AUSM FGD'!F71</f>
        <v>0</v>
      </c>
      <c r="E48" s="754"/>
      <c r="F48" s="754">
        <f t="shared" si="9"/>
        <v>24622557</v>
      </c>
      <c r="H48" s="965" t="s">
        <v>556</v>
      </c>
      <c r="I48" s="966">
        <f>ROUND(F48/$C$6,0)</f>
        <v>124988</v>
      </c>
      <c r="J48" s="320" t="s">
        <v>557</v>
      </c>
      <c r="K48" s="723">
        <f t="shared" si="10"/>
        <v>24622557</v>
      </c>
      <c r="L48" s="723"/>
      <c r="M48" s="723"/>
      <c r="N48" s="723">
        <f>K48</f>
        <v>24622557</v>
      </c>
      <c r="O48" s="723"/>
    </row>
    <row r="49" spans="1:30">
      <c r="A49" s="490" t="s">
        <v>184</v>
      </c>
      <c r="B49" s="669">
        <f>'AUSM FGD'!M72</f>
        <v>2570508</v>
      </c>
      <c r="C49" s="669"/>
      <c r="D49" s="723">
        <f>'AUSM FGD'!F72</f>
        <v>0</v>
      </c>
      <c r="E49" s="754"/>
      <c r="F49" s="754">
        <f t="shared" si="9"/>
        <v>2570508</v>
      </c>
      <c r="J49" s="320" t="s">
        <v>558</v>
      </c>
      <c r="K49" s="723">
        <f t="shared" si="10"/>
        <v>2570508</v>
      </c>
      <c r="L49" s="723"/>
      <c r="M49" s="723"/>
      <c r="N49" s="723">
        <f>K49</f>
        <v>2570508</v>
      </c>
      <c r="O49" s="723"/>
    </row>
    <row r="50" spans="1:30">
      <c r="A50" s="490" t="s">
        <v>185</v>
      </c>
      <c r="B50" s="669">
        <f>'AUSM FGD'!M73</f>
        <v>2454481</v>
      </c>
      <c r="C50" s="669"/>
      <c r="D50" s="723">
        <f>'AUSM FGD'!F73</f>
        <v>0</v>
      </c>
      <c r="E50" s="754"/>
      <c r="F50" s="754">
        <f t="shared" si="9"/>
        <v>2454481</v>
      </c>
      <c r="J50" s="320" t="s">
        <v>559</v>
      </c>
      <c r="K50" s="723">
        <f t="shared" si="10"/>
        <v>2454481</v>
      </c>
      <c r="L50" s="723"/>
      <c r="M50" s="723">
        <f>K50</f>
        <v>2454481</v>
      </c>
      <c r="N50" s="723"/>
      <c r="O50" s="723"/>
    </row>
    <row r="51" spans="1:30">
      <c r="A51" s="490" t="s">
        <v>472</v>
      </c>
      <c r="B51" s="669">
        <f>'AUSM FGD'!M74</f>
        <v>967543</v>
      </c>
      <c r="C51" s="669"/>
      <c r="D51" s="969">
        <f>B51</f>
        <v>967543</v>
      </c>
      <c r="E51" s="754"/>
      <c r="F51" s="754">
        <f t="shared" si="9"/>
        <v>0</v>
      </c>
      <c r="J51" s="320" t="s">
        <v>560</v>
      </c>
      <c r="K51" s="967"/>
      <c r="L51" s="769"/>
      <c r="M51" s="769" t="s">
        <v>551</v>
      </c>
      <c r="N51" s="769"/>
      <c r="O51" s="968"/>
    </row>
    <row r="52" spans="1:30">
      <c r="A52" s="490" t="s">
        <v>187</v>
      </c>
      <c r="B52" s="669">
        <f>'AUSM FGD'!M75</f>
        <v>252133</v>
      </c>
      <c r="C52" s="669"/>
      <c r="D52" s="723">
        <f>'AUSM FGD'!F75</f>
        <v>0</v>
      </c>
      <c r="E52" s="754"/>
      <c r="F52" s="754">
        <f t="shared" si="9"/>
        <v>252133</v>
      </c>
      <c r="J52" s="320" t="s">
        <v>561</v>
      </c>
      <c r="K52" s="723">
        <f t="shared" ref="K52:K53" si="11">F52</f>
        <v>252133</v>
      </c>
      <c r="L52" s="723"/>
      <c r="M52" s="723"/>
      <c r="N52" s="723"/>
      <c r="O52" s="723">
        <f>K52</f>
        <v>252133</v>
      </c>
    </row>
    <row r="53" spans="1:30" ht="13.8" thickBot="1">
      <c r="A53" s="277" t="s">
        <v>1713</v>
      </c>
      <c r="B53" s="669">
        <f>'AUSM FGD'!M76</f>
        <v>2850</v>
      </c>
      <c r="C53" s="669"/>
      <c r="D53" s="723">
        <f>'AUSM FGD'!F76</f>
        <v>0</v>
      </c>
      <c r="E53" s="754"/>
      <c r="F53" s="754">
        <f t="shared" si="9"/>
        <v>2850</v>
      </c>
      <c r="G53" s="400"/>
      <c r="H53" s="965" t="s">
        <v>562</v>
      </c>
      <c r="I53" s="966">
        <f>ROUND(SUM(F43+F47+F49+F50+F52+F53)/$C$6,0)</f>
        <v>230538</v>
      </c>
      <c r="J53" s="400" t="s">
        <v>280</v>
      </c>
      <c r="K53" s="723">
        <f t="shared" si="11"/>
        <v>2850</v>
      </c>
      <c r="L53" s="970"/>
      <c r="M53" s="970"/>
      <c r="N53" s="970"/>
      <c r="O53" s="723">
        <f>K53</f>
        <v>2850</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248424400</v>
      </c>
      <c r="C54" s="972">
        <f>SUM(C42:C53)</f>
        <v>0</v>
      </c>
      <c r="D54" s="972">
        <f>SUM(D42:D53)</f>
        <v>967543</v>
      </c>
      <c r="E54" s="973">
        <f>SUM(E43:E53)</f>
        <v>130521694</v>
      </c>
      <c r="F54" s="974">
        <f>SUM(F42:F53)</f>
        <v>116935163</v>
      </c>
      <c r="G54" s="1174" t="s">
        <v>563</v>
      </c>
      <c r="H54" s="1175"/>
      <c r="I54" s="975" t="s">
        <v>623</v>
      </c>
      <c r="J54" s="400" t="s">
        <v>564</v>
      </c>
      <c r="K54" s="976">
        <f>SUM(K42:K53)</f>
        <v>116935163</v>
      </c>
      <c r="L54" s="976">
        <f t="shared" ref="L54:O54" si="12">SUM(L42:L53)</f>
        <v>87017013</v>
      </c>
      <c r="M54" s="976">
        <f t="shared" si="12"/>
        <v>2470102</v>
      </c>
      <c r="N54" s="976">
        <f t="shared" si="12"/>
        <v>27193065</v>
      </c>
      <c r="O54" s="976">
        <f t="shared" si="12"/>
        <v>254983</v>
      </c>
    </row>
    <row r="55" spans="1:30" ht="14.25" customHeight="1" thickTop="1" thickBot="1">
      <c r="C55" s="277"/>
      <c r="F55" s="931"/>
      <c r="G55" s="1176"/>
      <c r="H55" s="1177"/>
      <c r="I55" s="977">
        <f>ROUND(F54/C6,0)</f>
        <v>593580</v>
      </c>
      <c r="J55" s="1153" t="s">
        <v>565</v>
      </c>
      <c r="K55" s="970"/>
      <c r="L55" s="970"/>
      <c r="M55" s="970"/>
      <c r="N55" s="970"/>
      <c r="O55" s="970"/>
    </row>
    <row r="56" spans="1:30" ht="16.5" customHeight="1" thickBot="1">
      <c r="A56" s="279" t="s">
        <v>473</v>
      </c>
      <c r="C56" s="277"/>
      <c r="F56" s="978"/>
      <c r="G56" s="1178"/>
      <c r="H56" s="1179"/>
      <c r="I56" s="951" t="s">
        <v>624</v>
      </c>
      <c r="J56" s="1153"/>
      <c r="K56" s="979"/>
      <c r="L56" s="979"/>
      <c r="M56" s="979"/>
      <c r="N56" s="979"/>
      <c r="O56" s="979"/>
      <c r="P56" s="333"/>
      <c r="Q56" s="333"/>
      <c r="R56" s="333"/>
      <c r="S56" s="333"/>
      <c r="T56" s="333"/>
      <c r="U56" s="333"/>
      <c r="V56" s="333"/>
      <c r="W56" s="333"/>
      <c r="X56" s="333"/>
      <c r="Y56" s="333"/>
      <c r="Z56" s="333"/>
      <c r="AA56" s="333"/>
      <c r="AB56" s="333"/>
      <c r="AC56" s="333"/>
      <c r="AD56" s="333"/>
    </row>
    <row r="57" spans="1:30" ht="13.8" thickTop="1">
      <c r="A57" s="277" t="s">
        <v>474</v>
      </c>
      <c r="B57" s="669">
        <f>'AUSM FGD'!M80</f>
        <v>-4051203</v>
      </c>
      <c r="C57" s="669"/>
      <c r="D57" s="492">
        <f>'AUSM FGD'!F80</f>
        <v>0</v>
      </c>
      <c r="E57" s="492"/>
      <c r="F57" s="980">
        <f t="shared" ref="F57:F60" si="13">B57-(SUM(D57:E57))</f>
        <v>-4051203</v>
      </c>
      <c r="G57" s="930"/>
      <c r="I57" s="981">
        <f>ROUND($F$54/$I$8,0)</f>
        <v>402808</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'AUSM FGD'!M81</f>
        <v>8908103</v>
      </c>
      <c r="C58" s="669"/>
      <c r="D58" s="982">
        <f>'AUSM FGD'!F81</f>
        <v>0</v>
      </c>
      <c r="E58" s="915"/>
      <c r="F58" s="754">
        <f t="shared" si="13"/>
        <v>8908103</v>
      </c>
      <c r="K58" s="980"/>
      <c r="L58" s="980"/>
      <c r="M58" s="980"/>
      <c r="N58" s="980"/>
      <c r="O58" s="980"/>
    </row>
    <row r="59" spans="1:30">
      <c r="A59" s="983" t="s">
        <v>567</v>
      </c>
      <c r="B59" s="669">
        <f>'AUSM FGD'!M82</f>
        <v>1515547</v>
      </c>
      <c r="C59" s="669"/>
      <c r="D59" s="982">
        <f>'AUSM FGD'!F82</f>
        <v>0</v>
      </c>
      <c r="E59" s="915"/>
      <c r="F59" s="754">
        <f t="shared" si="13"/>
        <v>1515547</v>
      </c>
      <c r="G59" s="400"/>
      <c r="J59" s="400"/>
      <c r="K59" s="400"/>
      <c r="L59" s="400"/>
      <c r="M59" s="400"/>
      <c r="N59" s="400"/>
      <c r="O59" s="400"/>
    </row>
    <row r="60" spans="1:30" ht="12" customHeight="1">
      <c r="A60" s="277" t="s">
        <v>477</v>
      </c>
      <c r="B60" s="669">
        <f>'AUSM FGD'!M83</f>
        <v>-14422846</v>
      </c>
      <c r="C60" s="669"/>
      <c r="D60" s="982">
        <f>'AUSM FGD'!F83</f>
        <v>-3187303</v>
      </c>
      <c r="E60" s="915"/>
      <c r="F60" s="754">
        <f t="shared" si="13"/>
        <v>-11235543</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-8050399</v>
      </c>
      <c r="C61" s="937"/>
      <c r="D61" s="937">
        <f>SUM(D57:D60)</f>
        <v>-3187303</v>
      </c>
      <c r="E61" s="937">
        <f>SUM(E57:E60)</f>
        <v>0</v>
      </c>
      <c r="F61" s="984">
        <f>SUM(F57:F60)</f>
        <v>-4863096</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'AUSM FGD'!M87</f>
        <v>-6165859</v>
      </c>
      <c r="C64" s="669"/>
      <c r="D64" s="492">
        <f>'AUSM FGD'!F87</f>
        <v>0</v>
      </c>
      <c r="E64" s="492"/>
      <c r="F64" s="492">
        <f t="shared" ref="F64:F65" si="14">B64-(SUM(D64:E64))</f>
        <v>-6165859</v>
      </c>
      <c r="O64" s="320"/>
    </row>
    <row r="65" spans="1:30">
      <c r="A65" s="277" t="s">
        <v>480</v>
      </c>
      <c r="B65" s="669">
        <f>'AUSM FGD'!M88</f>
        <v>2065831</v>
      </c>
      <c r="C65" s="669"/>
      <c r="D65" s="982">
        <f>'AUSM FGD'!F88</f>
        <v>0</v>
      </c>
      <c r="E65" s="915"/>
      <c r="F65" s="754">
        <f t="shared" si="14"/>
        <v>2065831</v>
      </c>
      <c r="O65" s="320"/>
      <c r="P65" s="333"/>
      <c r="Q65" s="333"/>
      <c r="R65" s="333"/>
      <c r="S65" s="333"/>
      <c r="T65" s="333"/>
      <c r="U65" s="333"/>
      <c r="V65" s="333"/>
      <c r="W65" s="333"/>
      <c r="X65" s="333"/>
      <c r="Y65" s="333"/>
      <c r="Z65" s="333"/>
      <c r="AA65" s="333"/>
      <c r="AB65" s="333"/>
      <c r="AC65" s="333"/>
      <c r="AD65" s="333"/>
    </row>
    <row r="66" spans="1:30">
      <c r="A66" s="936" t="s">
        <v>155</v>
      </c>
      <c r="B66" s="937">
        <f>SUM(B64:B65)</f>
        <v>-4100028</v>
      </c>
      <c r="C66" s="937"/>
      <c r="D66" s="937">
        <f>SUM(D64:D65)</f>
        <v>0</v>
      </c>
      <c r="E66" s="937">
        <f>SUM(E64:E65)</f>
        <v>0</v>
      </c>
      <c r="F66" s="937">
        <f>SUM(F64:F65)</f>
        <v>-4100028</v>
      </c>
      <c r="O66" s="320"/>
    </row>
    <row r="67" spans="1:30">
      <c r="C67" s="277"/>
      <c r="O67" s="320"/>
    </row>
    <row r="68" spans="1:30" ht="13.8" thickBot="1">
      <c r="A68" s="985" t="s">
        <v>572</v>
      </c>
      <c r="B68" s="590">
        <f>B39-B54+B61+B66</f>
        <v>-17474603</v>
      </c>
      <c r="C68" s="590"/>
      <c r="D68" s="590">
        <f>D39-D54+D61+D66</f>
        <v>-1006729</v>
      </c>
      <c r="E68" s="590">
        <f>E39-E54+E61+E66</f>
        <v>-116422470</v>
      </c>
      <c r="F68" s="590">
        <f>F39-F54+F61+F66</f>
        <v>99954596</v>
      </c>
      <c r="O68" s="320"/>
    </row>
    <row r="69" spans="1:30" ht="13.8" thickTop="1"/>
    <row r="70" spans="1:30">
      <c r="A70" s="320" t="s">
        <v>573</v>
      </c>
      <c r="D70" s="492"/>
    </row>
    <row r="71" spans="1:30">
      <c r="A71" s="277" t="s">
        <v>7</v>
      </c>
    </row>
    <row r="72" spans="1:30">
      <c r="B72" s="986">
        <f>'AUSM FGD'!$M$91</f>
        <v>-17474603</v>
      </c>
      <c r="C72" s="277"/>
      <c r="D72" s="986">
        <f>'AUSM FGD'!F91</f>
        <v>-1006729</v>
      </c>
      <c r="E72" s="986">
        <f>'AUSM FGD'!M50</f>
        <v>12639757</v>
      </c>
      <c r="F72" s="277"/>
    </row>
    <row r="73" spans="1:30">
      <c r="B73" s="986"/>
      <c r="C73" s="277"/>
      <c r="D73" s="986">
        <f>'AUSM FGD'!F74</f>
        <v>967543</v>
      </c>
      <c r="E73" s="986">
        <f>'AUSM FGD'!M53</f>
        <v>1459467</v>
      </c>
      <c r="F73" s="986"/>
    </row>
    <row r="74" spans="1:30">
      <c r="B74" s="986"/>
      <c r="C74" s="277"/>
      <c r="D74" s="986">
        <f>-'AUSM FGD'!M74</f>
        <v>-967543</v>
      </c>
      <c r="E74" s="986">
        <f>-'AUSM FGD'!M68</f>
        <v>-126417532</v>
      </c>
      <c r="F74" s="986"/>
    </row>
    <row r="75" spans="1:30">
      <c r="B75" s="986"/>
      <c r="C75" s="277"/>
      <c r="D75" s="986"/>
      <c r="E75" s="986">
        <f>-'AUSM FGD'!M67</f>
        <v>-4104162</v>
      </c>
      <c r="F75" s="986"/>
    </row>
    <row r="76" spans="1:30" ht="12.75" customHeight="1">
      <c r="B76" s="987"/>
      <c r="C76" s="277"/>
      <c r="D76" s="987"/>
      <c r="E76" s="987">
        <f>-D26</f>
        <v>0</v>
      </c>
      <c r="F76" s="986"/>
    </row>
    <row r="77" spans="1:30" ht="12.75" customHeight="1">
      <c r="B77" s="986">
        <f>SUM(B72:B76)</f>
        <v>-17474603</v>
      </c>
      <c r="C77" s="277"/>
      <c r="D77" s="986">
        <f>SUM(D72:D76)</f>
        <v>-1006729</v>
      </c>
      <c r="E77" s="986">
        <f>SUM(E72:E76)</f>
        <v>-116422470</v>
      </c>
      <c r="F77" s="986">
        <f>B77-D77-E77</f>
        <v>99954596</v>
      </c>
    </row>
    <row r="78" spans="1:30" ht="12.75" customHeight="1">
      <c r="B78" s="986"/>
      <c r="C78" s="277"/>
      <c r="D78" s="986"/>
      <c r="E78" s="986"/>
      <c r="F78" s="986"/>
    </row>
    <row r="79" spans="1:30" ht="12.75" customHeight="1">
      <c r="B79" s="987"/>
      <c r="C79" s="538"/>
      <c r="D79" s="987"/>
      <c r="E79" s="987"/>
      <c r="F79" s="987"/>
    </row>
    <row r="80" spans="1:30" ht="12.75" customHeight="1">
      <c r="B80" s="986">
        <f>SUM(B77:B79)</f>
        <v>-17474603</v>
      </c>
      <c r="C80" s="277"/>
      <c r="D80" s="986">
        <f>SUM(D77:D79)</f>
        <v>-1006729</v>
      </c>
      <c r="E80" s="986">
        <f>SUM(E77:E79)</f>
        <v>-116422470</v>
      </c>
      <c r="F80" s="986">
        <f>SUM(F77:F79)</f>
        <v>99954596</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6">
    <mergeCell ref="K35:O35"/>
    <mergeCell ref="F1:I1"/>
    <mergeCell ref="J1:O1"/>
    <mergeCell ref="D4:D5"/>
    <mergeCell ref="E4:E5"/>
    <mergeCell ref="K36:O36"/>
    <mergeCell ref="K37:K40"/>
    <mergeCell ref="L37:L40"/>
    <mergeCell ref="M37:M40"/>
    <mergeCell ref="N37:N40"/>
    <mergeCell ref="O37:O40"/>
    <mergeCell ref="G38:H38"/>
    <mergeCell ref="G39:H39"/>
    <mergeCell ref="K45:O45"/>
    <mergeCell ref="J55:J56"/>
    <mergeCell ref="G54:H56"/>
  </mergeCells>
  <hyperlinks>
    <hyperlink ref="D1" location="Index!A1" display="Return to Index" xr:uid="{00000000-0004-0000-3F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indexed="11"/>
    <pageSetUpPr fitToPage="1"/>
  </sheetPr>
  <dimension ref="A1:AB123"/>
  <sheetViews>
    <sheetView showGridLines="0" zoomScale="75" zoomScaleNormal="75" workbookViewId="0">
      <pane xSplit="2" ySplit="8" topLeftCell="D9"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5.5546875" style="751" customWidth="1"/>
    <col min="13" max="13" width="17" style="751" customWidth="1"/>
    <col min="14" max="14" width="5.44140625" style="751" customWidth="1"/>
    <col min="15" max="15" width="16.664062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N1" s="656">
        <v>12</v>
      </c>
      <c r="O1" s="322"/>
      <c r="P1" s="322"/>
      <c r="Q1" s="322"/>
      <c r="R1" s="322"/>
      <c r="S1" s="322"/>
      <c r="T1" s="322"/>
      <c r="U1" s="322"/>
      <c r="V1" s="322"/>
      <c r="W1" s="322"/>
      <c r="X1" s="322"/>
      <c r="Y1" s="322"/>
      <c r="Z1" s="322"/>
      <c r="AA1" s="322"/>
      <c r="AB1" s="322"/>
    </row>
    <row r="2" spans="1:28" ht="21">
      <c r="A2" s="656">
        <v>1</v>
      </c>
      <c r="B2" s="1168" t="str">
        <f>'AUSM Chts'!$A$1</f>
        <v>The University of Texas at Austin Medical School (M)</v>
      </c>
      <c r="C2" s="1168"/>
      <c r="D2" s="1168"/>
      <c r="E2" s="1168"/>
      <c r="F2" s="1168"/>
      <c r="H2" s="750"/>
      <c r="I2" s="752" t="str">
        <f>IF($B$2&lt;&gt;Input!$H$17,"Name Mismatch","")</f>
        <v/>
      </c>
      <c r="J2" s="750"/>
      <c r="K2" s="750"/>
      <c r="L2" s="750"/>
      <c r="M2" s="672"/>
      <c r="O2" s="321" t="s">
        <v>51</v>
      </c>
      <c r="P2" s="334"/>
    </row>
    <row r="3" spans="1:28" ht="21">
      <c r="A3" s="656">
        <v>2</v>
      </c>
      <c r="B3" s="1168" t="str">
        <f>'Smmy Chts'!$A$2</f>
        <v>For the Year Ended August 31, 2022</v>
      </c>
      <c r="C3" s="1168"/>
      <c r="D3" s="1168"/>
      <c r="E3" s="1168"/>
      <c r="F3" s="1168"/>
      <c r="G3" s="750"/>
      <c r="H3" s="750"/>
      <c r="I3" s="750"/>
      <c r="J3" s="750"/>
      <c r="K3" s="750"/>
      <c r="L3" s="750"/>
      <c r="M3" s="672"/>
      <c r="O3" s="754"/>
    </row>
    <row r="4" spans="1:28" ht="21">
      <c r="A4" s="656">
        <v>3</v>
      </c>
      <c r="B4" s="1168" t="str">
        <f>'Smmy Chts'!$A$3</f>
        <v>Source: FY 2022 Annual Financial Report</v>
      </c>
      <c r="C4" s="1168"/>
      <c r="D4" s="1168"/>
      <c r="E4" s="1168"/>
      <c r="F4" s="1168"/>
      <c r="G4" s="750"/>
      <c r="H4" s="750"/>
      <c r="I4" s="750"/>
      <c r="J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Input!$M$17</f>
        <v>16760652</v>
      </c>
      <c r="E10" s="762">
        <f>Input!$N$17</f>
        <v>0</v>
      </c>
      <c r="F10" s="762">
        <f>Input!$O$17</f>
        <v>0</v>
      </c>
      <c r="G10" s="762">
        <f>Input!$P$17</f>
        <v>0</v>
      </c>
      <c r="H10" s="762">
        <f>Input!$Q$17</f>
        <v>0</v>
      </c>
      <c r="I10" s="762">
        <f>Input!$R$17</f>
        <v>0</v>
      </c>
      <c r="J10" s="762">
        <f>Input!$S$17</f>
        <v>0</v>
      </c>
      <c r="K10" s="762">
        <f>Input!$T$17</f>
        <v>0</v>
      </c>
      <c r="L10" s="762">
        <f>Input!$U$17</f>
        <v>0</v>
      </c>
      <c r="M10" s="723">
        <f t="shared" ref="M10:M15" si="0">D10+E10+F10+G10+H10+I10+J10+K10+L10</f>
        <v>16760652</v>
      </c>
      <c r="O10" s="763"/>
      <c r="P10" s="1200" t="s">
        <v>627</v>
      </c>
      <c r="Q10" s="320"/>
      <c r="R10" s="320"/>
      <c r="S10" s="320"/>
      <c r="V10" s="320"/>
      <c r="W10" s="320"/>
      <c r="X10" s="320"/>
      <c r="Y10" s="320"/>
      <c r="Z10" s="320"/>
      <c r="AA10" s="320"/>
      <c r="AB10" s="320"/>
    </row>
    <row r="11" spans="1:28" s="752" customFormat="1">
      <c r="A11" s="460">
        <v>10</v>
      </c>
      <c r="B11" s="752" t="s">
        <v>134</v>
      </c>
      <c r="D11" s="762">
        <f>Input!$V$17</f>
        <v>0</v>
      </c>
      <c r="E11" s="762">
        <f>Input!$W$17</f>
        <v>725865</v>
      </c>
      <c r="F11" s="762">
        <f>Input!$X$17</f>
        <v>0</v>
      </c>
      <c r="G11" s="762">
        <f>Input!$Y$17</f>
        <v>3719461</v>
      </c>
      <c r="H11" s="762">
        <f>Input!$Z$17</f>
        <v>0</v>
      </c>
      <c r="I11" s="762">
        <f>Input!$AA$17</f>
        <v>0</v>
      </c>
      <c r="J11" s="762">
        <f>Input!$AB$17</f>
        <v>0</v>
      </c>
      <c r="K11" s="762">
        <f>Input!$AC$17</f>
        <v>0</v>
      </c>
      <c r="L11" s="762">
        <f>Input!$AD$17</f>
        <v>0</v>
      </c>
      <c r="M11" s="723">
        <f t="shared" si="0"/>
        <v>4445326</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Input!$AN$17</f>
        <v>0</v>
      </c>
      <c r="E13" s="762">
        <f>Input!$AO$17</f>
        <v>0</v>
      </c>
      <c r="F13" s="762">
        <f>Input!$AP$17</f>
        <v>0</v>
      </c>
      <c r="G13" s="762">
        <f>Input!$AQ$17</f>
        <v>0</v>
      </c>
      <c r="H13" s="762">
        <f>Input!$AR$17</f>
        <v>0</v>
      </c>
      <c r="I13" s="762">
        <f>Input!$AS$17</f>
        <v>0</v>
      </c>
      <c r="J13" s="762">
        <f>Input!$AT$17</f>
        <v>0</v>
      </c>
      <c r="K13" s="762">
        <f>Input!$AU$17</f>
        <v>0</v>
      </c>
      <c r="L13" s="762">
        <f>Input!$AV$17</f>
        <v>0</v>
      </c>
      <c r="M13" s="723">
        <f t="shared" si="0"/>
        <v>0</v>
      </c>
      <c r="O13" s="764" t="str">
        <f>IF(P13&lt;&gt;M13,"Out of Balance","Balanced")</f>
        <v>Balanced</v>
      </c>
      <c r="P13" s="767">
        <f>IFERROR(VLOOKUP($B$2,AMTLU,6,FALSE),0)</f>
        <v>0</v>
      </c>
      <c r="Q13" s="320"/>
      <c r="R13" s="320"/>
      <c r="S13" s="320"/>
      <c r="V13" s="320"/>
      <c r="W13" s="320"/>
      <c r="X13" s="320"/>
      <c r="Y13" s="320"/>
      <c r="Z13" s="320"/>
      <c r="AA13" s="320"/>
      <c r="AB13" s="320"/>
    </row>
    <row r="14" spans="1:28" s="752" customFormat="1" ht="15">
      <c r="A14" s="460">
        <v>13</v>
      </c>
      <c r="B14" s="752" t="s">
        <v>135</v>
      </c>
      <c r="D14" s="762">
        <f>Input!$AW$17</f>
        <v>25010190</v>
      </c>
      <c r="E14" s="762">
        <f>Input!$AX$17</f>
        <v>0</v>
      </c>
      <c r="F14" s="762">
        <f>Input!$AY$17</f>
        <v>0</v>
      </c>
      <c r="G14" s="762">
        <f>Input!$AZ$17</f>
        <v>0</v>
      </c>
      <c r="H14" s="762">
        <f>Input!$BA$17</f>
        <v>0</v>
      </c>
      <c r="I14" s="762">
        <f>Input!$BB$17</f>
        <v>0</v>
      </c>
      <c r="J14" s="762">
        <f>Input!$BC$17</f>
        <v>0</v>
      </c>
      <c r="K14" s="762">
        <f>Input!$BD$17</f>
        <v>0</v>
      </c>
      <c r="L14" s="762">
        <f>Input!$BE$17</f>
        <v>0</v>
      </c>
      <c r="M14" s="723">
        <f t="shared" si="0"/>
        <v>25010190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41770842</v>
      </c>
      <c r="E15" s="769">
        <f t="shared" ref="E15:L15" si="1">SUM(E10:E14)</f>
        <v>725865</v>
      </c>
      <c r="F15" s="769">
        <f t="shared" si="1"/>
        <v>0</v>
      </c>
      <c r="G15" s="769">
        <f t="shared" si="1"/>
        <v>3719461</v>
      </c>
      <c r="H15" s="769">
        <f t="shared" si="1"/>
        <v>0</v>
      </c>
      <c r="I15" s="769">
        <f t="shared" si="1"/>
        <v>0</v>
      </c>
      <c r="J15" s="769">
        <f t="shared" si="1"/>
        <v>0</v>
      </c>
      <c r="K15" s="769">
        <f t="shared" si="1"/>
        <v>0</v>
      </c>
      <c r="L15" s="769">
        <f t="shared" si="1"/>
        <v>0</v>
      </c>
      <c r="M15" s="769">
        <f t="shared" si="0"/>
        <v>46216168</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1365995</v>
      </c>
      <c r="E18" s="769">
        <f t="shared" si="2"/>
        <v>2437306</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3803301</v>
      </c>
      <c r="V18" s="723"/>
      <c r="X18" s="492"/>
    </row>
    <row r="19" spans="1:26" s="320" customFormat="1" ht="12.75" customHeight="1" thickTop="1" thickBot="1">
      <c r="A19" s="322"/>
      <c r="B19" s="320" t="s">
        <v>592</v>
      </c>
      <c r="D19" s="762">
        <f>Input!$BF$17</f>
        <v>0</v>
      </c>
      <c r="E19" s="762">
        <f>Input!$BG$17</f>
        <v>0</v>
      </c>
      <c r="F19" s="762">
        <f>Input!$BH$17</f>
        <v>0</v>
      </c>
      <c r="G19" s="762">
        <f>Input!$BI$17</f>
        <v>0</v>
      </c>
      <c r="H19" s="762">
        <f>Input!$BJ$17</f>
        <v>0</v>
      </c>
      <c r="I19" s="762">
        <f>Input!BK6</f>
        <v>0</v>
      </c>
      <c r="J19" s="762">
        <f>Input!$BL$17</f>
        <v>0</v>
      </c>
      <c r="K19" s="762">
        <f>Input!BM6</f>
        <v>0</v>
      </c>
      <c r="L19" s="762">
        <f>Input!BN6</f>
        <v>0</v>
      </c>
      <c r="M19" s="723">
        <f t="shared" si="3"/>
        <v>0</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Input!$BO$17</f>
        <v>0</v>
      </c>
      <c r="E20" s="762">
        <f>Input!$BP$17</f>
        <v>0</v>
      </c>
      <c r="F20" s="762">
        <f>Input!$BQ$17</f>
        <v>0</v>
      </c>
      <c r="G20" s="762">
        <f>Input!$BR$17</f>
        <v>0</v>
      </c>
      <c r="H20" s="762">
        <f>Input!$BS$17</f>
        <v>0</v>
      </c>
      <c r="I20" s="762">
        <f>Input!$BT$17</f>
        <v>0</v>
      </c>
      <c r="J20" s="762">
        <f>Input!BU6</f>
        <v>0</v>
      </c>
      <c r="K20" s="762">
        <f>Input!BV6</f>
        <v>0</v>
      </c>
      <c r="L20" s="762">
        <f>Input!$BW$17</f>
        <v>0</v>
      </c>
      <c r="M20" s="723">
        <f t="shared" si="3"/>
        <v>0</v>
      </c>
      <c r="O20" s="773" t="s">
        <v>631</v>
      </c>
      <c r="P20" s="774"/>
      <c r="Q20" s="774"/>
      <c r="R20" s="774"/>
      <c r="S20" s="775"/>
      <c r="U20" s="776" t="s">
        <v>252</v>
      </c>
      <c r="Y20" s="777"/>
    </row>
    <row r="21" spans="1:26" s="320" customFormat="1">
      <c r="A21" s="322"/>
      <c r="B21" s="320" t="s">
        <v>594</v>
      </c>
      <c r="D21" s="762">
        <f>Input!$BX$17</f>
        <v>0</v>
      </c>
      <c r="E21" s="762">
        <f>Input!$BY$17</f>
        <v>0</v>
      </c>
      <c r="F21" s="762">
        <f>Input!$BZ$17</f>
        <v>0</v>
      </c>
      <c r="G21" s="762">
        <f>Input!$CA$17</f>
        <v>0</v>
      </c>
      <c r="H21" s="762">
        <f>Input!$CB$17</f>
        <v>0</v>
      </c>
      <c r="I21" s="762">
        <f>Input!$CC$17</f>
        <v>0</v>
      </c>
      <c r="J21" s="762">
        <f>Input!$CD$17</f>
        <v>0</v>
      </c>
      <c r="K21" s="762">
        <f>Input!$CE$17</f>
        <v>0</v>
      </c>
      <c r="L21" s="762">
        <f>Input!$CF$17</f>
        <v>0</v>
      </c>
      <c r="M21" s="723">
        <f t="shared" si="3"/>
        <v>0</v>
      </c>
      <c r="O21" s="778"/>
      <c r="R21" s="492"/>
      <c r="S21" s="779"/>
      <c r="U21" s="780" t="s">
        <v>632</v>
      </c>
      <c r="X21" s="781">
        <f>M44</f>
        <v>3489213</v>
      </c>
      <c r="Y21" s="777"/>
      <c r="Z21" s="492"/>
    </row>
    <row r="22" spans="1:26" s="320" customFormat="1">
      <c r="A22" s="322"/>
      <c r="B22" s="320" t="s">
        <v>595</v>
      </c>
      <c r="D22" s="762">
        <f>Input!$CG$17</f>
        <v>0</v>
      </c>
      <c r="E22" s="762">
        <f>Input!$CH$17</f>
        <v>0</v>
      </c>
      <c r="F22" s="762">
        <f>Input!$CI$17</f>
        <v>0</v>
      </c>
      <c r="G22" s="762">
        <f>Input!$CJ$17</f>
        <v>0</v>
      </c>
      <c r="H22" s="762">
        <f>Input!$CK$17</f>
        <v>0</v>
      </c>
      <c r="I22" s="762">
        <f>Input!$CL$17</f>
        <v>0</v>
      </c>
      <c r="J22" s="762">
        <f>Input!$CM$17</f>
        <v>0</v>
      </c>
      <c r="K22" s="762">
        <f>Input!$CN$17</f>
        <v>0</v>
      </c>
      <c r="L22" s="762">
        <f>Input!$CO$17</f>
        <v>0</v>
      </c>
      <c r="M22" s="723">
        <f t="shared" si="3"/>
        <v>0</v>
      </c>
      <c r="N22" s="406"/>
      <c r="O22" s="778" t="s">
        <v>633</v>
      </c>
      <c r="Q22" s="492">
        <f>M23</f>
        <v>3803301</v>
      </c>
      <c r="S22" s="782"/>
      <c r="U22" s="780" t="s">
        <v>634</v>
      </c>
      <c r="X22" s="783">
        <f>R30*-1</f>
        <v>1471585</v>
      </c>
      <c r="Y22" s="777"/>
    </row>
    <row r="23" spans="1:26" s="320" customFormat="1" ht="12.75" customHeight="1">
      <c r="A23" s="322"/>
      <c r="B23" s="772" t="s">
        <v>233</v>
      </c>
      <c r="C23" s="784"/>
      <c r="D23" s="785">
        <f>Input!$CP$17</f>
        <v>1365995</v>
      </c>
      <c r="E23" s="785">
        <f>Input!$CQ$17</f>
        <v>2437306</v>
      </c>
      <c r="F23" s="785">
        <f>Input!$CR$17</f>
        <v>0</v>
      </c>
      <c r="G23" s="785">
        <f>Input!$CS$17</f>
        <v>0</v>
      </c>
      <c r="H23" s="785">
        <f>Input!$CT$17</f>
        <v>0</v>
      </c>
      <c r="I23" s="785">
        <f>Input!$CU$17</f>
        <v>0</v>
      </c>
      <c r="J23" s="785">
        <f>Input!$CV$17</f>
        <v>0</v>
      </c>
      <c r="K23" s="785">
        <f>Input!$CW$17</f>
        <v>0</v>
      </c>
      <c r="L23" s="785">
        <f>Input!$CX$17</f>
        <v>0</v>
      </c>
      <c r="M23" s="786">
        <f t="shared" si="3"/>
        <v>3803301</v>
      </c>
      <c r="O23" s="778"/>
      <c r="Q23" s="492"/>
      <c r="S23" s="782"/>
      <c r="U23" s="776" t="s">
        <v>635</v>
      </c>
      <c r="Y23" s="777">
        <f>SUM(X21:X22)</f>
        <v>4960798</v>
      </c>
      <c r="Z23" s="492"/>
    </row>
    <row r="24" spans="1:26" s="320" customFormat="1" ht="12.75" customHeight="1">
      <c r="A24" s="322"/>
      <c r="B24" s="320" t="s">
        <v>596</v>
      </c>
      <c r="C24" s="751"/>
      <c r="D24" s="762">
        <f>Input!$CY$17</f>
        <v>0</v>
      </c>
      <c r="E24" s="762">
        <f>Input!$CZ$17</f>
        <v>0</v>
      </c>
      <c r="F24" s="762">
        <f>Input!$DA$17</f>
        <v>0</v>
      </c>
      <c r="G24" s="762">
        <f>Input!$DB$17</f>
        <v>0</v>
      </c>
      <c r="H24" s="762">
        <f>Input!$DC$17</f>
        <v>0</v>
      </c>
      <c r="I24" s="762">
        <f>Input!$DD$17</f>
        <v>0</v>
      </c>
      <c r="J24" s="762">
        <f>Input!$DE$17</f>
        <v>0</v>
      </c>
      <c r="K24" s="762">
        <f>Input!$DF$17</f>
        <v>0</v>
      </c>
      <c r="L24" s="762">
        <f>Input!$DG$17</f>
        <v>0</v>
      </c>
      <c r="M24" s="650">
        <f t="shared" si="3"/>
        <v>0</v>
      </c>
      <c r="O24" s="787" t="s">
        <v>636</v>
      </c>
      <c r="Q24" s="723"/>
      <c r="R24" s="723">
        <f>SUM(M24:M28)</f>
        <v>-380153</v>
      </c>
      <c r="S24" s="782"/>
      <c r="U24" s="776"/>
      <c r="Y24" s="777"/>
      <c r="Z24" s="492"/>
    </row>
    <row r="25" spans="1:26" s="320" customFormat="1" ht="12.75" customHeight="1">
      <c r="A25" s="322"/>
      <c r="B25" s="320" t="s">
        <v>597</v>
      </c>
      <c r="C25" s="751"/>
      <c r="D25" s="762">
        <f>Input!$DH$17</f>
        <v>0</v>
      </c>
      <c r="E25" s="762">
        <f>Input!$DI$17</f>
        <v>0</v>
      </c>
      <c r="F25" s="762">
        <f>Input!$DJ$17</f>
        <v>0</v>
      </c>
      <c r="G25" s="762">
        <f>Input!$DK$17</f>
        <v>0</v>
      </c>
      <c r="H25" s="762">
        <f>Input!$DL$17</f>
        <v>0</v>
      </c>
      <c r="I25" s="762">
        <f>Input!$DM$17</f>
        <v>0</v>
      </c>
      <c r="J25" s="762">
        <f>Input!$DN$17</f>
        <v>0</v>
      </c>
      <c r="K25" s="762">
        <f>Input!$DO$17</f>
        <v>0</v>
      </c>
      <c r="L25" s="762">
        <f>Input!$DP$17</f>
        <v>0</v>
      </c>
      <c r="M25" s="650">
        <f t="shared" si="3"/>
        <v>0</v>
      </c>
      <c r="O25" s="778"/>
      <c r="Q25" s="723"/>
      <c r="R25" s="723"/>
      <c r="S25" s="782"/>
      <c r="U25" s="788" t="s">
        <v>637</v>
      </c>
      <c r="V25" s="789"/>
      <c r="W25" s="789"/>
      <c r="X25" s="790">
        <f>(M26+M39)*-1</f>
        <v>0</v>
      </c>
      <c r="Y25" s="777"/>
      <c r="Z25" s="492"/>
    </row>
    <row r="26" spans="1:26" s="320" customFormat="1" ht="12.75" customHeight="1">
      <c r="A26" s="322"/>
      <c r="B26" s="320" t="s">
        <v>598</v>
      </c>
      <c r="C26" s="751"/>
      <c r="D26" s="762">
        <f>Input!$DQ$17</f>
        <v>0</v>
      </c>
      <c r="E26" s="762">
        <f>Input!$DR$17</f>
        <v>0</v>
      </c>
      <c r="F26" s="762">
        <f>Input!$DS$17</f>
        <v>0</v>
      </c>
      <c r="G26" s="762">
        <f>Input!$DT$17</f>
        <v>0</v>
      </c>
      <c r="H26" s="762">
        <f>Input!$DU$17</f>
        <v>0</v>
      </c>
      <c r="I26" s="762">
        <f>Input!$DV$17</f>
        <v>0</v>
      </c>
      <c r="J26" s="762">
        <f>Input!$DW$17</f>
        <v>0</v>
      </c>
      <c r="K26" s="762">
        <f>Input!$DX$17</f>
        <v>0</v>
      </c>
      <c r="L26" s="762">
        <f>Input!$DY$17</f>
        <v>0</v>
      </c>
      <c r="M26" s="650">
        <f t="shared" si="3"/>
        <v>0</v>
      </c>
      <c r="O26" s="778" t="s">
        <v>638</v>
      </c>
      <c r="Q26" s="723">
        <f>M36</f>
        <v>1157497</v>
      </c>
      <c r="R26" s="791"/>
      <c r="S26" s="792"/>
      <c r="U26" s="776" t="s">
        <v>639</v>
      </c>
      <c r="X26" s="793">
        <f>(M21+M34)*-1</f>
        <v>0</v>
      </c>
      <c r="Y26" s="777"/>
      <c r="Z26" s="492"/>
    </row>
    <row r="27" spans="1:26" s="320" customFormat="1">
      <c r="A27" s="322"/>
      <c r="B27" s="320" t="s">
        <v>599</v>
      </c>
      <c r="C27" s="751"/>
      <c r="D27" s="762">
        <f>Input!$DZ$17</f>
        <v>0</v>
      </c>
      <c r="E27" s="762">
        <f>Input!$EA$17</f>
        <v>0</v>
      </c>
      <c r="F27" s="762">
        <f>Input!$EB$17</f>
        <v>0</v>
      </c>
      <c r="G27" s="762">
        <f>Input!$EC$17</f>
        <v>0</v>
      </c>
      <c r="H27" s="762">
        <f>Input!$ED$17</f>
        <v>0</v>
      </c>
      <c r="I27" s="762">
        <f>Input!$EE$17</f>
        <v>0</v>
      </c>
      <c r="J27" s="762">
        <f>Input!$EF$17</f>
        <v>0</v>
      </c>
      <c r="K27" s="762">
        <f>Input!$EG$17</f>
        <v>0</v>
      </c>
      <c r="L27" s="762">
        <f>Input!$EH$17</f>
        <v>0</v>
      </c>
      <c r="M27" s="650">
        <f t="shared" si="3"/>
        <v>0</v>
      </c>
      <c r="O27" s="778"/>
      <c r="Q27" s="723"/>
      <c r="R27" s="791"/>
      <c r="S27" s="792"/>
      <c r="U27" s="780" t="s">
        <v>640</v>
      </c>
      <c r="V27" s="314"/>
      <c r="W27" s="314"/>
      <c r="X27" s="794">
        <f>SUM(X25:X26)</f>
        <v>0</v>
      </c>
      <c r="Y27" s="721"/>
    </row>
    <row r="28" spans="1:26" s="320" customFormat="1">
      <c r="A28" s="322"/>
      <c r="B28" s="320" t="s">
        <v>600</v>
      </c>
      <c r="C28" s="751"/>
      <c r="D28" s="762">
        <f>Input!$EI$17</f>
        <v>-380153</v>
      </c>
      <c r="E28" s="762">
        <f>Input!$EJ$17</f>
        <v>0</v>
      </c>
      <c r="F28" s="762">
        <f>Input!$EK$17</f>
        <v>0</v>
      </c>
      <c r="G28" s="762">
        <f>Input!$EL$17</f>
        <v>0</v>
      </c>
      <c r="H28" s="762">
        <f>Input!$EM$17</f>
        <v>0</v>
      </c>
      <c r="I28" s="762">
        <f>Input!$EN$17</f>
        <v>0</v>
      </c>
      <c r="J28" s="762">
        <f>Input!$EO$17</f>
        <v>0</v>
      </c>
      <c r="K28" s="762">
        <f>Input!$EP$17</f>
        <v>0</v>
      </c>
      <c r="L28" s="762">
        <f>Input!$EQ$17</f>
        <v>0</v>
      </c>
      <c r="M28" s="650">
        <f t="shared" si="3"/>
        <v>-380153</v>
      </c>
      <c r="O28" s="787" t="s">
        <v>641</v>
      </c>
      <c r="Q28" s="723"/>
      <c r="R28" s="723">
        <f>SUM(M37:M41)</f>
        <v>-1091432</v>
      </c>
      <c r="S28" s="782"/>
      <c r="U28" s="776" t="s">
        <v>642</v>
      </c>
      <c r="X28" s="777">
        <f>(M27+M40)*-1</f>
        <v>0</v>
      </c>
      <c r="Y28" s="721"/>
      <c r="Z28" s="492"/>
    </row>
    <row r="29" spans="1:26" s="320" customFormat="1" ht="12" customHeight="1">
      <c r="A29" s="322"/>
      <c r="B29" s="795" t="s">
        <v>165</v>
      </c>
      <c r="C29" s="784"/>
      <c r="D29" s="769">
        <f t="shared" ref="D29:L29" si="4">SUM(D23:D28)</f>
        <v>985842</v>
      </c>
      <c r="E29" s="769">
        <f t="shared" si="4"/>
        <v>2437306</v>
      </c>
      <c r="F29" s="769">
        <f t="shared" si="4"/>
        <v>0</v>
      </c>
      <c r="G29" s="769">
        <f t="shared" si="4"/>
        <v>0</v>
      </c>
      <c r="H29" s="769">
        <f t="shared" si="4"/>
        <v>0</v>
      </c>
      <c r="I29" s="769">
        <f t="shared" si="4"/>
        <v>0</v>
      </c>
      <c r="J29" s="769">
        <f t="shared" si="4"/>
        <v>0</v>
      </c>
      <c r="K29" s="769">
        <f t="shared" si="4"/>
        <v>0</v>
      </c>
      <c r="L29" s="769">
        <f t="shared" si="4"/>
        <v>0</v>
      </c>
      <c r="M29" s="769">
        <f t="shared" si="3"/>
        <v>3423148</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4960798</v>
      </c>
      <c r="R30" s="798">
        <f>R28+R24</f>
        <v>-1471585</v>
      </c>
      <c r="S30" s="799"/>
      <c r="U30" s="780" t="s">
        <v>645</v>
      </c>
      <c r="V30" s="314"/>
      <c r="W30" s="314"/>
      <c r="X30" s="794">
        <f>SUM(X28:X29)</f>
        <v>0</v>
      </c>
      <c r="Y30" s="721"/>
    </row>
    <row r="31" spans="1:26" s="320" customFormat="1" ht="12.75" customHeight="1">
      <c r="A31" s="322"/>
      <c r="B31" s="772" t="s">
        <v>238</v>
      </c>
      <c r="C31" s="772"/>
      <c r="D31" s="769">
        <f t="shared" ref="D31:L31" si="5">D36-SUM(D32:D35)</f>
        <v>0</v>
      </c>
      <c r="E31" s="769">
        <f t="shared" si="5"/>
        <v>1157497</v>
      </c>
      <c r="F31" s="769">
        <f t="shared" si="5"/>
        <v>0</v>
      </c>
      <c r="G31" s="769">
        <f t="shared" si="5"/>
        <v>0</v>
      </c>
      <c r="H31" s="769">
        <f t="shared" si="5"/>
        <v>0</v>
      </c>
      <c r="I31" s="769">
        <f t="shared" si="5"/>
        <v>0</v>
      </c>
      <c r="J31" s="769">
        <f t="shared" si="5"/>
        <v>0</v>
      </c>
      <c r="K31" s="769">
        <f t="shared" si="5"/>
        <v>0</v>
      </c>
      <c r="L31" s="769">
        <f t="shared" si="5"/>
        <v>0</v>
      </c>
      <c r="M31" s="769">
        <f t="shared" ref="M31:M42" si="6">D31+E31+F31+G31+H31+I31+J31+K31+L31</f>
        <v>1157497</v>
      </c>
      <c r="O31" s="778" t="s">
        <v>646</v>
      </c>
      <c r="Q31" s="406"/>
      <c r="S31" s="782"/>
      <c r="U31" s="800" t="s">
        <v>647</v>
      </c>
      <c r="V31" s="801"/>
      <c r="W31" s="801"/>
      <c r="X31" s="802">
        <f>X27+X30</f>
        <v>0</v>
      </c>
      <c r="Y31" s="777"/>
      <c r="Z31" s="492"/>
    </row>
    <row r="32" spans="1:26" s="320" customFormat="1" ht="12.75" customHeight="1">
      <c r="A32" s="322"/>
      <c r="B32" s="320" t="s">
        <v>592</v>
      </c>
      <c r="D32" s="762">
        <f>Input!$ER$17</f>
        <v>0</v>
      </c>
      <c r="E32" s="762">
        <f>Input!$ES$17</f>
        <v>0</v>
      </c>
      <c r="F32" s="762">
        <f>Input!$ET$17</f>
        <v>0</v>
      </c>
      <c r="G32" s="762">
        <f>Input!$EU$17</f>
        <v>0</v>
      </c>
      <c r="H32" s="762">
        <f>Input!$EV$17</f>
        <v>0</v>
      </c>
      <c r="I32" s="762">
        <f>Input!$EW$17</f>
        <v>0</v>
      </c>
      <c r="J32" s="762">
        <f>Input!$EX$17</f>
        <v>0</v>
      </c>
      <c r="K32" s="762">
        <f>Input!$EY$17</f>
        <v>0</v>
      </c>
      <c r="L32" s="762">
        <f>Input!$EZ$17</f>
        <v>0</v>
      </c>
      <c r="M32" s="650">
        <f t="shared" si="6"/>
        <v>0</v>
      </c>
      <c r="O32" s="803" t="s">
        <v>648</v>
      </c>
      <c r="P32" s="804"/>
      <c r="Q32" s="805">
        <f>Input!$TI$17</f>
        <v>4960798</v>
      </c>
      <c r="R32" s="804"/>
      <c r="S32" s="806"/>
      <c r="U32" s="776"/>
      <c r="Y32" s="777"/>
      <c r="Z32" s="492"/>
    </row>
    <row r="33" spans="1:28" s="320" customFormat="1">
      <c r="A33" s="322"/>
      <c r="B33" s="320" t="s">
        <v>593</v>
      </c>
      <c r="D33" s="762">
        <f>Input!$FA$17</f>
        <v>0</v>
      </c>
      <c r="E33" s="762">
        <f>Input!$FB$17</f>
        <v>0</v>
      </c>
      <c r="F33" s="762">
        <f>Input!$FC$17</f>
        <v>0</v>
      </c>
      <c r="G33" s="762">
        <f>Input!$FD$17</f>
        <v>0</v>
      </c>
      <c r="H33" s="762">
        <f>Input!$FE$17</f>
        <v>0</v>
      </c>
      <c r="I33" s="762">
        <f>Input!$FF$17</f>
        <v>0</v>
      </c>
      <c r="J33" s="762">
        <f>Input!$FG$17</f>
        <v>0</v>
      </c>
      <c r="K33" s="762">
        <f>Input!$FH$17</f>
        <v>0</v>
      </c>
      <c r="L33" s="762">
        <f>Input!$FI$17</f>
        <v>0</v>
      </c>
      <c r="M33" s="650">
        <f t="shared" si="6"/>
        <v>0</v>
      </c>
      <c r="O33" s="803"/>
      <c r="P33" s="804"/>
      <c r="Q33" s="723"/>
      <c r="R33" s="804"/>
      <c r="S33" s="806"/>
      <c r="U33" s="776" t="s">
        <v>649</v>
      </c>
      <c r="X33" s="492">
        <f>(M19+M32)*-1</f>
        <v>0</v>
      </c>
      <c r="Y33" s="777"/>
    </row>
    <row r="34" spans="1:28" s="320" customFormat="1">
      <c r="A34" s="322"/>
      <c r="B34" s="320" t="s">
        <v>594</v>
      </c>
      <c r="D34" s="762">
        <f>Input!$FJ$17</f>
        <v>0</v>
      </c>
      <c r="E34" s="762">
        <f>Input!$FK$17</f>
        <v>0</v>
      </c>
      <c r="F34" s="762">
        <f>Input!$FL$17</f>
        <v>0</v>
      </c>
      <c r="G34" s="762">
        <f>Input!$FM$17</f>
        <v>0</v>
      </c>
      <c r="H34" s="762">
        <f>Input!$FN$17</f>
        <v>0</v>
      </c>
      <c r="I34" s="762">
        <f>Input!$FO$17</f>
        <v>0</v>
      </c>
      <c r="J34" s="762">
        <f>Input!$FP$17</f>
        <v>0</v>
      </c>
      <c r="K34" s="762">
        <f>Input!$FQ$17</f>
        <v>0</v>
      </c>
      <c r="L34" s="762">
        <f>Input!$FR$17</f>
        <v>0</v>
      </c>
      <c r="M34" s="650">
        <f t="shared" si="6"/>
        <v>0</v>
      </c>
      <c r="O34" s="807" t="s">
        <v>650</v>
      </c>
      <c r="P34" s="808"/>
      <c r="Q34" s="320" t="s">
        <v>651</v>
      </c>
      <c r="R34" s="805">
        <f>Input!$TJ$17</f>
        <v>-1471585</v>
      </c>
      <c r="S34" s="809"/>
      <c r="U34" s="776" t="s">
        <v>652</v>
      </c>
      <c r="X34" s="739">
        <f>(M24+M37)*-1</f>
        <v>0</v>
      </c>
      <c r="Y34" s="777"/>
    </row>
    <row r="35" spans="1:28" s="320" customFormat="1" ht="13.8" thickBot="1">
      <c r="A35" s="322"/>
      <c r="B35" s="320" t="s">
        <v>595</v>
      </c>
      <c r="D35" s="762">
        <f>Input!$FS$17</f>
        <v>0</v>
      </c>
      <c r="E35" s="762">
        <f>Input!$FT$17</f>
        <v>0</v>
      </c>
      <c r="F35" s="762">
        <f>Input!$FU$17</f>
        <v>0</v>
      </c>
      <c r="G35" s="762">
        <f>Input!$FV$17</f>
        <v>0</v>
      </c>
      <c r="H35" s="762">
        <f>Input!$FW$17</f>
        <v>0</v>
      </c>
      <c r="I35" s="762">
        <f>Input!$FX$17</f>
        <v>0</v>
      </c>
      <c r="J35" s="762">
        <f>Input!$FY$17</f>
        <v>0</v>
      </c>
      <c r="K35" s="762">
        <f>Input!$FZ$17</f>
        <v>0</v>
      </c>
      <c r="L35" s="762">
        <f>Input!$GA$17</f>
        <v>0</v>
      </c>
      <c r="M35" s="650">
        <f t="shared" si="6"/>
        <v>0</v>
      </c>
      <c r="O35" s="810" t="s">
        <v>653</v>
      </c>
      <c r="P35" s="811"/>
      <c r="Q35" s="812">
        <f>Q30-Q32</f>
        <v>0</v>
      </c>
      <c r="R35" s="813">
        <f>R30-R34</f>
        <v>0</v>
      </c>
      <c r="S35" s="814"/>
      <c r="U35" s="780" t="s">
        <v>654</v>
      </c>
      <c r="V35" s="314"/>
      <c r="W35" s="314"/>
      <c r="X35" s="781">
        <f>SUM(X33:X34)</f>
        <v>0</v>
      </c>
      <c r="Y35" s="721"/>
    </row>
    <row r="36" spans="1:28" s="320" customFormat="1" ht="13.8" thickTop="1">
      <c r="A36" s="322"/>
      <c r="B36" s="772" t="s">
        <v>239</v>
      </c>
      <c r="C36" s="784"/>
      <c r="D36" s="785">
        <f>Input!$GB$17</f>
        <v>0</v>
      </c>
      <c r="E36" s="785">
        <f>Input!$GC$17</f>
        <v>1157497</v>
      </c>
      <c r="F36" s="785">
        <f>Input!$GD$17</f>
        <v>0</v>
      </c>
      <c r="G36" s="785">
        <f>Input!$GE$17</f>
        <v>0</v>
      </c>
      <c r="H36" s="785">
        <f>Input!$GF$17</f>
        <v>0</v>
      </c>
      <c r="I36" s="785">
        <f>Input!$GG$17</f>
        <v>0</v>
      </c>
      <c r="J36" s="785">
        <f>Input!$GH$17</f>
        <v>0</v>
      </c>
      <c r="K36" s="785">
        <f>Input!$GI$17</f>
        <v>0</v>
      </c>
      <c r="L36" s="785">
        <f>Input!$GJ$17</f>
        <v>0</v>
      </c>
      <c r="M36" s="786">
        <f t="shared" si="6"/>
        <v>1157497</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Input!$GK$17</f>
        <v>0</v>
      </c>
      <c r="E37" s="762">
        <f>Input!$GL$17</f>
        <v>0</v>
      </c>
      <c r="F37" s="762">
        <f>Input!$GM$17</f>
        <v>0</v>
      </c>
      <c r="G37" s="762">
        <f>Input!$GN$17</f>
        <v>0</v>
      </c>
      <c r="H37" s="762">
        <f>Input!$GO$17</f>
        <v>0</v>
      </c>
      <c r="I37" s="762">
        <f>Input!$GP$17</f>
        <v>0</v>
      </c>
      <c r="J37" s="762">
        <f>Input!$GQ$17</f>
        <v>0</v>
      </c>
      <c r="K37" s="762">
        <f>Input!$GR$17</f>
        <v>0</v>
      </c>
      <c r="L37" s="762">
        <f>Input!$GS$17</f>
        <v>0</v>
      </c>
      <c r="M37" s="650">
        <f t="shared" si="6"/>
        <v>0</v>
      </c>
      <c r="U37" s="776" t="s">
        <v>656</v>
      </c>
      <c r="X37" s="739">
        <f>(M25+M38)*-1</f>
        <v>0</v>
      </c>
      <c r="Y37" s="721"/>
    </row>
    <row r="38" spans="1:28" s="320" customFormat="1">
      <c r="A38" s="322"/>
      <c r="B38" s="320" t="s">
        <v>597</v>
      </c>
      <c r="C38" s="751"/>
      <c r="D38" s="762">
        <f>Input!$GT$17</f>
        <v>0</v>
      </c>
      <c r="E38" s="762">
        <f>Input!$GU$17</f>
        <v>0</v>
      </c>
      <c r="F38" s="762">
        <f>Input!$GV$17</f>
        <v>0</v>
      </c>
      <c r="G38" s="762">
        <f>Input!$GW$17</f>
        <v>0</v>
      </c>
      <c r="H38" s="762">
        <f>Input!$GX$17</f>
        <v>0</v>
      </c>
      <c r="I38" s="762">
        <f>Input!$GY$17</f>
        <v>0</v>
      </c>
      <c r="J38" s="762">
        <f>Input!$GZ$17</f>
        <v>0</v>
      </c>
      <c r="K38" s="762">
        <f>Input!$HA$17</f>
        <v>0</v>
      </c>
      <c r="L38" s="762">
        <f>Input!$HB$17</f>
        <v>0</v>
      </c>
      <c r="M38" s="650">
        <f t="shared" si="6"/>
        <v>0</v>
      </c>
      <c r="U38" s="780" t="s">
        <v>657</v>
      </c>
      <c r="V38" s="314"/>
      <c r="W38" s="314"/>
      <c r="X38" s="781">
        <f>SUM(X36:X37)</f>
        <v>0</v>
      </c>
      <c r="Y38" s="777"/>
    </row>
    <row r="39" spans="1:28" s="320" customFormat="1">
      <c r="A39" s="322"/>
      <c r="B39" s="320" t="s">
        <v>598</v>
      </c>
      <c r="C39" s="751"/>
      <c r="D39" s="762">
        <f>Input!$HC$17</f>
        <v>0</v>
      </c>
      <c r="E39" s="762">
        <f>Input!$HD$17</f>
        <v>0</v>
      </c>
      <c r="F39" s="762">
        <f>Input!$HE$17</f>
        <v>0</v>
      </c>
      <c r="G39" s="762">
        <f>Input!$HF$17</f>
        <v>0</v>
      </c>
      <c r="H39" s="762">
        <f>Input!$HG$17</f>
        <v>0</v>
      </c>
      <c r="I39" s="762">
        <f>Input!$HH$17</f>
        <v>0</v>
      </c>
      <c r="J39" s="762">
        <f>Input!$HI$17</f>
        <v>0</v>
      </c>
      <c r="K39" s="762">
        <f>Input!$HJ$17</f>
        <v>0</v>
      </c>
      <c r="L39" s="762">
        <f>Input!$HK$17</f>
        <v>0</v>
      </c>
      <c r="M39" s="650">
        <f t="shared" si="6"/>
        <v>0</v>
      </c>
      <c r="U39" s="776" t="s">
        <v>658</v>
      </c>
      <c r="X39" s="492"/>
      <c r="Y39" s="777">
        <f>X38+X35</f>
        <v>0</v>
      </c>
    </row>
    <row r="40" spans="1:28" s="320" customFormat="1">
      <c r="A40" s="322"/>
      <c r="B40" s="320" t="s">
        <v>599</v>
      </c>
      <c r="C40" s="751"/>
      <c r="D40" s="762">
        <f>Input!$HL$17</f>
        <v>0</v>
      </c>
      <c r="E40" s="762">
        <f>Input!$HM$17</f>
        <v>0</v>
      </c>
      <c r="F40" s="762">
        <f>Input!$HN$17</f>
        <v>0</v>
      </c>
      <c r="G40" s="762">
        <f>Input!$HO$17</f>
        <v>0</v>
      </c>
      <c r="H40" s="762">
        <f>Input!$HP$17</f>
        <v>0</v>
      </c>
      <c r="I40" s="762">
        <f>Input!$HQ$17</f>
        <v>0</v>
      </c>
      <c r="J40" s="762">
        <f>Input!$HR$17</f>
        <v>0</v>
      </c>
      <c r="K40" s="762">
        <f>Input!$HS$17</f>
        <v>0</v>
      </c>
      <c r="L40" s="762">
        <f>Input!$HT$17</f>
        <v>0</v>
      </c>
      <c r="M40" s="650">
        <f t="shared" si="6"/>
        <v>0</v>
      </c>
      <c r="U40" s="776"/>
      <c r="Y40" s="721"/>
    </row>
    <row r="41" spans="1:28" s="320" customFormat="1">
      <c r="A41" s="322"/>
      <c r="B41" s="320" t="s">
        <v>600</v>
      </c>
      <c r="C41" s="751"/>
      <c r="D41" s="762">
        <f>Input!$HU$17</f>
        <v>0</v>
      </c>
      <c r="E41" s="762">
        <f>Input!$HV$17</f>
        <v>-1091432</v>
      </c>
      <c r="F41" s="762">
        <f>Input!$HW$17</f>
        <v>0</v>
      </c>
      <c r="G41" s="762">
        <f>Input!$HX$17</f>
        <v>0</v>
      </c>
      <c r="H41" s="762">
        <f>Input!$HY$17</f>
        <v>0</v>
      </c>
      <c r="I41" s="762">
        <f>Input!$HZ$17</f>
        <v>0</v>
      </c>
      <c r="J41" s="762">
        <f>Input!$IA$17</f>
        <v>0</v>
      </c>
      <c r="K41" s="762">
        <f>Input!$IB$17</f>
        <v>0</v>
      </c>
      <c r="L41" s="762">
        <f>Input!$IC$17</f>
        <v>0</v>
      </c>
      <c r="M41" s="650">
        <f t="shared" si="6"/>
        <v>-1091432</v>
      </c>
      <c r="U41" s="776" t="s">
        <v>639</v>
      </c>
      <c r="X41" s="492">
        <f>(M21+M34)*-1</f>
        <v>0</v>
      </c>
      <c r="Y41" s="777"/>
    </row>
    <row r="42" spans="1:28" s="320" customFormat="1">
      <c r="A42" s="322"/>
      <c r="B42" s="795" t="s">
        <v>166</v>
      </c>
      <c r="C42" s="784"/>
      <c r="D42" s="769">
        <f t="shared" ref="D42:L42" si="7">SUM(D36:D41)</f>
        <v>0</v>
      </c>
      <c r="E42" s="769">
        <f t="shared" si="7"/>
        <v>66065</v>
      </c>
      <c r="F42" s="769">
        <f t="shared" si="7"/>
        <v>0</v>
      </c>
      <c r="G42" s="769">
        <f t="shared" si="7"/>
        <v>0</v>
      </c>
      <c r="H42" s="769">
        <f t="shared" si="7"/>
        <v>0</v>
      </c>
      <c r="I42" s="769">
        <f t="shared" si="7"/>
        <v>0</v>
      </c>
      <c r="J42" s="769">
        <f t="shared" si="7"/>
        <v>0</v>
      </c>
      <c r="K42" s="769">
        <f t="shared" si="7"/>
        <v>0</v>
      </c>
      <c r="L42" s="769">
        <f t="shared" si="7"/>
        <v>0</v>
      </c>
      <c r="M42" s="769">
        <f t="shared" si="6"/>
        <v>66065</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985842</v>
      </c>
      <c r="E44" s="769">
        <f t="shared" si="8"/>
        <v>2503371</v>
      </c>
      <c r="F44" s="769">
        <f t="shared" si="8"/>
        <v>0</v>
      </c>
      <c r="G44" s="769">
        <f t="shared" si="8"/>
        <v>0</v>
      </c>
      <c r="H44" s="769">
        <f t="shared" si="8"/>
        <v>0</v>
      </c>
      <c r="I44" s="769">
        <f t="shared" si="8"/>
        <v>0</v>
      </c>
      <c r="J44" s="769">
        <f t="shared" si="8"/>
        <v>0</v>
      </c>
      <c r="K44" s="769">
        <f t="shared" si="8"/>
        <v>0</v>
      </c>
      <c r="L44" s="769">
        <f t="shared" si="8"/>
        <v>0</v>
      </c>
      <c r="M44" s="769">
        <f>D44+E44+F44+G44+H44+I44+J44+K44+L44</f>
        <v>3489213</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Input!$ID$17</f>
        <v>0</v>
      </c>
      <c r="E47" s="815">
        <f>Input!$IE$17</f>
        <v>0</v>
      </c>
      <c r="F47" s="815">
        <f>Input!$IF$17</f>
        <v>0</v>
      </c>
      <c r="G47" s="815">
        <f>Input!$IG$17</f>
        <v>12717100</v>
      </c>
      <c r="H47" s="815">
        <f>Input!$IH$17</f>
        <v>0</v>
      </c>
      <c r="I47" s="815">
        <f>Input!$II$17</f>
        <v>0</v>
      </c>
      <c r="J47" s="815">
        <f>Input!$IJ$17</f>
        <v>0</v>
      </c>
      <c r="K47" s="815">
        <f>Input!$IK$17</f>
        <v>0</v>
      </c>
      <c r="L47" s="815">
        <f>Input!$IL$17</f>
        <v>0</v>
      </c>
      <c r="M47" s="769">
        <f>D47+E47+F47+G47+H47+I47+J47+K47+L47</f>
        <v>12717100</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4960798</v>
      </c>
      <c r="Z49" s="320"/>
      <c r="AA49" s="320"/>
      <c r="AB49" s="320"/>
    </row>
    <row r="50" spans="1:28" s="752" customFormat="1">
      <c r="A50" s="460">
        <v>33</v>
      </c>
      <c r="B50" s="768" t="s">
        <v>200</v>
      </c>
      <c r="C50" s="768"/>
      <c r="D50" s="815">
        <f>Input!$IM$17</f>
        <v>0</v>
      </c>
      <c r="E50" s="815">
        <f>Input!$IN$17</f>
        <v>12639757</v>
      </c>
      <c r="F50" s="815">
        <f>Input!$IO$17</f>
        <v>0</v>
      </c>
      <c r="G50" s="815">
        <f>Input!$IP$17</f>
        <v>0</v>
      </c>
      <c r="H50" s="815">
        <f>Input!$IQ$17</f>
        <v>0</v>
      </c>
      <c r="I50" s="815">
        <f>Input!$IR$17</f>
        <v>0</v>
      </c>
      <c r="J50" s="815">
        <f>Input!$IS$17</f>
        <v>0</v>
      </c>
      <c r="K50" s="815">
        <f>Input!$IT$17</f>
        <v>0</v>
      </c>
      <c r="L50" s="815">
        <f>Input!$IU$17</f>
        <v>0</v>
      </c>
      <c r="M50" s="769">
        <f>D50+E50+F50+G50+H50+I50+J50+K50+L50</f>
        <v>12639757</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Input!$IV$17</f>
        <v>0</v>
      </c>
      <c r="E53" s="815">
        <f>Input!$IW$17</f>
        <v>1459467</v>
      </c>
      <c r="F53" s="815">
        <f>Input!$IX$17</f>
        <v>0</v>
      </c>
      <c r="G53" s="815">
        <f>Input!$IY$17</f>
        <v>0</v>
      </c>
      <c r="H53" s="815">
        <f>Input!$IZ$17</f>
        <v>0</v>
      </c>
      <c r="I53" s="815">
        <f>Input!$JA$17</f>
        <v>0</v>
      </c>
      <c r="J53" s="815">
        <f>Input!$JB$17</f>
        <v>0</v>
      </c>
      <c r="K53" s="815">
        <f>Input!$JC$17</f>
        <v>0</v>
      </c>
      <c r="L53" s="815">
        <f>Input!$JD$17</f>
        <v>0</v>
      </c>
      <c r="M53" s="769">
        <f>D53+E53+F53+G53+H53+I53+J53+K53+L53</f>
        <v>1459467</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Input!$JE$17</f>
        <v>0</v>
      </c>
      <c r="E56" s="762">
        <f>Input!$JF$17</f>
        <v>1236744</v>
      </c>
      <c r="F56" s="762">
        <f>Input!$JG$17</f>
        <v>0</v>
      </c>
      <c r="G56" s="762">
        <f>Input!$JH$17</f>
        <v>2108112</v>
      </c>
      <c r="H56" s="762">
        <f>Input!$JI$17</f>
        <v>0</v>
      </c>
      <c r="I56" s="762">
        <f>Input!$JJ$17</f>
        <v>-1293676</v>
      </c>
      <c r="J56" s="762">
        <f>Input!$JK$17</f>
        <v>0</v>
      </c>
      <c r="K56" s="762">
        <f>Input!$JL$17</f>
        <v>0</v>
      </c>
      <c r="L56" s="762">
        <f>Input!$JM$17</f>
        <v>0</v>
      </c>
      <c r="M56" s="723">
        <f t="shared" ref="M56:M62" si="9">D56+E56+F56+G56+H56+I56+J56+K56+L56</f>
        <v>2051180</v>
      </c>
      <c r="O56" s="320"/>
      <c r="P56" s="320"/>
      <c r="Q56" s="320"/>
      <c r="R56" s="320"/>
      <c r="S56" s="320"/>
      <c r="T56" s="320"/>
      <c r="U56" s="320"/>
      <c r="V56" s="320"/>
      <c r="W56" s="320"/>
      <c r="X56" s="322"/>
      <c r="Y56" s="320"/>
      <c r="Z56" s="320"/>
      <c r="AA56" s="320"/>
      <c r="AB56" s="320"/>
    </row>
    <row r="57" spans="1:28" s="752" customFormat="1">
      <c r="A57" s="460">
        <v>40</v>
      </c>
      <c r="B57" s="752" t="s">
        <v>173</v>
      </c>
      <c r="D57" s="762">
        <f>Input!$JN$17</f>
        <v>0</v>
      </c>
      <c r="E57" s="762">
        <f>Input!$JO$17</f>
        <v>35052844</v>
      </c>
      <c r="F57" s="762">
        <f>Input!$JP$17</f>
        <v>0</v>
      </c>
      <c r="G57" s="762">
        <f>Input!$JQ$17</f>
        <v>63060</v>
      </c>
      <c r="H57" s="762">
        <f>Input!$JR$17</f>
        <v>0</v>
      </c>
      <c r="I57" s="762">
        <f>Input!$JS$17</f>
        <v>0</v>
      </c>
      <c r="J57" s="762">
        <f>Input!$JT$17</f>
        <v>0</v>
      </c>
      <c r="K57" s="762">
        <f>Input!$JU$17</f>
        <v>0</v>
      </c>
      <c r="L57" s="762">
        <f>Input!$JV$17</f>
        <v>0</v>
      </c>
      <c r="M57" s="723">
        <f t="shared" si="9"/>
        <v>35115904</v>
      </c>
      <c r="O57" s="320"/>
      <c r="P57" s="819"/>
      <c r="Q57" s="320"/>
      <c r="R57" s="320"/>
      <c r="S57" s="320"/>
      <c r="T57" s="320"/>
      <c r="U57" s="320"/>
      <c r="V57" s="320"/>
      <c r="W57" s="320"/>
      <c r="X57" s="320"/>
      <c r="Y57" s="320"/>
      <c r="Z57" s="320"/>
      <c r="AA57" s="320"/>
      <c r="AB57" s="320"/>
    </row>
    <row r="58" spans="1:28" s="752" customFormat="1">
      <c r="A58" s="460">
        <v>41</v>
      </c>
      <c r="B58" s="752" t="s">
        <v>174</v>
      </c>
      <c r="D58" s="762">
        <f>Input!$JW$17</f>
        <v>0</v>
      </c>
      <c r="E58" s="762">
        <f>Input!$JX$17</f>
        <v>103939365</v>
      </c>
      <c r="F58" s="762">
        <f>Input!$JY$17</f>
        <v>0</v>
      </c>
      <c r="G58" s="762">
        <f>Input!$JZ$17</f>
        <v>16642341</v>
      </c>
      <c r="H58" s="762">
        <f>Input!$KA$17</f>
        <v>0</v>
      </c>
      <c r="I58" s="762">
        <f>Input!$KB$17</f>
        <v>0</v>
      </c>
      <c r="J58" s="762">
        <f>Input!$KC$17</f>
        <v>0</v>
      </c>
      <c r="K58" s="762">
        <f>Input!$KD$17</f>
        <v>0</v>
      </c>
      <c r="L58" s="762">
        <f>Input!$KE$17</f>
        <v>0</v>
      </c>
      <c r="M58" s="723">
        <f t="shared" si="9"/>
        <v>120581706</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Input!$KF$17</f>
        <v>0</v>
      </c>
      <c r="E59" s="762">
        <f>Input!$KG$17</f>
        <v>3868656</v>
      </c>
      <c r="F59" s="762">
        <f>Input!$KH$17</f>
        <v>0</v>
      </c>
      <c r="G59" s="762">
        <f>Input!$KI$17</f>
        <v>0</v>
      </c>
      <c r="H59" s="762">
        <f>Input!$KJ$17</f>
        <v>0</v>
      </c>
      <c r="I59" s="762">
        <f>Input!$KK$17</f>
        <v>0</v>
      </c>
      <c r="J59" s="762">
        <f>Input!$KL$17</f>
        <v>0</v>
      </c>
      <c r="K59" s="762">
        <f>Input!$KM$17</f>
        <v>0</v>
      </c>
      <c r="L59" s="762">
        <f>Input!$KN$17</f>
        <v>0</v>
      </c>
      <c r="M59" s="723">
        <f t="shared" si="9"/>
        <v>3868656</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Input!$KO$17</f>
        <v>0</v>
      </c>
      <c r="E60" s="762">
        <f>Input!$KP$17</f>
        <v>0</v>
      </c>
      <c r="F60" s="762">
        <f>Input!$KQ$17</f>
        <v>3148117</v>
      </c>
      <c r="G60" s="762">
        <f>Input!$KR$17</f>
        <v>0</v>
      </c>
      <c r="H60" s="762">
        <f>Input!$KS$17</f>
        <v>0</v>
      </c>
      <c r="I60" s="762">
        <f>Input!$KT$17</f>
        <v>0</v>
      </c>
      <c r="J60" s="762">
        <f>Input!$KU$17</f>
        <v>0</v>
      </c>
      <c r="K60" s="762">
        <f>Input!$KV$17</f>
        <v>0</v>
      </c>
      <c r="L60" s="762">
        <f>Input!$KW$17</f>
        <v>0</v>
      </c>
      <c r="M60" s="723">
        <f t="shared" si="9"/>
        <v>3148117</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Input!$KX$17</f>
        <v>0</v>
      </c>
      <c r="E61" s="762">
        <f>Input!$KY$17</f>
        <v>1936115</v>
      </c>
      <c r="F61" s="762">
        <f>Input!$KZ$17</f>
        <v>0</v>
      </c>
      <c r="G61" s="762">
        <f>Input!$LA$17</f>
        <v>0</v>
      </c>
      <c r="H61" s="762">
        <f>Input!$LB$17</f>
        <v>0</v>
      </c>
      <c r="I61" s="762">
        <f>Input!$LC$17</f>
        <v>0</v>
      </c>
      <c r="J61" s="762">
        <f>Input!$LD$17</f>
        <v>0</v>
      </c>
      <c r="K61" s="762">
        <f>Input!$LE$17</f>
        <v>0</v>
      </c>
      <c r="L61" s="762">
        <f>Input!$LF$17</f>
        <v>-123159</v>
      </c>
      <c r="M61" s="723">
        <f t="shared" si="9"/>
        <v>1812956</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0</v>
      </c>
      <c r="E62" s="769">
        <f t="shared" si="10"/>
        <v>146033724</v>
      </c>
      <c r="F62" s="769">
        <f t="shared" si="10"/>
        <v>3148117</v>
      </c>
      <c r="G62" s="769">
        <f t="shared" si="10"/>
        <v>18813513</v>
      </c>
      <c r="H62" s="769">
        <f t="shared" si="10"/>
        <v>0</v>
      </c>
      <c r="I62" s="769">
        <f t="shared" si="10"/>
        <v>-1293676</v>
      </c>
      <c r="J62" s="769">
        <f t="shared" si="10"/>
        <v>0</v>
      </c>
      <c r="K62" s="769">
        <f t="shared" si="10"/>
        <v>0</v>
      </c>
      <c r="L62" s="769">
        <f t="shared" si="10"/>
        <v>-123159</v>
      </c>
      <c r="M62" s="769">
        <f t="shared" si="9"/>
        <v>166578519</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42756684</v>
      </c>
      <c r="E63" s="769">
        <f t="shared" ref="E63:M63" si="11">E15+E44+E47+E50+E53+E62</f>
        <v>163362184</v>
      </c>
      <c r="F63" s="769">
        <f t="shared" si="11"/>
        <v>3148117</v>
      </c>
      <c r="G63" s="769">
        <f t="shared" si="11"/>
        <v>35250074</v>
      </c>
      <c r="H63" s="769">
        <f t="shared" si="11"/>
        <v>0</v>
      </c>
      <c r="I63" s="769">
        <f t="shared" si="11"/>
        <v>-1293676</v>
      </c>
      <c r="J63" s="769">
        <f t="shared" si="11"/>
        <v>0</v>
      </c>
      <c r="K63" s="769">
        <f t="shared" si="11"/>
        <v>0</v>
      </c>
      <c r="L63" s="769">
        <f t="shared" si="11"/>
        <v>-123159</v>
      </c>
      <c r="M63" s="769">
        <f t="shared" si="11"/>
        <v>243100224</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Input!$LG$17</f>
        <v>786081</v>
      </c>
      <c r="E65" s="762">
        <f>Input!$LH$17</f>
        <v>5532788</v>
      </c>
      <c r="F65" s="762">
        <f>Input!$LI$17</f>
        <v>0</v>
      </c>
      <c r="G65" s="762">
        <f>Input!$LJ$17</f>
        <v>1898396</v>
      </c>
      <c r="H65" s="762">
        <f>Input!$LK$17</f>
        <v>0</v>
      </c>
      <c r="I65" s="762">
        <f>Input!$LL$17</f>
        <v>0</v>
      </c>
      <c r="J65" s="762">
        <f>Input!$LM$17</f>
        <v>0</v>
      </c>
      <c r="K65" s="762">
        <f>Input!$LN$17</f>
        <v>0</v>
      </c>
      <c r="L65" s="762">
        <f>Input!$LO$17</f>
        <v>0</v>
      </c>
      <c r="M65" s="723">
        <f t="shared" ref="M65:M77" si="12">D65+E65+F65+G65+H65+I65+J65+K65+L65</f>
        <v>8217265</v>
      </c>
      <c r="O65" s="824">
        <f>D65+E65+G65</f>
        <v>8217265</v>
      </c>
      <c r="P65" s="825">
        <f>Input!$TK$17</f>
        <v>0</v>
      </c>
      <c r="Q65" s="825">
        <f>Input!$TU$17</f>
        <v>212590</v>
      </c>
      <c r="R65" s="825">
        <f>Input!$UD$17</f>
        <v>0</v>
      </c>
      <c r="S65" s="826">
        <f>O65+P65-Q65-R65</f>
        <v>8004675</v>
      </c>
      <c r="T65" s="492"/>
      <c r="U65" s="827">
        <f>D65+E65+F65+G65+J65</f>
        <v>8217265</v>
      </c>
      <c r="V65" s="492"/>
      <c r="W65" s="828" t="s">
        <v>92</v>
      </c>
      <c r="X65" s="829">
        <f>Input!$UO$17</f>
        <v>8217265</v>
      </c>
      <c r="Y65" s="830">
        <f t="shared" ref="Y65:Y74" si="13">X65-M65</f>
        <v>0</v>
      </c>
      <c r="Z65" s="492"/>
      <c r="AA65" s="492"/>
      <c r="AB65" s="492"/>
    </row>
    <row r="66" spans="1:28" s="752" customFormat="1" ht="14.4" thickTop="1" thickBot="1">
      <c r="A66" s="460">
        <v>49</v>
      </c>
      <c r="B66" s="823" t="s">
        <v>179</v>
      </c>
      <c r="C66" s="823"/>
      <c r="D66" s="762">
        <f>Input!$LP$17</f>
        <v>7759866</v>
      </c>
      <c r="E66" s="762">
        <f>Input!$LQ$17</f>
        <v>8727240</v>
      </c>
      <c r="F66" s="762">
        <f>Input!$LR$17</f>
        <v>0</v>
      </c>
      <c r="G66" s="762">
        <f>Input!$LS$17</f>
        <v>23633358</v>
      </c>
      <c r="H66" s="762">
        <f>Input!$LT$17</f>
        <v>0</v>
      </c>
      <c r="I66" s="762">
        <f>Input!$LU$17</f>
        <v>0</v>
      </c>
      <c r="J66" s="762">
        <f>Input!$LV$17</f>
        <v>0</v>
      </c>
      <c r="K66" s="762">
        <f>Input!$LW$17</f>
        <v>0</v>
      </c>
      <c r="L66" s="762">
        <f>Input!$LX$17</f>
        <v>0</v>
      </c>
      <c r="M66" s="723">
        <f t="shared" si="12"/>
        <v>40120464</v>
      </c>
      <c r="O66" s="831">
        <f t="shared" ref="O66:O72" si="14">D66+E66+G66</f>
        <v>40120464</v>
      </c>
      <c r="P66" s="832">
        <f>Input!$TL$17</f>
        <v>192442</v>
      </c>
      <c r="Q66" s="832">
        <f>Input!$TV$17</f>
        <v>4299640</v>
      </c>
      <c r="R66" s="832">
        <f>Input!$UE$17</f>
        <v>0</v>
      </c>
      <c r="S66" s="833">
        <f>O66+P66-Q66-R66</f>
        <v>36013266</v>
      </c>
      <c r="T66" s="492"/>
      <c r="U66" s="834">
        <f t="shared" ref="U66:U76" si="15">D66+E66+F66+G66+J66</f>
        <v>40120464</v>
      </c>
      <c r="V66" s="492"/>
      <c r="W66" s="828" t="s">
        <v>179</v>
      </c>
      <c r="X66" s="835">
        <f>Input!$UP$17</f>
        <v>40120464</v>
      </c>
      <c r="Y66" s="836">
        <f t="shared" si="13"/>
        <v>0</v>
      </c>
      <c r="Z66" s="723"/>
      <c r="AA66" s="723"/>
      <c r="AB66" s="723"/>
    </row>
    <row r="67" spans="1:28" s="752" customFormat="1" ht="13.8" thickTop="1">
      <c r="A67" s="460">
        <v>50</v>
      </c>
      <c r="B67" s="823" t="s">
        <v>180</v>
      </c>
      <c r="C67" s="823"/>
      <c r="D67" s="762">
        <f>Input!$LY$17</f>
        <v>155998</v>
      </c>
      <c r="E67" s="762">
        <f>Input!$LZ$17</f>
        <v>1777262</v>
      </c>
      <c r="F67" s="762">
        <f>Input!$MA$17</f>
        <v>0</v>
      </c>
      <c r="G67" s="762">
        <f>Input!$MB$17</f>
        <v>2170902</v>
      </c>
      <c r="H67" s="762">
        <f>Input!$MC$17</f>
        <v>0</v>
      </c>
      <c r="I67" s="762">
        <f>Input!$MD$17</f>
        <v>0</v>
      </c>
      <c r="J67" s="762">
        <f>Input!$ME$17</f>
        <v>0</v>
      </c>
      <c r="K67" s="762">
        <f>Input!$MF$17</f>
        <v>0</v>
      </c>
      <c r="L67" s="762">
        <f>Input!$MG$17</f>
        <v>0</v>
      </c>
      <c r="M67" s="723">
        <f t="shared" si="12"/>
        <v>4104162</v>
      </c>
      <c r="O67" s="831">
        <f t="shared" si="14"/>
        <v>4104162</v>
      </c>
      <c r="P67" s="832">
        <f>Input!$TM$17</f>
        <v>0</v>
      </c>
      <c r="Q67" s="832">
        <f>Input!$TW$17</f>
        <v>431672</v>
      </c>
      <c r="R67" s="832">
        <f>Input!$UF$17</f>
        <v>0</v>
      </c>
      <c r="S67" s="837">
        <f t="shared" ref="S67:S72" si="16">O67+P67-Q67-R67</f>
        <v>3672490</v>
      </c>
      <c r="T67" s="723"/>
      <c r="U67" s="834">
        <f t="shared" si="15"/>
        <v>4104162</v>
      </c>
      <c r="V67" s="723"/>
      <c r="W67" s="828" t="s">
        <v>180</v>
      </c>
      <c r="X67" s="835">
        <f>Input!$UQ$17</f>
        <v>4104162</v>
      </c>
      <c r="Y67" s="836">
        <f t="shared" si="13"/>
        <v>0</v>
      </c>
      <c r="Z67" s="723"/>
      <c r="AA67" s="723"/>
      <c r="AB67" s="723"/>
    </row>
    <row r="68" spans="1:28" s="752" customFormat="1">
      <c r="A68" s="460">
        <v>51</v>
      </c>
      <c r="B68" s="823" t="s">
        <v>164</v>
      </c>
      <c r="C68" s="823"/>
      <c r="D68" s="762">
        <f>Input!$MH$17</f>
        <v>4993042</v>
      </c>
      <c r="E68" s="762">
        <f>Input!$MI$17</f>
        <v>113855782</v>
      </c>
      <c r="F68" s="762">
        <f>Input!$MJ$17</f>
        <v>0</v>
      </c>
      <c r="G68" s="762">
        <f>Input!$MK$17</f>
        <v>7568708</v>
      </c>
      <c r="H68" s="762">
        <f>Input!$ML$17</f>
        <v>0</v>
      </c>
      <c r="I68" s="762">
        <f>Input!$MM$17</f>
        <v>0</v>
      </c>
      <c r="J68" s="762">
        <f>Input!$MN$17</f>
        <v>0</v>
      </c>
      <c r="K68" s="762">
        <f>Input!$MO$17</f>
        <v>0</v>
      </c>
      <c r="L68" s="762">
        <f>Input!$MP$17</f>
        <v>0</v>
      </c>
      <c r="M68" s="723">
        <f t="shared" si="12"/>
        <v>126417532</v>
      </c>
      <c r="O68" s="831">
        <f t="shared" si="14"/>
        <v>126417532</v>
      </c>
      <c r="P68" s="832">
        <f>Input!$TN$17</f>
        <v>0</v>
      </c>
      <c r="Q68" s="832">
        <f>Input!$TX$17</f>
        <v>0</v>
      </c>
      <c r="R68" s="832">
        <f>Input!$UG$17</f>
        <v>0</v>
      </c>
      <c r="S68" s="837">
        <f t="shared" si="16"/>
        <v>126417532</v>
      </c>
      <c r="T68" s="723"/>
      <c r="U68" s="834">
        <f t="shared" si="15"/>
        <v>126417532</v>
      </c>
      <c r="V68" s="723"/>
      <c r="W68" s="828" t="s">
        <v>164</v>
      </c>
      <c r="X68" s="835">
        <f>Input!$UR$17</f>
        <v>126417532</v>
      </c>
      <c r="Y68" s="836">
        <f t="shared" si="13"/>
        <v>0</v>
      </c>
      <c r="Z68" s="723"/>
      <c r="AA68" s="723"/>
      <c r="AB68" s="723"/>
    </row>
    <row r="69" spans="1:28" s="752" customFormat="1">
      <c r="A69" s="460">
        <v>52</v>
      </c>
      <c r="B69" s="823" t="s">
        <v>181</v>
      </c>
      <c r="C69" s="823"/>
      <c r="D69" s="762">
        <f>Input!$MQ$17</f>
        <v>25577810</v>
      </c>
      <c r="E69" s="762">
        <f>Input!$MR$17</f>
        <v>10948846</v>
      </c>
      <c r="F69" s="762">
        <f>Input!$MS$17</f>
        <v>0</v>
      </c>
      <c r="G69" s="762">
        <f>Input!$MT$17</f>
        <v>2152628</v>
      </c>
      <c r="H69" s="762">
        <f>Input!$MU$17</f>
        <v>0</v>
      </c>
      <c r="I69" s="762">
        <f>Input!$MV$17</f>
        <v>0</v>
      </c>
      <c r="J69" s="762">
        <f>Input!$MW$17</f>
        <v>0</v>
      </c>
      <c r="K69" s="762">
        <f>Input!$MX$17</f>
        <v>0</v>
      </c>
      <c r="L69" s="762">
        <f>Input!$MY$17</f>
        <v>0</v>
      </c>
      <c r="M69" s="723">
        <f t="shared" si="12"/>
        <v>38679284</v>
      </c>
      <c r="O69" s="831">
        <f t="shared" si="14"/>
        <v>38679284</v>
      </c>
      <c r="P69" s="832">
        <f>Input!$TO$17</f>
        <v>20928</v>
      </c>
      <c r="Q69" s="832">
        <f>Input!$TY$17</f>
        <v>0</v>
      </c>
      <c r="R69" s="832">
        <f>Input!$UH$17</f>
        <v>0</v>
      </c>
      <c r="S69" s="837">
        <f t="shared" si="16"/>
        <v>38700212</v>
      </c>
      <c r="T69" s="723"/>
      <c r="U69" s="834">
        <f t="shared" si="15"/>
        <v>38679284</v>
      </c>
      <c r="V69" s="723"/>
      <c r="W69" s="828" t="s">
        <v>181</v>
      </c>
      <c r="X69" s="835">
        <f>Input!$US$17</f>
        <v>38679284</v>
      </c>
      <c r="Y69" s="836">
        <f t="shared" si="13"/>
        <v>0</v>
      </c>
      <c r="Z69" s="723"/>
      <c r="AA69" s="723"/>
      <c r="AB69" s="723"/>
    </row>
    <row r="70" spans="1:28" s="752" customFormat="1">
      <c r="A70" s="460">
        <v>53</v>
      </c>
      <c r="B70" s="823" t="s">
        <v>182</v>
      </c>
      <c r="C70" s="823"/>
      <c r="D70" s="762">
        <f>Input!$MZ$17</f>
        <v>0</v>
      </c>
      <c r="E70" s="762">
        <f>Input!$NA$17</f>
        <v>0</v>
      </c>
      <c r="F70" s="762">
        <f>Input!$NB$17</f>
        <v>0</v>
      </c>
      <c r="G70" s="762">
        <f>Input!$NC$17</f>
        <v>15621</v>
      </c>
      <c r="H70" s="762">
        <f>Input!$ND$17</f>
        <v>0</v>
      </c>
      <c r="I70" s="762">
        <f>Input!$NE$17</f>
        <v>0</v>
      </c>
      <c r="J70" s="762">
        <f>Input!$NF$17</f>
        <v>0</v>
      </c>
      <c r="K70" s="762">
        <f>Input!$NG$17</f>
        <v>0</v>
      </c>
      <c r="L70" s="762">
        <f>Input!$NH$17</f>
        <v>0</v>
      </c>
      <c r="M70" s="723">
        <f t="shared" si="12"/>
        <v>15621</v>
      </c>
      <c r="O70" s="831">
        <f t="shared" si="14"/>
        <v>15621</v>
      </c>
      <c r="P70" s="832">
        <f>Input!$TP$17</f>
        <v>0</v>
      </c>
      <c r="Q70" s="832">
        <f>Input!$TZ$17</f>
        <v>0</v>
      </c>
      <c r="R70" s="832">
        <f>Input!$UI$17</f>
        <v>0</v>
      </c>
      <c r="S70" s="837">
        <f t="shared" si="16"/>
        <v>15621</v>
      </c>
      <c r="T70" s="723"/>
      <c r="U70" s="834">
        <f t="shared" si="15"/>
        <v>15621</v>
      </c>
      <c r="V70" s="723"/>
      <c r="W70" s="828" t="s">
        <v>182</v>
      </c>
      <c r="X70" s="835">
        <f>Input!$UT$17</f>
        <v>15621</v>
      </c>
      <c r="Y70" s="836">
        <f t="shared" si="13"/>
        <v>0</v>
      </c>
      <c r="Z70" s="723"/>
      <c r="AA70" s="723"/>
      <c r="AB70" s="723"/>
    </row>
    <row r="71" spans="1:28" s="752" customFormat="1">
      <c r="A71" s="460">
        <v>54</v>
      </c>
      <c r="B71" s="823" t="s">
        <v>183</v>
      </c>
      <c r="C71" s="823"/>
      <c r="D71" s="762">
        <f>Input!$NI$17</f>
        <v>7803301</v>
      </c>
      <c r="E71" s="762">
        <f>Input!$NJ$17</f>
        <v>15290763</v>
      </c>
      <c r="F71" s="762">
        <f>Input!$NK$17</f>
        <v>0</v>
      </c>
      <c r="G71" s="762">
        <f>Input!$NL$17</f>
        <v>1528493</v>
      </c>
      <c r="H71" s="762">
        <f>Input!$NM$17</f>
        <v>0</v>
      </c>
      <c r="I71" s="762">
        <f>Input!$NN$17</f>
        <v>0</v>
      </c>
      <c r="J71" s="762">
        <f>Input!$NO$17</f>
        <v>0</v>
      </c>
      <c r="K71" s="762">
        <f>Input!$NP$17</f>
        <v>0</v>
      </c>
      <c r="L71" s="762">
        <f>Input!$NQ$17</f>
        <v>0</v>
      </c>
      <c r="M71" s="723">
        <f t="shared" si="12"/>
        <v>24622557</v>
      </c>
      <c r="O71" s="831">
        <f t="shared" si="14"/>
        <v>24622557</v>
      </c>
      <c r="P71" s="832">
        <f>Input!$TQ$17</f>
        <v>38763</v>
      </c>
      <c r="Q71" s="832">
        <f>Input!$UA$17</f>
        <v>0</v>
      </c>
      <c r="R71" s="832">
        <f>Input!$UJ$17</f>
        <v>0</v>
      </c>
      <c r="S71" s="837">
        <f t="shared" si="16"/>
        <v>24661320</v>
      </c>
      <c r="T71" s="723"/>
      <c r="U71" s="834">
        <f t="shared" si="15"/>
        <v>24622557</v>
      </c>
      <c r="V71" s="723"/>
      <c r="W71" s="828" t="s">
        <v>183</v>
      </c>
      <c r="X71" s="835">
        <f>Input!$UU$17</f>
        <v>24622557</v>
      </c>
      <c r="Y71" s="836">
        <f t="shared" si="13"/>
        <v>0</v>
      </c>
      <c r="Z71" s="723"/>
      <c r="AA71" s="723"/>
      <c r="AB71" s="723"/>
    </row>
    <row r="72" spans="1:28" s="752" customFormat="1">
      <c r="A72" s="460">
        <v>55</v>
      </c>
      <c r="B72" s="823" t="s">
        <v>184</v>
      </c>
      <c r="C72" s="823"/>
      <c r="D72" s="762">
        <f>Input!$NR$17</f>
        <v>1871446</v>
      </c>
      <c r="E72" s="762">
        <f>Input!$NS$17</f>
        <v>0</v>
      </c>
      <c r="F72" s="762">
        <f>Input!$NT$17</f>
        <v>0</v>
      </c>
      <c r="G72" s="762">
        <f>Input!$NU$17</f>
        <v>0</v>
      </c>
      <c r="H72" s="762">
        <f>Input!$NV$17</f>
        <v>0</v>
      </c>
      <c r="I72" s="762">
        <f>Input!$NW$17</f>
        <v>0</v>
      </c>
      <c r="J72" s="762">
        <f>Input!$NX$17</f>
        <v>699062</v>
      </c>
      <c r="K72" s="762">
        <f>Input!$NY$17</f>
        <v>0</v>
      </c>
      <c r="L72" s="762">
        <f>Input!$NZ$17</f>
        <v>0</v>
      </c>
      <c r="M72" s="723">
        <f t="shared" si="12"/>
        <v>2570508</v>
      </c>
      <c r="O72" s="831">
        <f t="shared" si="14"/>
        <v>1871446</v>
      </c>
      <c r="P72" s="832">
        <f>Input!$TR$17</f>
        <v>0</v>
      </c>
      <c r="Q72" s="832">
        <f>Input!$UB$17</f>
        <v>0</v>
      </c>
      <c r="R72" s="832">
        <f>Input!$UK$17</f>
        <v>0</v>
      </c>
      <c r="S72" s="837">
        <f t="shared" si="16"/>
        <v>1871446</v>
      </c>
      <c r="T72" s="723"/>
      <c r="U72" s="834">
        <f t="shared" si="15"/>
        <v>2570508</v>
      </c>
      <c r="V72" s="723"/>
      <c r="W72" s="828" t="s">
        <v>671</v>
      </c>
      <c r="X72" s="835">
        <f>Input!$UV$17</f>
        <v>2570508</v>
      </c>
      <c r="Y72" s="836">
        <f t="shared" si="13"/>
        <v>0</v>
      </c>
      <c r="Z72" s="723"/>
      <c r="AA72" s="723"/>
      <c r="AB72" s="723"/>
    </row>
    <row r="73" spans="1:28" s="752" customFormat="1" ht="13.8" thickBot="1">
      <c r="A73" s="460">
        <v>56</v>
      </c>
      <c r="B73" s="823" t="s">
        <v>185</v>
      </c>
      <c r="C73" s="823"/>
      <c r="D73" s="762">
        <f>Input!$OA$17</f>
        <v>91848</v>
      </c>
      <c r="E73" s="762">
        <f>Input!$OB$17</f>
        <v>586769</v>
      </c>
      <c r="F73" s="762">
        <f>Input!$OC$17</f>
        <v>0</v>
      </c>
      <c r="G73" s="762">
        <f>Input!$OD$17</f>
        <v>1775864</v>
      </c>
      <c r="H73" s="762">
        <f>Input!$OE$17</f>
        <v>0</v>
      </c>
      <c r="I73" s="762">
        <f>Input!$OF$17</f>
        <v>0</v>
      </c>
      <c r="J73" s="762">
        <f>Input!$OG$17</f>
        <v>0</v>
      </c>
      <c r="K73" s="762">
        <f>Input!$OH$17</f>
        <v>0</v>
      </c>
      <c r="L73" s="762">
        <f>Input!$OI$17</f>
        <v>0</v>
      </c>
      <c r="M73" s="723">
        <f t="shared" si="12"/>
        <v>2454481</v>
      </c>
      <c r="O73" s="838">
        <f>D73+E73+G73</f>
        <v>2454481</v>
      </c>
      <c r="P73" s="832">
        <f>Input!$TS$17</f>
        <v>0</v>
      </c>
      <c r="Q73" s="839">
        <f>Input!$UC$17</f>
        <v>0</v>
      </c>
      <c r="R73" s="839">
        <f>Input!$UL$17</f>
        <v>0</v>
      </c>
      <c r="S73" s="840">
        <f>O73+P73-Q73-R73</f>
        <v>2454481</v>
      </c>
      <c r="T73" s="841"/>
      <c r="U73" s="834">
        <f t="shared" si="15"/>
        <v>2454481</v>
      </c>
      <c r="V73" s="841"/>
      <c r="W73" s="828" t="s">
        <v>185</v>
      </c>
      <c r="X73" s="835">
        <f>Input!$UW$17</f>
        <v>2454481</v>
      </c>
      <c r="Y73" s="836">
        <f t="shared" si="13"/>
        <v>0</v>
      </c>
      <c r="Z73" s="723"/>
      <c r="AA73" s="723"/>
      <c r="AB73" s="723"/>
    </row>
    <row r="74" spans="1:28" s="752" customFormat="1" ht="13.8" thickTop="1">
      <c r="A74" s="460">
        <v>57</v>
      </c>
      <c r="B74" s="823" t="s">
        <v>472</v>
      </c>
      <c r="C74" s="823"/>
      <c r="D74" s="762">
        <f>Input!$OJ$17</f>
        <v>0</v>
      </c>
      <c r="E74" s="762">
        <f>Input!$OK$17</f>
        <v>0</v>
      </c>
      <c r="F74" s="762">
        <f>Input!$OL$17</f>
        <v>967543</v>
      </c>
      <c r="G74" s="762">
        <f>Input!$OM$17</f>
        <v>0</v>
      </c>
      <c r="H74" s="762">
        <f>Input!$ON$17</f>
        <v>0</v>
      </c>
      <c r="I74" s="762">
        <f>Input!$OO$17</f>
        <v>0</v>
      </c>
      <c r="J74" s="762">
        <f>Input!$OP$17</f>
        <v>0</v>
      </c>
      <c r="K74" s="762">
        <f>Input!$OQ$17</f>
        <v>0</v>
      </c>
      <c r="L74" s="762">
        <f>Input!$OR$17</f>
        <v>0</v>
      </c>
      <c r="M74" s="723">
        <f t="shared" si="12"/>
        <v>967543</v>
      </c>
      <c r="O74" s="492"/>
      <c r="P74" s="842">
        <f>Input!$TT$17</f>
        <v>0</v>
      </c>
      <c r="Q74" s="843"/>
      <c r="R74" s="844"/>
      <c r="S74" s="845">
        <f>SUM(S65:S73)</f>
        <v>241811043</v>
      </c>
      <c r="T74" s="844"/>
      <c r="U74" s="834">
        <f t="shared" si="15"/>
        <v>967543</v>
      </c>
      <c r="V74" s="844"/>
      <c r="W74" s="828" t="s">
        <v>186</v>
      </c>
      <c r="X74" s="835">
        <f>Input!$UX$17</f>
        <v>967543</v>
      </c>
      <c r="Y74" s="836">
        <f t="shared" si="13"/>
        <v>0</v>
      </c>
      <c r="Z74" s="723"/>
      <c r="AA74" s="723"/>
      <c r="AB74" s="723"/>
    </row>
    <row r="75" spans="1:28" s="752" customFormat="1">
      <c r="A75" s="460">
        <v>58</v>
      </c>
      <c r="B75" s="846" t="s">
        <v>602</v>
      </c>
      <c r="C75" s="846"/>
      <c r="D75" s="762">
        <f>Input!$OS$17</f>
        <v>88123</v>
      </c>
      <c r="E75" s="762">
        <f>Input!$OT$17</f>
        <v>18515</v>
      </c>
      <c r="F75" s="762">
        <f>Input!$OU$17</f>
        <v>0</v>
      </c>
      <c r="G75" s="762">
        <f>Input!$OV$17</f>
        <v>145495</v>
      </c>
      <c r="H75" s="762">
        <f>Input!$OW$17</f>
        <v>0</v>
      </c>
      <c r="I75" s="762">
        <f>Input!$OX$17</f>
        <v>0</v>
      </c>
      <c r="J75" s="762">
        <f>Input!$OY$17</f>
        <v>0</v>
      </c>
      <c r="K75" s="762">
        <f>Input!$OZ$17</f>
        <v>0</v>
      </c>
      <c r="L75" s="762">
        <f>Input!$PA$17</f>
        <v>0</v>
      </c>
      <c r="M75" s="723">
        <f t="shared" si="12"/>
        <v>252133</v>
      </c>
      <c r="O75" s="492"/>
      <c r="P75" s="492">
        <f>SUM(P65:P74)</f>
        <v>252133</v>
      </c>
      <c r="Q75" s="843" t="s">
        <v>672</v>
      </c>
      <c r="R75" s="844"/>
      <c r="S75" s="847"/>
      <c r="T75" s="844"/>
      <c r="U75" s="834">
        <f t="shared" si="15"/>
        <v>252133</v>
      </c>
      <c r="V75" s="844"/>
      <c r="W75" s="828" t="s">
        <v>673</v>
      </c>
      <c r="X75" s="848">
        <f>M93*-1</f>
        <v>26062937</v>
      </c>
      <c r="Y75" s="836">
        <f>X75+M93</f>
        <v>0</v>
      </c>
      <c r="Z75" s="849"/>
      <c r="AA75" s="849"/>
      <c r="AB75" s="849"/>
    </row>
    <row r="76" spans="1:28" s="752" customFormat="1" ht="13.8" thickBot="1">
      <c r="A76" s="460">
        <v>59</v>
      </c>
      <c r="B76" s="850" t="s">
        <v>603</v>
      </c>
      <c r="C76" s="850"/>
      <c r="D76" s="851">
        <f>Input!$PB$17</f>
        <v>0</v>
      </c>
      <c r="E76" s="851">
        <f>Input!$PC$17</f>
        <v>2850</v>
      </c>
      <c r="F76" s="851">
        <f>Input!$PD$17</f>
        <v>0</v>
      </c>
      <c r="G76" s="851">
        <f>Input!$PE$17</f>
        <v>0</v>
      </c>
      <c r="H76" s="851">
        <f>Input!$PF$17</f>
        <v>0</v>
      </c>
      <c r="I76" s="851">
        <f>Input!$PG$17</f>
        <v>0</v>
      </c>
      <c r="J76" s="851">
        <f>Input!$PH$17</f>
        <v>0</v>
      </c>
      <c r="K76" s="851">
        <f>Input!$PI$17</f>
        <v>0</v>
      </c>
      <c r="L76" s="851">
        <f>Input!$PJ$17</f>
        <v>0</v>
      </c>
      <c r="M76" s="723">
        <f t="shared" si="12"/>
        <v>2850</v>
      </c>
      <c r="O76" s="492"/>
      <c r="P76" s="852" t="str">
        <f>IF(P75&lt;&gt;M75,"Out of Balance","Balanced")</f>
        <v>Balanced</v>
      </c>
      <c r="Q76" s="1213" t="s">
        <v>674</v>
      </c>
      <c r="R76" s="1214"/>
      <c r="S76" s="853">
        <f>Input!$UM$17</f>
        <v>0</v>
      </c>
      <c r="T76" s="492"/>
      <c r="U76" s="854">
        <f t="shared" si="15"/>
        <v>2850</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49127515</v>
      </c>
      <c r="E77" s="769">
        <f t="shared" si="17"/>
        <v>156740815</v>
      </c>
      <c r="F77" s="769">
        <f t="shared" si="17"/>
        <v>967543</v>
      </c>
      <c r="G77" s="769">
        <f t="shared" si="17"/>
        <v>40889465</v>
      </c>
      <c r="H77" s="769">
        <f t="shared" si="17"/>
        <v>0</v>
      </c>
      <c r="I77" s="769">
        <f t="shared" si="17"/>
        <v>0</v>
      </c>
      <c r="J77" s="769">
        <f t="shared" si="17"/>
        <v>699062</v>
      </c>
      <c r="K77" s="769">
        <f t="shared" si="17"/>
        <v>0</v>
      </c>
      <c r="L77" s="769">
        <f t="shared" si="17"/>
        <v>0</v>
      </c>
      <c r="M77" s="769">
        <f t="shared" si="12"/>
        <v>248424400</v>
      </c>
      <c r="O77" s="320"/>
      <c r="P77" s="492"/>
      <c r="Q77" s="859" t="s">
        <v>676</v>
      </c>
      <c r="R77" s="860"/>
      <c r="S77" s="861">
        <f>Input!$UN$17</f>
        <v>0</v>
      </c>
      <c r="T77" s="320"/>
      <c r="U77" s="862">
        <f>SUM(U65:U76)</f>
        <v>248424400</v>
      </c>
      <c r="V77" s="320"/>
      <c r="W77" s="320"/>
      <c r="X77" s="863">
        <f>SUM(X65:X76)</f>
        <v>274232354</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241811043</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Input!$PK$17</f>
        <v>0</v>
      </c>
      <c r="E80" s="762">
        <f>Input!$PL$17</f>
        <v>0</v>
      </c>
      <c r="F80" s="762">
        <f>Input!$PM$17</f>
        <v>0</v>
      </c>
      <c r="G80" s="762">
        <f>Input!$PN$17</f>
        <v>0</v>
      </c>
      <c r="H80" s="762">
        <f>Input!$PO$17</f>
        <v>0</v>
      </c>
      <c r="I80" s="762">
        <f>Input!$PP$17</f>
        <v>0</v>
      </c>
      <c r="J80" s="762">
        <f>Input!$PQ$17</f>
        <v>-4051203</v>
      </c>
      <c r="K80" s="762">
        <f>Input!$PR$17</f>
        <v>0</v>
      </c>
      <c r="L80" s="762">
        <f>Input!$PS$17</f>
        <v>0</v>
      </c>
      <c r="M80" s="723">
        <f>D80+E80+F80+G80+H80+I80+J80+K80+L80</f>
        <v>-4051203</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Input!$PT$17</f>
        <v>-33312</v>
      </c>
      <c r="E81" s="762">
        <f>Input!$PU$17</f>
        <v>8745356</v>
      </c>
      <c r="F81" s="762">
        <f>Input!$PV$17</f>
        <v>0</v>
      </c>
      <c r="G81" s="762">
        <f>Input!$PW$17</f>
        <v>211059</v>
      </c>
      <c r="H81" s="762">
        <f>Input!$PX$17</f>
        <v>0</v>
      </c>
      <c r="I81" s="762">
        <f>Input!$PY$17</f>
        <v>0</v>
      </c>
      <c r="J81" s="762">
        <f>Input!$PZ$17</f>
        <v>-15000</v>
      </c>
      <c r="K81" s="762">
        <f>Input!$QA$17</f>
        <v>0</v>
      </c>
      <c r="L81" s="762">
        <f>Input!$QB$17</f>
        <v>0</v>
      </c>
      <c r="M81" s="723">
        <f>D81+E81+F81+G81+H81+I81+J81+K81+L81</f>
        <v>8908103</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Input!$QC$17</f>
        <v>0</v>
      </c>
      <c r="E82" s="762">
        <f>Input!$QD$17</f>
        <v>0</v>
      </c>
      <c r="F82" s="762">
        <f>Input!$QE$17</f>
        <v>0</v>
      </c>
      <c r="G82" s="762">
        <f>Input!$QF$17</f>
        <v>0</v>
      </c>
      <c r="H82" s="762">
        <f>Input!$QG$17</f>
        <v>0</v>
      </c>
      <c r="I82" s="762">
        <f>Input!$QH$17</f>
        <v>0</v>
      </c>
      <c r="J82" s="762">
        <f>Input!$QI$17</f>
        <v>1515547</v>
      </c>
      <c r="K82" s="762">
        <f>Input!$QJ$17</f>
        <v>0</v>
      </c>
      <c r="L82" s="762">
        <f>Input!$QK$17</f>
        <v>0</v>
      </c>
      <c r="M82" s="723">
        <f>D82+E82+F82+G82+H82+I82+J82+K82+L82</f>
        <v>1515547</v>
      </c>
      <c r="O82" s="492"/>
      <c r="P82" s="1218" t="str">
        <f>IF(M91&lt;0,"Footnote 11 is N/A - No Data Entry Required","Footnote 11")</f>
        <v>Footnote 11 is N/A - No Data Entry Required</v>
      </c>
      <c r="Q82" s="1219"/>
      <c r="R82" s="1219"/>
      <c r="S82" s="1220"/>
      <c r="T82" s="443"/>
      <c r="U82" s="443"/>
      <c r="V82" s="320"/>
      <c r="W82" s="320"/>
      <c r="X82" s="320"/>
      <c r="Y82" s="320"/>
      <c r="Z82" s="320"/>
      <c r="AA82" s="320"/>
      <c r="AB82" s="320"/>
    </row>
    <row r="83" spans="1:28" s="752" customFormat="1" ht="13.8" thickTop="1">
      <c r="A83" s="460">
        <v>66</v>
      </c>
      <c r="B83" s="752" t="s">
        <v>477</v>
      </c>
      <c r="D83" s="762">
        <f>Input!$QL$17</f>
        <v>-934423</v>
      </c>
      <c r="E83" s="762">
        <f>Input!$QM$17</f>
        <v>-10301120</v>
      </c>
      <c r="F83" s="762">
        <f>Input!$QN$17</f>
        <v>-3187303</v>
      </c>
      <c r="G83" s="762">
        <f>Input!$QO$17</f>
        <v>0</v>
      </c>
      <c r="H83" s="762">
        <f>Input!$QP$17</f>
        <v>0</v>
      </c>
      <c r="I83" s="762">
        <f>Input!$QQ$17</f>
        <v>0</v>
      </c>
      <c r="J83" s="762">
        <f>Input!$QR$17</f>
        <v>0</v>
      </c>
      <c r="K83" s="762">
        <f>Input!$QS$17</f>
        <v>0</v>
      </c>
      <c r="L83" s="762">
        <f>Input!$QT$17</f>
        <v>0</v>
      </c>
      <c r="M83" s="723">
        <f>D83+E83+F83+G83+H83+I83+J83+K83+L83</f>
        <v>-14422846</v>
      </c>
      <c r="O83" s="723"/>
      <c r="P83" s="869" t="s">
        <v>678</v>
      </c>
      <c r="Q83" s="870"/>
      <c r="R83" s="871"/>
      <c r="S83" s="872" t="str">
        <f>IF(M91&lt;0,"N/A",M91)</f>
        <v>N/A</v>
      </c>
      <c r="T83" s="492"/>
      <c r="U83" s="443"/>
      <c r="V83" s="320"/>
      <c r="W83" s="320"/>
      <c r="X83" s="443"/>
      <c r="Y83" s="443"/>
      <c r="Z83" s="320"/>
      <c r="AA83" s="320"/>
      <c r="AB83" s="320"/>
    </row>
    <row r="84" spans="1:28" s="752" customFormat="1">
      <c r="A84" s="460">
        <v>67</v>
      </c>
      <c r="B84" s="858" t="s">
        <v>155</v>
      </c>
      <c r="C84" s="858"/>
      <c r="D84" s="769">
        <f t="shared" ref="D84:L84" si="18">SUM(D80:D83)</f>
        <v>-967735</v>
      </c>
      <c r="E84" s="769">
        <f t="shared" si="18"/>
        <v>-1555764</v>
      </c>
      <c r="F84" s="769">
        <f t="shared" si="18"/>
        <v>-3187303</v>
      </c>
      <c r="G84" s="769">
        <f t="shared" si="18"/>
        <v>211059</v>
      </c>
      <c r="H84" s="769">
        <f t="shared" si="18"/>
        <v>0</v>
      </c>
      <c r="I84" s="769">
        <f t="shared" si="18"/>
        <v>0</v>
      </c>
      <c r="J84" s="769">
        <f t="shared" si="18"/>
        <v>-2550656</v>
      </c>
      <c r="K84" s="769">
        <f t="shared" si="18"/>
        <v>0</v>
      </c>
      <c r="L84" s="769">
        <f t="shared" si="18"/>
        <v>0</v>
      </c>
      <c r="M84" s="769">
        <f>D84+E84+F84+G84+H84+I84+J84+K84+L84</f>
        <v>-8050399</v>
      </c>
      <c r="O84" s="723"/>
      <c r="P84" s="873" t="s">
        <v>679</v>
      </c>
      <c r="Q84" s="492"/>
      <c r="R84" s="492"/>
      <c r="S84" s="874">
        <f>Input!$UY$17</f>
        <v>0</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t="str">
        <f>IF(M91&lt;0,"",S83-S84)</f>
        <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Input!$QU$17</f>
        <v>0</v>
      </c>
      <c r="E87" s="762">
        <f>Input!$QV$17</f>
        <v>0</v>
      </c>
      <c r="F87" s="762">
        <f>Input!$QW$17</f>
        <v>0</v>
      </c>
      <c r="G87" s="762">
        <f>Input!$QX$17</f>
        <v>-24722</v>
      </c>
      <c r="H87" s="762">
        <f>Input!$QY$17</f>
        <v>0</v>
      </c>
      <c r="I87" s="762">
        <f>Input!$QZ$17</f>
        <v>-6141137</v>
      </c>
      <c r="J87" s="762">
        <f>Input!$RA$17</f>
        <v>0</v>
      </c>
      <c r="K87" s="762">
        <f>Input!$RB$17</f>
        <v>0</v>
      </c>
      <c r="L87" s="762">
        <f>Input!$RC$17</f>
        <v>0</v>
      </c>
      <c r="M87" s="723">
        <f>D87+E87+F87+G87+H87+I87+J87+K87+L87</f>
        <v>-6165859</v>
      </c>
      <c r="O87" s="320"/>
      <c r="P87" s="873" t="s">
        <v>681</v>
      </c>
      <c r="Q87" s="320"/>
      <c r="R87" s="492"/>
      <c r="S87" s="878">
        <f>Input!$UZ$17</f>
        <v>-6165859</v>
      </c>
      <c r="T87" s="320"/>
      <c r="U87" s="320"/>
      <c r="V87" s="320"/>
      <c r="W87" s="320"/>
      <c r="X87" s="443"/>
      <c r="Y87" s="443"/>
      <c r="Z87" s="320"/>
      <c r="AA87" s="320"/>
      <c r="AB87" s="320"/>
    </row>
    <row r="88" spans="1:28" s="752" customFormat="1">
      <c r="A88" s="460">
        <v>71</v>
      </c>
      <c r="B88" s="752" t="s">
        <v>480</v>
      </c>
      <c r="D88" s="762">
        <f>Input!$RD$17</f>
        <v>0</v>
      </c>
      <c r="E88" s="762">
        <f>Input!$RE$17</f>
        <v>0</v>
      </c>
      <c r="F88" s="762">
        <f>Input!$RF$17</f>
        <v>0</v>
      </c>
      <c r="G88" s="762">
        <f>Input!$RG$17</f>
        <v>0</v>
      </c>
      <c r="H88" s="762">
        <f>Input!$RH$17</f>
        <v>0</v>
      </c>
      <c r="I88" s="762">
        <f>Input!$RI$17</f>
        <v>2065831</v>
      </c>
      <c r="J88" s="762">
        <f>Input!$RJ$17</f>
        <v>0</v>
      </c>
      <c r="K88" s="762">
        <f>Input!$RK$17</f>
        <v>0</v>
      </c>
      <c r="L88" s="762">
        <f>Input!$RL$17</f>
        <v>0</v>
      </c>
      <c r="M88" s="723">
        <f>D88+E88+F88+G88+H88+I88+J88+K88+L88</f>
        <v>2065831</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0</v>
      </c>
      <c r="E89" s="769">
        <f t="shared" si="19"/>
        <v>0</v>
      </c>
      <c r="F89" s="769">
        <f t="shared" si="19"/>
        <v>0</v>
      </c>
      <c r="G89" s="769">
        <f t="shared" si="19"/>
        <v>-24722</v>
      </c>
      <c r="H89" s="769">
        <f t="shared" si="19"/>
        <v>0</v>
      </c>
      <c r="I89" s="769">
        <f t="shared" si="19"/>
        <v>-4075306</v>
      </c>
      <c r="J89" s="769">
        <f t="shared" si="19"/>
        <v>0</v>
      </c>
      <c r="K89" s="769">
        <f t="shared" si="19"/>
        <v>0</v>
      </c>
      <c r="L89" s="769">
        <f t="shared" si="19"/>
        <v>0</v>
      </c>
      <c r="M89" s="769">
        <f>D89+E89+F89+G89+H89+I89+J89+K89+L89</f>
        <v>-4100028</v>
      </c>
      <c r="O89" s="320"/>
      <c r="P89" s="873" t="s">
        <v>683</v>
      </c>
      <c r="Q89" s="320"/>
      <c r="R89" s="320"/>
      <c r="S89" s="875" t="str">
        <f>IFERROR(S85-S87,"")</f>
        <v/>
      </c>
      <c r="T89" s="320"/>
      <c r="U89" s="492"/>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-7338566</v>
      </c>
      <c r="E91" s="769">
        <f t="shared" si="20"/>
        <v>5065605</v>
      </c>
      <c r="F91" s="769">
        <f t="shared" si="20"/>
        <v>-1006729</v>
      </c>
      <c r="G91" s="769">
        <f t="shared" si="20"/>
        <v>-5453054</v>
      </c>
      <c r="H91" s="769">
        <f t="shared" si="20"/>
        <v>0</v>
      </c>
      <c r="I91" s="769">
        <f t="shared" si="20"/>
        <v>-5368982</v>
      </c>
      <c r="J91" s="769">
        <f t="shared" si="20"/>
        <v>-3249718</v>
      </c>
      <c r="K91" s="769">
        <f t="shared" si="20"/>
        <v>0</v>
      </c>
      <c r="L91" s="769">
        <f>L63-L77+L84+L89</f>
        <v>-123159</v>
      </c>
      <c r="M91" s="769">
        <f>D91+E91+F91+G91+H91+I91+J91+K91+L91</f>
        <v>-17474603</v>
      </c>
      <c r="O91" s="320"/>
      <c r="P91" s="881" t="s">
        <v>684</v>
      </c>
      <c r="Q91" s="882"/>
      <c r="R91" s="882"/>
      <c r="S91" s="883" t="str">
        <f>IFERROR((S89+S87)-S85,"")</f>
        <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Input!$RM$17</f>
        <v>0</v>
      </c>
      <c r="E93" s="762">
        <f>Input!$RN$17</f>
        <v>0</v>
      </c>
      <c r="F93" s="762">
        <f>Input!$RO$17</f>
        <v>0</v>
      </c>
      <c r="G93" s="762">
        <f>Input!$RP$17</f>
        <v>0</v>
      </c>
      <c r="H93" s="762">
        <f>Input!$RQ$17</f>
        <v>0</v>
      </c>
      <c r="I93" s="762">
        <f>Input!$RR$17</f>
        <v>0</v>
      </c>
      <c r="J93" s="762">
        <f>Input!$RS$17</f>
        <v>0</v>
      </c>
      <c r="K93" s="762">
        <f>Input!$RT$17</f>
        <v>0</v>
      </c>
      <c r="L93" s="762">
        <f>Input!$RU$17</f>
        <v>-26062937</v>
      </c>
      <c r="M93" s="723">
        <f>D93+E93+F93+G93+H93+I93+J93+K93+L93</f>
        <v>-26062937</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Input!$RV$17</f>
        <v>0</v>
      </c>
      <c r="E94" s="762">
        <f>Input!$RW$17</f>
        <v>0</v>
      </c>
      <c r="F94" s="762">
        <f>Input!$RX$17</f>
        <v>0</v>
      </c>
      <c r="G94" s="762">
        <f>Input!$RY$17</f>
        <v>0</v>
      </c>
      <c r="H94" s="762">
        <f>Input!$RZ$17</f>
        <v>0</v>
      </c>
      <c r="I94" s="762">
        <f>Input!$SA$17</f>
        <v>0</v>
      </c>
      <c r="J94" s="762">
        <f>Input!$SB$17</f>
        <v>0</v>
      </c>
      <c r="K94" s="762">
        <f>Input!$SC$17</f>
        <v>0</v>
      </c>
      <c r="L94" s="762">
        <f>Input!$SD$17</f>
        <v>0</v>
      </c>
      <c r="M94" s="723">
        <f>D94+E94+F94+G94+H94+I94+J94+K94+L94</f>
        <v>0</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Input!$SE$17</f>
        <v>0</v>
      </c>
      <c r="E95" s="762">
        <f>Input!$SF$17</f>
        <v>0</v>
      </c>
      <c r="F95" s="762">
        <f>Input!$SG$17</f>
        <v>0</v>
      </c>
      <c r="G95" s="762">
        <f>Input!$SH$17</f>
        <v>0</v>
      </c>
      <c r="H95" s="762">
        <f>Input!$SI$17</f>
        <v>0</v>
      </c>
      <c r="I95" s="762">
        <f>Input!$SJ$17</f>
        <v>0</v>
      </c>
      <c r="J95" s="762">
        <f>Input!$SK$17</f>
        <v>0</v>
      </c>
      <c r="K95" s="762">
        <f>Input!$SL$17</f>
        <v>0</v>
      </c>
      <c r="L95" s="762">
        <f>Input!$SM$17</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Input!$SN$17</f>
        <v>0</v>
      </c>
      <c r="E96" s="762">
        <f>Input!$SO$17</f>
        <v>0</v>
      </c>
      <c r="F96" s="762">
        <f>Input!$SP$17</f>
        <v>0</v>
      </c>
      <c r="G96" s="762">
        <f>Input!$SQ$17</f>
        <v>0</v>
      </c>
      <c r="H96" s="762">
        <f>Input!$SR$17</f>
        <v>0</v>
      </c>
      <c r="I96" s="762">
        <f>Input!$SS$17</f>
        <v>0</v>
      </c>
      <c r="J96" s="762">
        <f>Input!$ST$17</f>
        <v>0</v>
      </c>
      <c r="K96" s="762">
        <f>Input!$SU$17</f>
        <v>0</v>
      </c>
      <c r="L96" s="762">
        <f>Input!$SV$17</f>
        <v>45714</v>
      </c>
      <c r="M96" s="723">
        <f>D96+E96+F96+G96+H96+I96+J96+K96+L96</f>
        <v>45714</v>
      </c>
      <c r="O96" s="884"/>
      <c r="P96" s="320"/>
      <c r="Q96" s="320"/>
      <c r="R96" s="320"/>
      <c r="S96" s="320"/>
      <c r="Y96" s="320"/>
      <c r="Z96" s="320"/>
      <c r="AA96" s="320"/>
      <c r="AB96" s="320"/>
    </row>
    <row r="97" spans="1:28" s="752" customFormat="1">
      <c r="A97" s="460">
        <v>79</v>
      </c>
      <c r="B97" s="320" t="s">
        <v>486</v>
      </c>
      <c r="C97" s="320"/>
      <c r="D97" s="762">
        <f>Input!$SW$17</f>
        <v>0</v>
      </c>
      <c r="E97" s="762">
        <f>Input!$SX$17</f>
        <v>0</v>
      </c>
      <c r="F97" s="762">
        <f>Input!$SY$17</f>
        <v>0</v>
      </c>
      <c r="G97" s="762">
        <f>Input!$SZ$17</f>
        <v>0</v>
      </c>
      <c r="H97" s="762">
        <f>Input!$TA$17</f>
        <v>0</v>
      </c>
      <c r="I97" s="762">
        <f>Input!$TB$17</f>
        <v>0</v>
      </c>
      <c r="J97" s="762">
        <f>Input!$TC$17</f>
        <v>0</v>
      </c>
      <c r="K97" s="762">
        <f>Input!$TD$17</f>
        <v>0</v>
      </c>
      <c r="L97" s="762">
        <f>Input!$TE$17</f>
        <v>4303336</v>
      </c>
      <c r="M97" s="723">
        <f>D97+E97+F97+G97+H97+I97+J97+K97+L97</f>
        <v>4303336</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-7338566</v>
      </c>
      <c r="E98" s="886">
        <f t="shared" si="21"/>
        <v>5065605</v>
      </c>
      <c r="F98" s="886">
        <f t="shared" si="21"/>
        <v>-1006729</v>
      </c>
      <c r="G98" s="886">
        <f t="shared" si="21"/>
        <v>-5453054</v>
      </c>
      <c r="H98" s="886">
        <f t="shared" si="21"/>
        <v>0</v>
      </c>
      <c r="I98" s="886">
        <f t="shared" si="21"/>
        <v>-5368982</v>
      </c>
      <c r="J98" s="886">
        <f t="shared" si="21"/>
        <v>-3249718</v>
      </c>
      <c r="K98" s="886">
        <f t="shared" si="21"/>
        <v>0</v>
      </c>
      <c r="L98" s="886">
        <f t="shared" si="21"/>
        <v>-21837046</v>
      </c>
      <c r="M98" s="886">
        <f>SUM(M91:M97)</f>
        <v>-39188490</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9" t="str">
        <f>Input!$VC$17</f>
        <v>Marcy Lowther</v>
      </c>
      <c r="Q103" s="1225"/>
      <c r="R103" s="1224" t="str">
        <f>Input!$VD$17</f>
        <v>512-471-28008</v>
      </c>
      <c r="S103" s="1225"/>
      <c r="T103" s="320"/>
      <c r="U103" s="1226" t="str">
        <f>HYPERLINK("Mailto:"&amp;Input!$VE$17,Input!$VE$17)</f>
        <v>mlowther@austin.utexas.edu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Input!$TF$17</f>
        <v>-39188490</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IF($L$123&lt;&gt;Input!$F$17,"Out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90916464</v>
      </c>
      <c r="E110" s="723">
        <f>SUM($E$10:$E$14)+SUM($E$19:$E$28)+SUM($E$50)+$E$53+SUM($E$56:$E$61)+SUM($E$65:$E$76)+SUM($E$80:$E$83)+SUM($E$87:$E$88)+SUM($E$93:$E$97)+SUM($E$32:$E$41)+$E$47</f>
        <v>318547235</v>
      </c>
      <c r="F110" s="723">
        <f>SUM($F$10:$F$14)+SUM($F$19:$F$28)+SUM($F$50)+$F$53+SUM($F$56:$F$61)+SUM($F$65:$F$76)+SUM($F$80:$F$83)+SUM($F$87:$F$88)+SUM($F$93:$F$97)+SUM($F$32:$F$41)+$F$47</f>
        <v>928357</v>
      </c>
      <c r="G110" s="723">
        <f>SUM($G$10:$G$14)+SUM($G$19:$G$28)+SUM($G$50)+$G$53+SUM($G$56:$G$61)+SUM($G$65:$G$76)+SUM($G$80:$G$83)+SUM($G$87:$G$88)+SUM($G$93:$G$97)+SUM($G$32:$G$41)+$G$47</f>
        <v>76325876</v>
      </c>
      <c r="H110" s="723">
        <f>SUM($H$10:$H$14)+SUM($H$19:$H$28)+SUM($H$50)+$H$53+SUM($H$56:$H$61)+SUM($H$65:$H$76)+SUM($H$80:$H$83)+SUM($H$87:$H$88)+SUM($H$93:$H$97)+SUM($H$32:$H$41)+$H$47</f>
        <v>0</v>
      </c>
      <c r="I110" s="723">
        <f>SUM($I$10:$I$14)+SUM($I$19:$I$28)+SUM($I$50)+$I$53+SUM($I$56:$I$61)+SUM($I$65:$I$76)+SUM($I$80:$I$83)+SUM($I$87:$I$88)+SUM($I$93:$I$97)+SUM($I$32:$I$41)+$I$47</f>
        <v>-5368982</v>
      </c>
      <c r="J110" s="723">
        <f>SUM($J$10:$J$14)+SUM($J$19:$J$28)+SUM($J$50)+$J$53+SUM($J$56:$J$61)+SUM($J$65:$J$76)+SUM($J$80:$J$83)+SUM($J$87:$J$88)+SUM($J$93:$J$97)+SUM($J$32:$J$41)+$J$47</f>
        <v>-1851594</v>
      </c>
      <c r="K110" s="723">
        <f>SUM($K$10:$K$14)+SUM($K$19:$K$28)+SUM($K$50)+$K$53+SUM($K$56:$K$61)+SUM($K$65:$K$76)+SUM($K$80:$K$83)+SUM($K$87:$K$88)+SUM($K$93:$K$97)+SUM($K$32:$K$41)+$K$47</f>
        <v>0</v>
      </c>
      <c r="L110" s="723">
        <f>SUM($L$10:$L$14)+SUM($L$19:$L$28)+SUM($L$50)+$L$53+SUM($L$56:$L$61)+SUM($L$65:$L$76)+SUM($L$80:$L$83)+SUM($L$87:$L$88)+SUM($L$93:$L$97)+SUM($L$32:$L$41)+$L$47</f>
        <v>-21837046</v>
      </c>
    </row>
    <row r="111" spans="1:28" s="320" customFormat="1">
      <c r="A111" s="322"/>
      <c r="L111" s="723">
        <f>SUM($D$110:$L$110)</f>
        <v>457660310</v>
      </c>
    </row>
    <row r="112" spans="1:28" s="320" customFormat="1">
      <c r="A112" s="322"/>
      <c r="J112" s="320" t="s">
        <v>690</v>
      </c>
      <c r="L112" s="723">
        <f>$M$105</f>
        <v>-39188490</v>
      </c>
    </row>
    <row r="113" spans="1:12" s="320" customFormat="1">
      <c r="A113" s="322"/>
      <c r="J113" s="320" t="s">
        <v>691</v>
      </c>
      <c r="L113" s="492">
        <f>$Q$32</f>
        <v>4960798</v>
      </c>
    </row>
    <row r="114" spans="1:12" s="320" customFormat="1">
      <c r="A114" s="322"/>
      <c r="J114" s="320" t="s">
        <v>691</v>
      </c>
      <c r="L114" s="492">
        <f>$R$34</f>
        <v>-1471585</v>
      </c>
    </row>
    <row r="115" spans="1:12" s="320" customFormat="1">
      <c r="A115" s="322"/>
      <c r="J115" s="320" t="s">
        <v>521</v>
      </c>
      <c r="L115" s="492">
        <f>SUM($P$65:$P$74)</f>
        <v>252133</v>
      </c>
    </row>
    <row r="116" spans="1:12" s="320" customFormat="1">
      <c r="A116" s="322"/>
      <c r="J116" s="320" t="s">
        <v>692</v>
      </c>
      <c r="L116" s="492">
        <f>$S$76+$S$77</f>
        <v>0</v>
      </c>
    </row>
    <row r="117" spans="1:12" s="320" customFormat="1">
      <c r="A117" s="322"/>
      <c r="J117" s="320" t="s">
        <v>693</v>
      </c>
      <c r="L117" s="492">
        <f>SUM($Q$65:$Q$73)</f>
        <v>4943902</v>
      </c>
    </row>
    <row r="118" spans="1:12" s="320" customFormat="1">
      <c r="A118" s="322"/>
      <c r="J118" s="320" t="s">
        <v>694</v>
      </c>
      <c r="L118" s="492">
        <f>SUM($R$65:$R$73)</f>
        <v>0</v>
      </c>
    </row>
    <row r="119" spans="1:12" s="320" customFormat="1">
      <c r="A119" s="322"/>
      <c r="J119" s="320" t="s">
        <v>695</v>
      </c>
      <c r="L119" s="492">
        <f>SUM($X$65:$X$74)</f>
        <v>248169417</v>
      </c>
    </row>
    <row r="120" spans="1:12" s="320" customFormat="1">
      <c r="A120" s="322"/>
      <c r="J120" s="320" t="s">
        <v>696</v>
      </c>
      <c r="L120" s="492">
        <f>$S$84</f>
        <v>0</v>
      </c>
    </row>
    <row r="121" spans="1:12" s="320" customFormat="1">
      <c r="A121" s="322"/>
      <c r="J121" s="320" t="s">
        <v>696</v>
      </c>
      <c r="L121" s="492">
        <f>$S$87</f>
        <v>-6165859</v>
      </c>
    </row>
    <row r="122" spans="1:12" s="320" customFormat="1">
      <c r="A122" s="322"/>
      <c r="J122" s="320" t="s">
        <v>697</v>
      </c>
      <c r="L122" s="443">
        <f>VLOOKUP(B2,Names!$B$10:$C$96,2,FALSE)</f>
        <v>203658</v>
      </c>
    </row>
    <row r="123" spans="1:12" s="320" customFormat="1">
      <c r="A123" s="322"/>
      <c r="L123" s="898">
        <f>SUM($L$111:$L$122)</f>
        <v>669364284</v>
      </c>
    </row>
  </sheetData>
  <mergeCells count="27">
    <mergeCell ref="B2:F2"/>
    <mergeCell ref="B3:F3"/>
    <mergeCell ref="B4:F4"/>
    <mergeCell ref="P4:Q4"/>
    <mergeCell ref="B6:M6"/>
    <mergeCell ref="O19:S19"/>
    <mergeCell ref="U19:Y19"/>
    <mergeCell ref="O60:S60"/>
    <mergeCell ref="W60:Y60"/>
    <mergeCell ref="P10:P11"/>
    <mergeCell ref="P82:S82"/>
    <mergeCell ref="O61:O64"/>
    <mergeCell ref="P61:P64"/>
    <mergeCell ref="Q61:Q64"/>
    <mergeCell ref="R61:R64"/>
    <mergeCell ref="S61:S64"/>
    <mergeCell ref="W61:W64"/>
    <mergeCell ref="X61:X64"/>
    <mergeCell ref="Y61:Y64"/>
    <mergeCell ref="G64:K64"/>
    <mergeCell ref="Q76:R76"/>
    <mergeCell ref="U61:U64"/>
    <mergeCell ref="P100:V100"/>
    <mergeCell ref="P103:Q103"/>
    <mergeCell ref="R103:S103"/>
    <mergeCell ref="U103:V103"/>
    <mergeCell ref="P105:V106"/>
  </mergeCells>
  <conditionalFormatting sqref="D98:L98">
    <cfRule type="cellIs" dxfId="160" priority="25" stopIfTrue="1" operator="notEqual">
      <formula>#REF!</formula>
    </cfRule>
  </conditionalFormatting>
  <conditionalFormatting sqref="D99:M99">
    <cfRule type="cellIs" dxfId="159" priority="31" stopIfTrue="1" operator="notEqual">
      <formula>#REF!</formula>
    </cfRule>
  </conditionalFormatting>
  <conditionalFormatting sqref="G64:K64">
    <cfRule type="expression" dxfId="158" priority="24">
      <formula>$R$98&lt;&gt;0</formula>
    </cfRule>
    <cfRule type="expression" dxfId="157" priority="47">
      <formula>$T$93&gt;0</formula>
    </cfRule>
  </conditionalFormatting>
  <conditionalFormatting sqref="M15">
    <cfRule type="cellIs" dxfId="156" priority="26" stopIfTrue="1" operator="notEqual">
      <formula>SUM($M$10:$M$14)</formula>
    </cfRule>
  </conditionalFormatting>
  <conditionalFormatting sqref="M62">
    <cfRule type="cellIs" dxfId="155" priority="27" stopIfTrue="1" operator="notEqual">
      <formula>SUM($M$56:$M$61)</formula>
    </cfRule>
  </conditionalFormatting>
  <conditionalFormatting sqref="M77">
    <cfRule type="cellIs" dxfId="154" priority="30" stopIfTrue="1" operator="notEqual">
      <formula>SUM($M$65:$M$76)</formula>
    </cfRule>
  </conditionalFormatting>
  <conditionalFormatting sqref="M84">
    <cfRule type="cellIs" dxfId="153" priority="28" stopIfTrue="1" operator="notEqual">
      <formula>SUM($M$80:$M$83)</formula>
    </cfRule>
  </conditionalFormatting>
  <conditionalFormatting sqref="M89">
    <cfRule type="cellIs" dxfId="152" priority="29" stopIfTrue="1" operator="notEqual">
      <formula>SUM($M$87:$M$88)</formula>
    </cfRule>
  </conditionalFormatting>
  <conditionalFormatting sqref="O12">
    <cfRule type="expression" dxfId="151" priority="21">
      <formula>$Q$12&lt;&gt;$N$12</formula>
    </cfRule>
    <cfRule type="expression" dxfId="150" priority="66">
      <formula>$P$12&lt;&gt;$M$12</formula>
    </cfRule>
  </conditionalFormatting>
  <conditionalFormatting sqref="O13">
    <cfRule type="expression" dxfId="149" priority="22">
      <formula>$Q$13&lt;&gt;$N$13</formula>
    </cfRule>
    <cfRule type="expression" dxfId="148" priority="67">
      <formula>$P$13&lt;&gt;$M$13</formula>
    </cfRule>
  </conditionalFormatting>
  <conditionalFormatting sqref="O11:P11">
    <cfRule type="expression" dxfId="147" priority="23">
      <formula>#REF!&lt;&gt;$N$11</formula>
    </cfRule>
  </conditionalFormatting>
  <conditionalFormatting sqref="P76">
    <cfRule type="expression" dxfId="146" priority="15">
      <formula>$P$75&lt;&gt;$M$75</formula>
    </cfRule>
  </conditionalFormatting>
  <conditionalFormatting sqref="P94:P101 Q100:R100 U100:V100 S100:T102 U101 R102 S105:U106">
    <cfRule type="cellIs" dxfId="145" priority="16" stopIfTrue="1" operator="notEqual">
      <formula>#REF!</formula>
    </cfRule>
  </conditionalFormatting>
  <conditionalFormatting sqref="Q35">
    <cfRule type="expression" dxfId="144" priority="11">
      <formula>#REF!&lt;&gt;0</formula>
    </cfRule>
  </conditionalFormatting>
  <conditionalFormatting sqref="Q93:Q100 U93:W100 T95:T102 R99:S102 O93:O100 R95:R97 S95:S98 X95:AB102">
    <cfRule type="cellIs" dxfId="143" priority="48" stopIfTrue="1" operator="notEqual">
      <formula>#REF!</formula>
    </cfRule>
  </conditionalFormatting>
  <conditionalFormatting sqref="Q36:R36">
    <cfRule type="expression" dxfId="142" priority="13">
      <formula>#REF!&lt;&gt;#REF!</formula>
    </cfRule>
  </conditionalFormatting>
  <conditionalFormatting sqref="R35">
    <cfRule type="expression" dxfId="141" priority="12">
      <formula>#REF!&lt;&gt;0</formula>
    </cfRule>
  </conditionalFormatting>
  <conditionalFormatting sqref="S84 S87">
    <cfRule type="expression" dxfId="140" priority="1" stopIfTrue="1">
      <formula>$M$91&gt;=0</formula>
    </cfRule>
    <cfRule type="expression" priority="2">
      <formula>$M$91&lt;0</formula>
    </cfRule>
    <cfRule type="expression" dxfId="139" priority="3" stopIfTrue="1">
      <formula>$M$91&gt;=0</formula>
    </cfRule>
    <cfRule type="expression" priority="4">
      <formula>$M$91&lt;0</formula>
    </cfRule>
  </conditionalFormatting>
  <conditionalFormatting sqref="S91">
    <cfRule type="expression" priority="5" stopIfTrue="1">
      <formula>$N$91&lt;0</formula>
    </cfRule>
    <cfRule type="expression" dxfId="138" priority="6">
      <formula>$T$91&lt;&gt;0</formula>
    </cfRule>
    <cfRule type="expression" priority="7" stopIfTrue="1">
      <formula>$N$91&lt;0</formula>
    </cfRule>
    <cfRule type="expression" dxfId="137" priority="8">
      <formula>$T$91&lt;&gt;0</formula>
    </cfRule>
    <cfRule type="expression" priority="9" stopIfTrue="1">
      <formula>$N$91&lt;0</formula>
    </cfRule>
    <cfRule type="expression" dxfId="136" priority="10">
      <formula>$T$91&lt;&gt;0</formula>
    </cfRule>
  </conditionalFormatting>
  <conditionalFormatting sqref="Y78">
    <cfRule type="expression" dxfId="135" priority="14">
      <formula>$Y$77&lt;&gt;0</formula>
    </cfRule>
  </conditionalFormatting>
  <hyperlinks>
    <hyperlink ref="O2" location="Index!A1" display="Return to Index" xr:uid="{00000000-0004-0000-40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I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2.109375" style="277" customWidth="1"/>
    <col min="11" max="16384" width="9.109375" style="277"/>
  </cols>
  <sheetData>
    <row r="1" spans="1:9">
      <c r="B1" s="742" t="str">
        <f>'AUSM Chts'!$A$1</f>
        <v>The University of Texas at Austin Medical School (M)</v>
      </c>
      <c r="D1" s="321" t="s">
        <v>51</v>
      </c>
    </row>
    <row r="2" spans="1:9">
      <c r="B2" s="742" t="str">
        <f>'Smmy Chts'!$A$2</f>
        <v>For the Year Ended August 31, 2022</v>
      </c>
    </row>
    <row r="3" spans="1:9">
      <c r="B3" s="742" t="str">
        <f>'Smmy Chts'!$A$3</f>
        <v>Source: FY 2022 Annual Financial Report</v>
      </c>
    </row>
    <row r="5" spans="1:9" s="320" customFormat="1">
      <c r="B5" s="743" t="s">
        <v>619</v>
      </c>
    </row>
    <row r="6" spans="1:9" s="320" customFormat="1">
      <c r="B6" s="744"/>
    </row>
    <row r="7" spans="1:9" s="320" customFormat="1" ht="226.5" customHeight="1">
      <c r="B7" s="745" t="s">
        <v>620</v>
      </c>
      <c r="C7" s="746"/>
    </row>
    <row r="8" spans="1:9" s="320" customFormat="1" ht="263.25" customHeight="1">
      <c r="B8" s="745" t="s">
        <v>621</v>
      </c>
    </row>
    <row r="9" spans="1:9" ht="64.5" customHeight="1">
      <c r="B9" s="747" t="str">
        <f>IF('AUSM FGD'!$S$83="N/A","FN11.  N/A",$B$14&amp;$B$15&amp;$B$16&amp;$B$17&amp;$B$18&amp;$B$19&amp;$B$20&amp;$B$21&amp;$B$22&amp;$B$23&amp;$B$24)</f>
        <v>FN11.  N/A</v>
      </c>
      <c r="E9" s="669"/>
    </row>
    <row r="14" spans="1:9">
      <c r="B14" s="277" t="s">
        <v>698</v>
      </c>
      <c r="I14" s="501"/>
    </row>
    <row r="15" spans="1:9">
      <c r="A15" s="277">
        <v>75</v>
      </c>
      <c r="B15" s="669" t="str">
        <f>TEXT(IF('AUSM FGD'!$M$91&lt;0,"N/A",'AUSM FGD'!$M$91),"$* #,##0;$* (#,##0)")</f>
        <v>N/A</v>
      </c>
      <c r="C15" s="282"/>
      <c r="F15" s="282"/>
    </row>
    <row r="16" spans="1:9">
      <c r="B16" s="277" t="s">
        <v>699</v>
      </c>
    </row>
    <row r="17" spans="1:6">
      <c r="A17" s="277">
        <v>68</v>
      </c>
      <c r="B17" s="748" t="str">
        <f>IF(ABS('AUSM FGD'!$S$84)&gt;=1000000,TEXT('AUSM FGD'!$S$84/1000000,"$* #,##0.0;$* (#,##0.0)")&amp;" million",IF(ABS('AUSM FGD'!$S$84)&lt;1000,TEXT('AUSM FGD'!$S$84,"$* #,##0;$* (#,##0)"),TEXT('AUSM FGD'!$S$84/1000,"$* #,##0;$* (#,##0)")&amp;" thousand"))</f>
        <v>$0</v>
      </c>
      <c r="C17" s="748"/>
      <c r="F17" s="748"/>
    </row>
    <row r="18" spans="1:6">
      <c r="B18" s="277" t="s">
        <v>700</v>
      </c>
    </row>
    <row r="19" spans="1:6">
      <c r="A19" s="277">
        <v>69</v>
      </c>
      <c r="B19" s="277" t="e">
        <f>IF(ABS('AUSM FGD'!$S$85)&gt;=1000000,TEXT('AUSM FGD'!$S$85/1000000,"$* #,##0.0;$* (#,##0.0)")&amp;" million",IF(ABS('AUSM FGD'!$S$85)&lt;1000,TEXT('AUSM FGD'!$S$85,"$* #,##0;$* (#,##0)"),TEXT('AUSM FGD'!$S$85/1000,"$* #,##0;$* (#,##0)")&amp;" thousand"))</f>
        <v>#VALUE!</v>
      </c>
    </row>
    <row r="20" spans="1:6">
      <c r="B20" s="277" t="s">
        <v>701</v>
      </c>
    </row>
    <row r="21" spans="1:6">
      <c r="A21" s="277">
        <v>71</v>
      </c>
      <c r="B21" s="277" t="str">
        <f>IF(ABS('AUSM FGD'!$S$87)&gt;=1000000,TEXT('AUSM FGD'!$S$87/1000000,"$* #,##0.0;$* (#,##0.0)")&amp;" million",IF(ABS('AUSM FGD'!$S$87)&lt;1000,TEXT('AUSM FGD'!$S$87,"$* #,##0;$* (#,##0)"),TEXT('AUSM FGD'!$S$87/1000,"$* #,##0;$* (#,##0)")&amp;" thousand"))</f>
        <v>$(6.2) million</v>
      </c>
    </row>
    <row r="22" spans="1:6">
      <c r="B22" s="277" t="s">
        <v>702</v>
      </c>
    </row>
    <row r="23" spans="1:6">
      <c r="A23" s="277">
        <v>73</v>
      </c>
      <c r="B23" s="277" t="e">
        <f>IF(ABS('AUSM FGD'!$S$89)&gt;=1000000,TEXT('AUSM FGD'!$S$89/1000000,"$* #,##0.0;$* (#,##0.0)")&amp;" million",IF(ABS('AUSM FGD'!$S$89)&lt;1000,TEXT('AUSM FGD'!$S$89,"$* #,##0;$* (#,##0)"),TEXT('AUSM FGD'!$S$89/1000,"$* #,##0;$* (#,##0)")&amp;" thousand"))</f>
        <v>#VALUE!</v>
      </c>
    </row>
    <row r="24" spans="1:6">
      <c r="B24" s="277" t="s">
        <v>703</v>
      </c>
    </row>
  </sheetData>
  <hyperlinks>
    <hyperlink ref="D1" location="Index!A1" display="Return to Index" xr:uid="{00000000-0004-0000-4100-000000000000}"/>
  </hyperlinks>
  <pageMargins left="0.25" right="0.25" top="0.5" bottom="0.25" header="0.5" footer="0.5"/>
  <pageSetup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13.5546875" style="277" customWidth="1"/>
    <col min="3" max="3" width="55" style="277" customWidth="1"/>
    <col min="4" max="4" width="20.109375" style="277" customWidth="1"/>
    <col min="5" max="16384" width="9.109375" style="277"/>
  </cols>
  <sheetData>
    <row r="1" spans="1:5" ht="27.75" customHeight="1">
      <c r="A1" s="989" t="s">
        <v>30</v>
      </c>
      <c r="C1" s="321" t="s">
        <v>51</v>
      </c>
    </row>
    <row r="2" spans="1:5" ht="27.75" customHeight="1">
      <c r="A2" s="990" t="str">
        <f>'Smmy Chts'!$A$2</f>
        <v>For the Year Ended August 31, 2022</v>
      </c>
    </row>
    <row r="3" spans="1:5" ht="27" customHeight="1">
      <c r="A3" s="990" t="str">
        <f>'Smmy Chts'!$A$3</f>
        <v>Source: FY 2022 Annual Financial Report</v>
      </c>
      <c r="C3" s="991" t="s">
        <v>493</v>
      </c>
    </row>
    <row r="4" spans="1:5" ht="12.9" customHeight="1">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'RGVM Sum'!A9</f>
        <v>State of Texas</v>
      </c>
      <c r="D11" s="994">
        <f>'RGVM Sum'!B15</f>
        <v>49474555</v>
      </c>
      <c r="E11" s="995">
        <f>ROUND(D11/$D$17,3)</f>
        <v>0.34699999999999998</v>
      </c>
    </row>
    <row r="12" spans="1:5" ht="12.9" customHeight="1">
      <c r="C12" s="993" t="str">
        <f>'RGVM Sum'!A17</f>
        <v>Student &amp; Parent</v>
      </c>
      <c r="D12" s="994">
        <f>'RGVM Sum'!B20</f>
        <v>4843685</v>
      </c>
      <c r="E12" s="995">
        <f t="shared" ref="E12:E15" si="0">ROUND(D12/$D$17,3)</f>
        <v>3.4000000000000002E-2</v>
      </c>
    </row>
    <row r="13" spans="1:5" ht="12.9" customHeight="1">
      <c r="C13" s="993" t="str">
        <f>'RGVM Sum'!A22</f>
        <v>Federal Government</v>
      </c>
      <c r="D13" s="994">
        <f>'RGVM Sum'!B23</f>
        <v>7981482</v>
      </c>
      <c r="E13" s="995">
        <f t="shared" si="0"/>
        <v>5.6000000000000001E-2</v>
      </c>
    </row>
    <row r="14" spans="1:5" ht="12.9" customHeight="1">
      <c r="C14" s="993" t="str">
        <f>'RGVM Sum'!A31</f>
        <v>Institutional Resources</v>
      </c>
      <c r="D14" s="994">
        <f>'RGVM Sum'!B38</f>
        <v>60873593</v>
      </c>
      <c r="E14" s="995">
        <f t="shared" si="0"/>
        <v>0.42799999999999999</v>
      </c>
    </row>
    <row r="15" spans="1:5" ht="12.9" customHeight="1">
      <c r="C15" s="996" t="s">
        <v>497</v>
      </c>
      <c r="D15" s="994">
        <f>'RGVM Sum'!B29+'RGVM Sum'!B26</f>
        <v>19204472</v>
      </c>
      <c r="E15" s="995">
        <f t="shared" si="0"/>
        <v>0.13500000000000001</v>
      </c>
    </row>
    <row r="16" spans="1:5" ht="12.9" customHeight="1">
      <c r="C16" s="991"/>
      <c r="D16" s="992"/>
    </row>
    <row r="17" spans="3:5" ht="12.9" customHeight="1">
      <c r="C17" s="997" t="s">
        <v>201</v>
      </c>
      <c r="D17" s="998">
        <f>SUM(D11:D16)</f>
        <v>142377787</v>
      </c>
      <c r="E17" s="999">
        <f>SUM(E11:E15)</f>
        <v>1</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$142,377,787</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5" customHeight="1">
      <c r="C53" s="993" t="s">
        <v>101</v>
      </c>
      <c r="D53" s="994">
        <f>'RGVM Sum'!B10</f>
        <v>42597486</v>
      </c>
      <c r="E53" s="995">
        <f>ROUND(D53/$D$68,3)</f>
        <v>0.29899999999999999</v>
      </c>
    </row>
    <row r="54" spans="3:5" ht="15" customHeight="1">
      <c r="C54" s="993" t="s">
        <v>510</v>
      </c>
      <c r="D54" s="994">
        <f>'RGVM Sum'!B11</f>
        <v>6877069</v>
      </c>
      <c r="E54" s="995">
        <f t="shared" ref="E54:E67" si="1">ROUND(D54/$D$68,3)</f>
        <v>4.8000000000000001E-2</v>
      </c>
    </row>
    <row r="55" spans="3:5" ht="12.9" customHeight="1">
      <c r="C55" s="1001"/>
      <c r="D55" s="994"/>
      <c r="E55" s="995"/>
    </row>
    <row r="56" spans="3:5" ht="16.5" customHeight="1">
      <c r="C56" s="993" t="str">
        <f>'RGVM Sum'!A13</f>
        <v>Higher Education Fund</v>
      </c>
      <c r="D56" s="994">
        <f>'RGVM Sum'!B13</f>
        <v>0</v>
      </c>
      <c r="E56" s="995">
        <f t="shared" si="1"/>
        <v>0</v>
      </c>
    </row>
    <row r="57" spans="3:5" ht="16.5" customHeight="1">
      <c r="C57" s="1001" t="s">
        <v>511</v>
      </c>
      <c r="D57" s="994">
        <f>'RGVM Sum'!B14</f>
        <v>0</v>
      </c>
      <c r="E57" s="995">
        <f t="shared" si="1"/>
        <v>0</v>
      </c>
    </row>
    <row r="58" spans="3:5" ht="12.9" customHeight="1">
      <c r="C58" s="993" t="s">
        <v>460</v>
      </c>
      <c r="D58" s="994">
        <f>'RGVM Sum'!B20</f>
        <v>4843685</v>
      </c>
      <c r="E58" s="995">
        <f t="shared" si="1"/>
        <v>3.4000000000000002E-2</v>
      </c>
    </row>
    <row r="59" spans="3:5" ht="12.9" customHeight="1">
      <c r="C59" s="993" t="s">
        <v>512</v>
      </c>
      <c r="D59" s="994">
        <f>'RGVM Sum'!B23</f>
        <v>7981482</v>
      </c>
      <c r="E59" s="995">
        <f t="shared" si="1"/>
        <v>5.6000000000000001E-2</v>
      </c>
    </row>
    <row r="60" spans="3:5" ht="12.9" customHeight="1">
      <c r="C60" s="993" t="s">
        <v>513</v>
      </c>
      <c r="D60" s="994">
        <f>'RGVM Sum'!B32</f>
        <v>1387858</v>
      </c>
      <c r="E60" s="995">
        <f t="shared" si="1"/>
        <v>0.01</v>
      </c>
    </row>
    <row r="61" spans="3:5" ht="12.9" customHeight="1">
      <c r="C61" s="993" t="s">
        <v>514</v>
      </c>
      <c r="D61" s="994">
        <f>'RGVM Sum'!B33</f>
        <v>32007401</v>
      </c>
      <c r="E61" s="995">
        <f t="shared" si="1"/>
        <v>0.22500000000000001</v>
      </c>
    </row>
    <row r="62" spans="3:5" ht="12.9" customHeight="1">
      <c r="C62" s="993" t="s">
        <v>515</v>
      </c>
      <c r="D62" s="994">
        <f>'RGVM Sum'!B34</f>
        <v>9942824</v>
      </c>
      <c r="E62" s="995">
        <f t="shared" si="1"/>
        <v>7.0000000000000007E-2</v>
      </c>
    </row>
    <row r="63" spans="3:5" ht="12.9" customHeight="1">
      <c r="C63" s="993" t="s">
        <v>516</v>
      </c>
      <c r="D63" s="994">
        <f>'RGVM Sum'!B35</f>
        <v>1524703</v>
      </c>
      <c r="E63" s="995">
        <f t="shared" si="1"/>
        <v>1.0999999999999999E-2</v>
      </c>
    </row>
    <row r="64" spans="3:5" ht="12.9" customHeight="1">
      <c r="C64" s="993" t="s">
        <v>176</v>
      </c>
      <c r="D64" s="994">
        <f>'RGVM Sum'!B36</f>
        <v>108437</v>
      </c>
      <c r="E64" s="995">
        <f t="shared" si="1"/>
        <v>1E-3</v>
      </c>
    </row>
    <row r="65" spans="3:5" ht="12.9" customHeight="1">
      <c r="C65" s="993" t="s">
        <v>517</v>
      </c>
      <c r="D65" s="994">
        <f>'RGVM Sum'!B37</f>
        <v>15902370</v>
      </c>
      <c r="E65" s="995">
        <f t="shared" si="1"/>
        <v>0.112</v>
      </c>
    </row>
    <row r="66" spans="3:5" ht="12.9" customHeight="1">
      <c r="C66" s="993" t="s">
        <v>163</v>
      </c>
      <c r="D66" s="994">
        <f>'RGVM Sum'!B26</f>
        <v>19204472</v>
      </c>
      <c r="E66" s="995">
        <f t="shared" si="1"/>
        <v>0.13500000000000001</v>
      </c>
    </row>
    <row r="67" spans="3:5" ht="12.9" customHeight="1">
      <c r="C67" s="1002" t="s">
        <v>497</v>
      </c>
      <c r="D67" s="994">
        <f>'RGVM Sum'!B29</f>
        <v>0</v>
      </c>
      <c r="E67" s="995">
        <f t="shared" si="1"/>
        <v>0</v>
      </c>
    </row>
    <row r="68" spans="3:5" ht="12.9" customHeight="1">
      <c r="C68" s="997" t="s">
        <v>201</v>
      </c>
      <c r="D68" s="998">
        <f>SUM(D53:D67)</f>
        <v>142377787</v>
      </c>
      <c r="E68" s="999">
        <f>SUM(E53:E67)</f>
        <v>1.0009999999999999</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$142,377,787</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'RGVM Sum'!B42</f>
        <v>45338838</v>
      </c>
      <c r="E102" s="995">
        <f>ROUND(D102/$D$115,3)</f>
        <v>0.313</v>
      </c>
    </row>
    <row r="103" spans="1:5" ht="12.9" customHeight="1">
      <c r="C103" s="1004" t="s">
        <v>179</v>
      </c>
      <c r="D103" s="994">
        <f>'RGVM Sum'!B43</f>
        <v>14738752</v>
      </c>
      <c r="E103" s="995">
        <f t="shared" ref="E103:E113" si="2">ROUND(D103/$D$115,3)</f>
        <v>0.10199999999999999</v>
      </c>
    </row>
    <row r="104" spans="1:5" ht="12.9" customHeight="1">
      <c r="C104" s="1004" t="s">
        <v>180</v>
      </c>
      <c r="D104" s="994">
        <f>'RGVM Sum'!B44</f>
        <v>3437353</v>
      </c>
      <c r="E104" s="995">
        <f t="shared" si="2"/>
        <v>2.4E-2</v>
      </c>
    </row>
    <row r="105" spans="1:5" ht="12.9" customHeight="1">
      <c r="C105" s="1004" t="s">
        <v>181</v>
      </c>
      <c r="D105" s="994">
        <f>'RGVM Sum'!B46</f>
        <v>21408116</v>
      </c>
      <c r="E105" s="995">
        <f t="shared" si="2"/>
        <v>0.14799999999999999</v>
      </c>
    </row>
    <row r="106" spans="1:5" ht="12.9" customHeight="1">
      <c r="C106" s="1004" t="s">
        <v>182</v>
      </c>
      <c r="D106" s="994">
        <f>'RGVM Sum'!B47</f>
        <v>3642889</v>
      </c>
      <c r="E106" s="995">
        <f t="shared" si="2"/>
        <v>2.5000000000000001E-2</v>
      </c>
    </row>
    <row r="107" spans="1:5" ht="12.9" customHeight="1">
      <c r="C107" s="1004" t="s">
        <v>183</v>
      </c>
      <c r="D107" s="994">
        <f>'RGVM Sum'!B48</f>
        <v>20958</v>
      </c>
      <c r="E107" s="995">
        <f t="shared" si="2"/>
        <v>0</v>
      </c>
    </row>
    <row r="108" spans="1:5" ht="12.9" customHeight="1">
      <c r="C108" s="1004" t="s">
        <v>519</v>
      </c>
      <c r="D108" s="994">
        <f>'RGVM Sum'!B49</f>
        <v>3627491</v>
      </c>
      <c r="E108" s="995">
        <f t="shared" si="2"/>
        <v>2.5000000000000001E-2</v>
      </c>
    </row>
    <row r="109" spans="1:5" ht="12.9" customHeight="1">
      <c r="C109" s="1004" t="s">
        <v>520</v>
      </c>
      <c r="D109" s="994">
        <f>'RGVM Sum'!B50</f>
        <v>1273006</v>
      </c>
      <c r="E109" s="995">
        <f t="shared" si="2"/>
        <v>8.9999999999999993E-3</v>
      </c>
    </row>
    <row r="110" spans="1:5" ht="12.9" customHeight="1">
      <c r="C110" s="1004" t="s">
        <v>186</v>
      </c>
      <c r="D110" s="994">
        <f>'RGVM Sum'!B51</f>
        <v>1836493</v>
      </c>
      <c r="E110" s="995">
        <f t="shared" si="2"/>
        <v>1.2999999999999999E-2</v>
      </c>
    </row>
    <row r="111" spans="1:5" ht="12.9" customHeight="1">
      <c r="C111" s="1004" t="s">
        <v>521</v>
      </c>
      <c r="D111" s="994">
        <f>'RGVM Sum'!B52</f>
        <v>5628788</v>
      </c>
      <c r="E111" s="995">
        <f t="shared" si="2"/>
        <v>3.9E-2</v>
      </c>
    </row>
    <row r="112" spans="1:5" ht="12.9" customHeight="1">
      <c r="C112" s="993" t="s">
        <v>522</v>
      </c>
      <c r="D112" s="994">
        <f>'RGVM Sum'!B53</f>
        <v>137842</v>
      </c>
      <c r="E112" s="995">
        <f t="shared" si="2"/>
        <v>1E-3</v>
      </c>
    </row>
    <row r="113" spans="3:5" ht="12.9" customHeight="1">
      <c r="C113" s="996" t="s">
        <v>523</v>
      </c>
      <c r="D113" s="994">
        <f>'RGVM Sum'!B45</f>
        <v>43920874</v>
      </c>
      <c r="E113" s="995">
        <f t="shared" si="2"/>
        <v>0.30299999999999999</v>
      </c>
    </row>
    <row r="114" spans="3:5" ht="12.9" customHeight="1">
      <c r="C114" s="991"/>
      <c r="D114" s="991"/>
      <c r="E114" s="999"/>
    </row>
    <row r="115" spans="3:5" ht="12.9" customHeight="1">
      <c r="C115" s="1005" t="s">
        <v>189</v>
      </c>
      <c r="D115" s="998">
        <f>SUM(D102:D114)</f>
        <v>145011400</v>
      </c>
      <c r="E115" s="999">
        <f>SUM(E102:E113)</f>
        <v>1.002</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$145,011,400</v>
      </c>
    </row>
    <row r="137" spans="1:1" ht="12.9" customHeight="1">
      <c r="A137" s="1136"/>
    </row>
    <row r="138" spans="1:1" ht="12.9" customHeight="1"/>
    <row r="139" spans="1:1" ht="12.9" customHeight="1">
      <c r="A139" s="1006" t="s">
        <v>524</v>
      </c>
    </row>
    <row r="140" spans="1:1" ht="12.9"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A136:A137"/>
    <mergeCell ref="C9:D9"/>
    <mergeCell ref="A47:A48"/>
    <mergeCell ref="A92:A93"/>
    <mergeCell ref="C100:D100"/>
    <mergeCell ref="C101:D101"/>
  </mergeCells>
  <hyperlinks>
    <hyperlink ref="C1" location="Index!A1" display="Return to Index" xr:uid="{00000000-0004-0000-4200-000000000000}"/>
  </hyperlinks>
  <printOptions horizontalCentered="1"/>
  <pageMargins left="0.5" right="0.5" top="0.25" bottom="0.25" header="0.25" footer="0.25"/>
  <pageSetup scale="4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1"/>
  </sheetPr>
  <dimension ref="A1:W748"/>
  <sheetViews>
    <sheetView showGridLines="0" zoomScale="85" zoomScaleNormal="85" workbookViewId="0">
      <pane xSplit="6" ySplit="10" topLeftCell="G11" activePane="bottomRight" state="frozen"/>
      <selection pane="topRight" activeCell="D38" sqref="D38"/>
      <selection pane="bottomLeft" activeCell="D38" sqref="D38"/>
      <selection pane="bottomRight" activeCell="G3" sqref="G3"/>
    </sheetView>
  </sheetViews>
  <sheetFormatPr defaultColWidth="9.109375" defaultRowHeight="13.2"/>
  <cols>
    <col min="1" max="1" width="7.33203125" style="10" customWidth="1"/>
    <col min="2" max="2" width="5" style="10" customWidth="1"/>
    <col min="3" max="3" width="7.33203125" style="10" customWidth="1"/>
    <col min="4" max="4" width="33.5546875" style="7" customWidth="1"/>
    <col min="5" max="5" width="10.33203125" style="7" customWidth="1"/>
    <col min="6" max="6" width="9.109375" style="7"/>
    <col min="7" max="7" width="11.33203125" style="149" customWidth="1"/>
    <col min="8" max="8" width="15.5546875" style="149" customWidth="1"/>
    <col min="9" max="9" width="13.44140625" style="149" customWidth="1"/>
    <col min="10" max="10" width="15.5546875" style="149" customWidth="1"/>
    <col min="11" max="11" width="14.109375" style="149" customWidth="1"/>
    <col min="12" max="12" width="15" style="149" customWidth="1"/>
    <col min="13" max="13" width="13.6640625" style="149" customWidth="1"/>
    <col min="14" max="14" width="16.44140625" style="149" customWidth="1"/>
    <col min="15" max="15" width="12.6640625" style="149" customWidth="1"/>
    <col min="16" max="16" width="18.5546875" style="149" customWidth="1"/>
    <col min="17" max="17" width="16.109375" style="7" customWidth="1"/>
    <col min="18" max="18" width="14" style="7" customWidth="1"/>
    <col min="19" max="19" width="7.6640625" style="7" customWidth="1"/>
    <col min="20" max="20" width="4" style="7" customWidth="1"/>
    <col min="21" max="21" width="19.44140625" style="7" customWidth="1"/>
    <col min="22" max="22" width="16.5546875" style="7" customWidth="1"/>
    <col min="23" max="23" width="26.88671875" style="7" customWidth="1"/>
    <col min="24" max="16384" width="9.109375" style="7"/>
  </cols>
  <sheetData>
    <row r="1" spans="1:23" ht="13.8" thickBot="1">
      <c r="G1" s="16" t="s">
        <v>315</v>
      </c>
      <c r="H1" s="16"/>
      <c r="I1" s="16"/>
      <c r="J1" s="15"/>
      <c r="K1" s="15"/>
      <c r="L1" s="15"/>
      <c r="M1" s="162" t="s">
        <v>51</v>
      </c>
      <c r="N1" s="15"/>
      <c r="O1" s="15"/>
      <c r="P1" s="15"/>
    </row>
    <row r="2" spans="1:23">
      <c r="G2" s="16" t="s">
        <v>316</v>
      </c>
      <c r="H2" s="16"/>
      <c r="I2" s="16"/>
      <c r="J2" s="15"/>
      <c r="K2" s="15"/>
      <c r="L2" s="15"/>
      <c r="M2" s="15"/>
      <c r="N2" s="15"/>
      <c r="O2" s="15"/>
      <c r="P2" s="15"/>
    </row>
    <row r="3" spans="1:23">
      <c r="A3" s="109"/>
      <c r="G3" s="7" t="s">
        <v>317</v>
      </c>
      <c r="H3" s="16"/>
      <c r="I3" s="16"/>
      <c r="J3" s="15"/>
      <c r="K3" s="15"/>
      <c r="L3" s="15"/>
      <c r="M3" s="15"/>
      <c r="N3" s="15"/>
      <c r="O3" s="15"/>
      <c r="P3" s="15"/>
    </row>
    <row r="4" spans="1:23">
      <c r="G4" s="15"/>
      <c r="H4" s="15"/>
      <c r="I4" s="15"/>
      <c r="J4" s="15"/>
      <c r="K4" s="15"/>
      <c r="L4" s="15"/>
      <c r="M4" s="15"/>
      <c r="N4" s="15"/>
      <c r="O4" s="15"/>
      <c r="P4" s="15"/>
    </row>
    <row r="5" spans="1:23">
      <c r="A5" s="1119"/>
      <c r="B5" s="1120"/>
      <c r="C5" s="1121"/>
      <c r="F5" s="10" t="s">
        <v>318</v>
      </c>
      <c r="G5" s="15"/>
      <c r="H5" s="15"/>
      <c r="I5" s="15"/>
      <c r="J5" s="15"/>
      <c r="K5" s="15"/>
      <c r="L5" s="15"/>
      <c r="M5" s="15"/>
      <c r="N5" s="15"/>
      <c r="O5" s="15"/>
      <c r="P5" s="15"/>
    </row>
    <row r="6" spans="1:23">
      <c r="E6" s="10">
        <v>2020</v>
      </c>
      <c r="F6" s="10" t="s">
        <v>319</v>
      </c>
      <c r="G6" s="15"/>
      <c r="H6" s="15"/>
      <c r="I6" s="15"/>
      <c r="J6" s="15"/>
      <c r="K6" s="15"/>
      <c r="L6" s="15"/>
      <c r="M6" s="15"/>
      <c r="N6" s="15"/>
      <c r="O6" s="15"/>
      <c r="P6" s="15"/>
    </row>
    <row r="7" spans="1:23">
      <c r="F7" s="10" t="s">
        <v>320</v>
      </c>
      <c r="G7" s="15"/>
      <c r="H7" s="15"/>
      <c r="I7" s="15"/>
      <c r="J7" s="15"/>
      <c r="K7" s="15"/>
      <c r="L7" s="15"/>
      <c r="M7" s="15"/>
      <c r="N7" s="15"/>
      <c r="O7" s="15"/>
      <c r="P7" s="15"/>
      <c r="U7" s="1116" t="s">
        <v>14</v>
      </c>
      <c r="V7" s="1117"/>
      <c r="W7" s="1118"/>
    </row>
    <row r="8" spans="1:23" s="142" customFormat="1" ht="48.75" customHeight="1" thickBot="1">
      <c r="A8" s="151" t="s">
        <v>227</v>
      </c>
      <c r="B8" s="1122" t="s">
        <v>321</v>
      </c>
      <c r="C8" s="1122"/>
      <c r="D8" s="116" t="s">
        <v>322</v>
      </c>
      <c r="E8" s="116" t="s">
        <v>323</v>
      </c>
      <c r="F8" s="116" t="s">
        <v>99</v>
      </c>
      <c r="G8" s="163" t="s">
        <v>105</v>
      </c>
      <c r="H8" s="163" t="s">
        <v>324</v>
      </c>
      <c r="I8" s="163" t="s">
        <v>324</v>
      </c>
      <c r="J8" s="163" t="s">
        <v>325</v>
      </c>
      <c r="K8" s="163" t="s">
        <v>325</v>
      </c>
      <c r="L8" s="117" t="s">
        <v>326</v>
      </c>
      <c r="M8" s="117" t="s">
        <v>326</v>
      </c>
      <c r="N8" s="163" t="s">
        <v>327</v>
      </c>
      <c r="O8" s="163" t="s">
        <v>327</v>
      </c>
      <c r="Q8" s="117"/>
      <c r="S8" s="117"/>
      <c r="T8" s="164"/>
      <c r="U8" s="16" t="s">
        <v>16</v>
      </c>
      <c r="V8" s="17" t="s">
        <v>17</v>
      </c>
      <c r="W8" s="16" t="s">
        <v>18</v>
      </c>
    </row>
    <row r="9" spans="1:23" s="171" customFormat="1" ht="18.75" customHeight="1">
      <c r="A9" s="165"/>
      <c r="B9" s="166"/>
      <c r="C9" s="166"/>
      <c r="D9" s="167"/>
      <c r="E9" s="166" t="s">
        <v>328</v>
      </c>
      <c r="F9" s="166" t="s">
        <v>329</v>
      </c>
      <c r="G9" s="168"/>
      <c r="H9" s="169" t="s">
        <v>330</v>
      </c>
      <c r="I9" s="169" t="s">
        <v>148</v>
      </c>
      <c r="J9" s="169" t="s">
        <v>330</v>
      </c>
      <c r="K9" s="169" t="s">
        <v>148</v>
      </c>
      <c r="L9" s="169" t="s">
        <v>330</v>
      </c>
      <c r="M9" s="169" t="s">
        <v>148</v>
      </c>
      <c r="N9" s="169" t="s">
        <v>330</v>
      </c>
      <c r="O9" s="212" t="s">
        <v>148</v>
      </c>
      <c r="P9" s="174"/>
      <c r="Q9" s="15"/>
      <c r="S9" s="170"/>
      <c r="U9" s="192"/>
      <c r="V9" s="192"/>
      <c r="W9" s="192"/>
    </row>
    <row r="10" spans="1:23" ht="18" customHeight="1">
      <c r="A10" s="7"/>
      <c r="D10" s="172"/>
      <c r="E10" s="173" t="s">
        <v>331</v>
      </c>
      <c r="F10" s="10" t="s">
        <v>56</v>
      </c>
      <c r="G10" s="186"/>
      <c r="H10" s="174"/>
      <c r="I10" s="174"/>
      <c r="J10" s="174"/>
      <c r="K10" s="174"/>
      <c r="L10" s="174"/>
      <c r="M10" s="174"/>
      <c r="N10" s="174"/>
      <c r="O10" s="175"/>
      <c r="P10" s="15"/>
      <c r="Q10" s="15"/>
      <c r="S10" s="176"/>
      <c r="U10" s="48"/>
      <c r="V10" s="48"/>
      <c r="W10" s="48"/>
    </row>
    <row r="11" spans="1:23" ht="14.25" customHeight="1">
      <c r="A11" s="10">
        <v>390</v>
      </c>
      <c r="D11" s="25" t="s">
        <v>112</v>
      </c>
      <c r="E11" s="137">
        <f t="shared" ref="E11:E25" si="0">$E$6</f>
        <v>2020</v>
      </c>
      <c r="F11" s="190">
        <v>30</v>
      </c>
      <c r="G11" s="214">
        <f>'SWM Sum'!$C$6</f>
        <v>2301.35</v>
      </c>
      <c r="H11" s="187">
        <f>'SWM Sum'!$F$38</f>
        <v>1181026583</v>
      </c>
      <c r="I11" s="204">
        <f>ROUND(H11/$G11,0)</f>
        <v>513189</v>
      </c>
      <c r="J11" s="187">
        <f>'SWM Sum'!$B$39-'SWM Sum'!$D$39</f>
        <v>4698112002</v>
      </c>
      <c r="K11" s="204">
        <f>ROUND(J11/$G11,0)</f>
        <v>2041459</v>
      </c>
      <c r="L11" s="205">
        <f>'SWM Sum'!$G$14</f>
        <v>0</v>
      </c>
      <c r="M11" s="204">
        <f>ROUND(L11/$G11,0)</f>
        <v>0</v>
      </c>
      <c r="N11" s="205">
        <f>'SWM Sum'!$F$60*-1</f>
        <v>124381202</v>
      </c>
      <c r="O11" s="215">
        <f>ROUND(N11/$G11,0)</f>
        <v>54047</v>
      </c>
      <c r="P11" s="15"/>
      <c r="Q11" s="15"/>
      <c r="S11" s="176"/>
      <c r="U11" s="48"/>
      <c r="V11" s="48"/>
      <c r="W11" s="48"/>
    </row>
    <row r="12" spans="1:23" ht="14.25" customHeight="1">
      <c r="A12" s="10">
        <v>420</v>
      </c>
      <c r="C12" s="7"/>
      <c r="D12" s="25" t="s">
        <v>114</v>
      </c>
      <c r="E12" s="137">
        <f t="shared" si="0"/>
        <v>2020</v>
      </c>
      <c r="F12" s="190">
        <v>40</v>
      </c>
      <c r="G12" s="214">
        <f>'HSSA Sum'!$C$6</f>
        <v>3971.78</v>
      </c>
      <c r="H12" s="187">
        <f>'HSSA Sum'!$F$38</f>
        <v>419243055</v>
      </c>
      <c r="I12" s="187">
        <f t="shared" ref="I12:K25" si="1">ROUND(H12/$G12,0)</f>
        <v>105555</v>
      </c>
      <c r="J12" s="187">
        <f>'HSSA Sum'!$B$39-'HSSA Sum'!$D$39</f>
        <v>1214776145</v>
      </c>
      <c r="K12" s="187">
        <f t="shared" si="1"/>
        <v>305852</v>
      </c>
      <c r="L12" s="205">
        <f>'HSSA Sum'!$G$14</f>
        <v>0</v>
      </c>
      <c r="M12" s="187">
        <f t="shared" ref="M12:O12" si="2">ROUND(L12/$G12,0)</f>
        <v>0</v>
      </c>
      <c r="N12" s="205">
        <f>'HSSA Sum'!$F$60*-1</f>
        <v>21418746</v>
      </c>
      <c r="O12" s="205">
        <f t="shared" si="2"/>
        <v>5393</v>
      </c>
      <c r="P12" s="15"/>
      <c r="Q12" s="15"/>
      <c r="S12" s="177"/>
      <c r="U12" s="13"/>
      <c r="V12" s="13"/>
      <c r="W12" s="13"/>
    </row>
    <row r="13" spans="1:23">
      <c r="A13" s="10">
        <v>450</v>
      </c>
      <c r="C13" s="7"/>
      <c r="D13" s="25" t="s">
        <v>116</v>
      </c>
      <c r="E13" s="137">
        <f t="shared" si="0"/>
        <v>2020</v>
      </c>
      <c r="F13" s="190">
        <v>89</v>
      </c>
      <c r="G13" s="214">
        <f>'TAMHSC Sum'!$C$6</f>
        <v>3607.6499999999996</v>
      </c>
      <c r="H13" s="187">
        <f>'TAMHSC Sum'!$F$38</f>
        <v>66021527</v>
      </c>
      <c r="I13" s="187">
        <f t="shared" si="1"/>
        <v>18300</v>
      </c>
      <c r="J13" s="187">
        <f>'TAMHSC Sum'!$B$39-'TAMHSC Sum'!$D$39</f>
        <v>434964290</v>
      </c>
      <c r="K13" s="187">
        <f t="shared" si="1"/>
        <v>120567</v>
      </c>
      <c r="L13" s="205">
        <f>'TAMHSC Sum'!$G$14</f>
        <v>46943006</v>
      </c>
      <c r="M13" s="187">
        <f t="shared" ref="M13:O13" si="3">ROUND(L13/$G13,0)</f>
        <v>13012</v>
      </c>
      <c r="N13" s="205">
        <f>'TAMHSC Sum'!$F$60*-1</f>
        <v>20843593</v>
      </c>
      <c r="O13" s="205">
        <f t="shared" si="3"/>
        <v>5778</v>
      </c>
      <c r="P13" s="15"/>
      <c r="Q13" s="15"/>
      <c r="S13" s="177"/>
      <c r="U13" s="13"/>
      <c r="V13" s="13"/>
      <c r="W13" s="13"/>
    </row>
    <row r="14" spans="1:23">
      <c r="A14" s="10">
        <v>460</v>
      </c>
      <c r="C14" s="7"/>
      <c r="D14" s="25" t="s">
        <v>332</v>
      </c>
      <c r="E14" s="137">
        <f t="shared" si="0"/>
        <v>2020</v>
      </c>
      <c r="F14" s="190">
        <v>130</v>
      </c>
      <c r="G14" s="214">
        <f>'UNTHS1 Sum'!$C$6</f>
        <v>2988.4</v>
      </c>
      <c r="H14" s="187">
        <f>'UNTHS1 Sum'!$F$38</f>
        <v>80229672</v>
      </c>
      <c r="I14" s="187">
        <f t="shared" si="1"/>
        <v>26847</v>
      </c>
      <c r="J14" s="187">
        <f>'UNTHS1 Sum'!$B$39-'UNTHS1 Sum'!$D$39</f>
        <v>312349227</v>
      </c>
      <c r="K14" s="187">
        <f t="shared" si="1"/>
        <v>104521</v>
      </c>
      <c r="L14" s="205">
        <f>'UNTHS1 Sum'!$G$14</f>
        <v>15125502</v>
      </c>
      <c r="M14" s="187">
        <f t="shared" ref="M14:O14" si="4">ROUND(L14/$G14,0)</f>
        <v>5061</v>
      </c>
      <c r="N14" s="205">
        <f>'UNTHS1 Sum'!$F$60*-1</f>
        <v>866</v>
      </c>
      <c r="O14" s="205">
        <f t="shared" si="4"/>
        <v>0</v>
      </c>
      <c r="P14" s="15"/>
      <c r="Q14" s="15"/>
      <c r="S14" s="178"/>
      <c r="U14" s="13"/>
      <c r="V14" s="13"/>
      <c r="W14" s="13"/>
    </row>
    <row r="15" spans="1:23">
      <c r="A15" s="10">
        <v>440</v>
      </c>
      <c r="C15" s="7"/>
      <c r="D15" s="25" t="s">
        <v>120</v>
      </c>
      <c r="E15" s="137">
        <f t="shared" si="0"/>
        <v>2020</v>
      </c>
      <c r="F15" s="190">
        <v>42439</v>
      </c>
      <c r="G15" s="214">
        <f>'THC Sum'!$C$6</f>
        <v>80.5</v>
      </c>
      <c r="H15" s="187">
        <f>'THC Sum'!$F$38</f>
        <v>105363939</v>
      </c>
      <c r="I15" s="187" t="s">
        <v>333</v>
      </c>
      <c r="J15" s="187">
        <f>'THC Sum'!$B$39-'THC Sum'!$D$39</f>
        <v>363087428</v>
      </c>
      <c r="K15" s="187" t="s">
        <v>333</v>
      </c>
      <c r="L15" s="205">
        <f>'THC Sum'!$G$14</f>
        <v>0</v>
      </c>
      <c r="M15" s="187" t="s">
        <v>333</v>
      </c>
      <c r="N15" s="205">
        <f>'THC Sum'!$F$60*-1</f>
        <v>4381166</v>
      </c>
      <c r="O15" s="205" t="s">
        <v>333</v>
      </c>
      <c r="P15" s="15"/>
      <c r="Q15" s="15"/>
      <c r="S15" s="178"/>
      <c r="U15" s="13"/>
      <c r="V15" s="13"/>
      <c r="W15" s="13"/>
    </row>
    <row r="16" spans="1:23">
      <c r="A16" s="10">
        <v>470</v>
      </c>
      <c r="C16" s="7"/>
      <c r="D16" s="25" t="s">
        <v>123</v>
      </c>
      <c r="E16" s="137">
        <f t="shared" si="0"/>
        <v>2020</v>
      </c>
      <c r="F16" s="190">
        <v>412</v>
      </c>
      <c r="G16" s="214">
        <f>'TTUHSC Sum'!$C$6</f>
        <v>6016.07</v>
      </c>
      <c r="H16" s="187">
        <f>'TTUHSC Sum'!$F$38</f>
        <v>255870385</v>
      </c>
      <c r="I16" s="187">
        <f t="shared" si="1"/>
        <v>42531</v>
      </c>
      <c r="J16" s="187">
        <f>'TTUHSC Sum'!$B$39-'TTUHSC Sum'!$D$39</f>
        <v>827073983</v>
      </c>
      <c r="K16" s="187">
        <f t="shared" si="1"/>
        <v>137477</v>
      </c>
      <c r="L16" s="205">
        <f>'TTUHSC Sum'!$G$14</f>
        <v>21652392</v>
      </c>
      <c r="M16" s="187">
        <f t="shared" ref="M16:O16" si="5">ROUND(L16/$G16,0)</f>
        <v>3599</v>
      </c>
      <c r="N16" s="205">
        <f>'TTUHSC Sum'!$F$60*-1</f>
        <v>10383711</v>
      </c>
      <c r="O16" s="205">
        <f t="shared" si="5"/>
        <v>1726</v>
      </c>
      <c r="P16" s="15"/>
      <c r="Q16" s="15"/>
      <c r="S16" s="177"/>
      <c r="U16" s="13"/>
      <c r="V16" s="13"/>
      <c r="W16" s="13"/>
    </row>
    <row r="17" spans="1:23">
      <c r="A17" s="10">
        <v>410</v>
      </c>
      <c r="C17" s="7"/>
      <c r="D17" s="25" t="s">
        <v>125</v>
      </c>
      <c r="E17" s="137">
        <f t="shared" si="0"/>
        <v>2020</v>
      </c>
      <c r="F17" s="190">
        <v>11618</v>
      </c>
      <c r="G17" s="214">
        <f>'HSH Sum'!$C$6</f>
        <v>5267.72</v>
      </c>
      <c r="H17" s="187">
        <f>'HSH Sum'!$F$38</f>
        <v>1065277556</v>
      </c>
      <c r="I17" s="187">
        <f t="shared" si="1"/>
        <v>202227</v>
      </c>
      <c r="J17" s="187">
        <f>'HSH Sum'!$B$39-'HSH Sum'!$D$39</f>
        <v>2197333496</v>
      </c>
      <c r="K17" s="187">
        <f t="shared" si="1"/>
        <v>417132</v>
      </c>
      <c r="L17" s="205">
        <f>'HSH Sum'!$G$14</f>
        <v>0</v>
      </c>
      <c r="M17" s="187">
        <f t="shared" ref="M17:O17" si="6">ROUND(L17/$G17,0)</f>
        <v>0</v>
      </c>
      <c r="N17" s="205">
        <f>'HSH Sum'!$F$60*-1</f>
        <v>30163831</v>
      </c>
      <c r="O17" s="205">
        <f t="shared" si="6"/>
        <v>5726</v>
      </c>
      <c r="P17" s="15"/>
      <c r="Q17" s="15"/>
      <c r="S17" s="178"/>
      <c r="U17" s="13"/>
      <c r="V17" s="13"/>
      <c r="W17" s="13"/>
    </row>
    <row r="18" spans="1:23">
      <c r="A18" s="10">
        <v>430</v>
      </c>
      <c r="C18" s="7"/>
      <c r="D18" s="25" t="s">
        <v>127</v>
      </c>
      <c r="E18" s="137">
        <f t="shared" si="0"/>
        <v>2020</v>
      </c>
      <c r="F18" s="190">
        <v>25554</v>
      </c>
      <c r="G18" s="214">
        <f>'MDA Sum'!$C$6</f>
        <v>382.05</v>
      </c>
      <c r="H18" s="187">
        <f>'MDA Sum'!$F$38</f>
        <v>972093569</v>
      </c>
      <c r="I18" s="187">
        <f t="shared" si="1"/>
        <v>2544415</v>
      </c>
      <c r="J18" s="187">
        <f>'MDA Sum'!$B$39-'MDA Sum'!$D$39</f>
        <v>6838809175</v>
      </c>
      <c r="K18" s="187">
        <f t="shared" si="1"/>
        <v>17900299</v>
      </c>
      <c r="L18" s="205">
        <f>'MDA Sum'!$G$14</f>
        <v>0</v>
      </c>
      <c r="M18" s="187">
        <f t="shared" ref="M18:O18" si="7">ROUND(L18/$G18,0)</f>
        <v>0</v>
      </c>
      <c r="N18" s="205">
        <f>'MDA Sum'!$F$60*-1</f>
        <v>142106572</v>
      </c>
      <c r="O18" s="205">
        <f t="shared" si="7"/>
        <v>371958</v>
      </c>
      <c r="P18" s="15"/>
      <c r="Q18" s="15"/>
      <c r="S18" s="178"/>
      <c r="U18" s="13"/>
      <c r="V18" s="13"/>
      <c r="W18" s="13"/>
    </row>
    <row r="19" spans="1:23">
      <c r="A19" s="10">
        <v>400</v>
      </c>
      <c r="C19" s="7"/>
      <c r="D19" s="25" t="s">
        <v>128</v>
      </c>
      <c r="E19" s="137">
        <f t="shared" si="0"/>
        <v>2020</v>
      </c>
      <c r="F19" s="190">
        <v>104952</v>
      </c>
      <c r="G19" s="214">
        <f>'MBG Sum'!$C$6</f>
        <v>3859.84</v>
      </c>
      <c r="H19" s="187">
        <f>'MBG Sum'!$F$38</f>
        <v>325171593</v>
      </c>
      <c r="I19" s="187">
        <f>ROUND(H19/$G19,0)</f>
        <v>84245</v>
      </c>
      <c r="J19" s="187">
        <f>'MBG Sum'!$B$39-'MBG Sum'!$D$39</f>
        <v>2742966885</v>
      </c>
      <c r="K19" s="187">
        <f>ROUND(J19/$G19,0)</f>
        <v>710643</v>
      </c>
      <c r="L19" s="205">
        <f>'MBG Sum'!$G$14</f>
        <v>0</v>
      </c>
      <c r="M19" s="187">
        <f>ROUND(L19/$G19,0)</f>
        <v>0</v>
      </c>
      <c r="N19" s="205">
        <f>'MBG Sum'!$F$60*-1</f>
        <v>101771980</v>
      </c>
      <c r="O19" s="205">
        <f>ROUND(N19/$G19,0)</f>
        <v>26367</v>
      </c>
      <c r="P19" s="15"/>
      <c r="Q19" s="15"/>
      <c r="S19" s="208"/>
      <c r="U19" s="13"/>
      <c r="V19" s="13"/>
      <c r="W19" s="13"/>
    </row>
    <row r="20" spans="1:23">
      <c r="A20" s="10">
        <v>480</v>
      </c>
      <c r="C20" s="190"/>
      <c r="D20" s="25" t="s">
        <v>243</v>
      </c>
      <c r="E20" s="137">
        <f t="shared" si="0"/>
        <v>2020</v>
      </c>
      <c r="F20" s="190">
        <v>862</v>
      </c>
      <c r="G20" s="214">
        <f>'TTUHSCEP Sum'!$C$6</f>
        <v>851.1</v>
      </c>
      <c r="H20" s="187">
        <f>'TTUHSCEP Sum'!$F$38</f>
        <v>132616140</v>
      </c>
      <c r="I20" s="187">
        <f t="shared" ref="I20:I22" si="8">ROUND(H20/$G20,0)</f>
        <v>155817</v>
      </c>
      <c r="J20" s="187">
        <f>'TTUHSCEP Sum'!$B$39-'TTUHSCEP Sum'!$D$39</f>
        <v>300206449</v>
      </c>
      <c r="K20" s="187">
        <f t="shared" ref="K20:K22" si="9">ROUND(J20/$G20,0)</f>
        <v>352728</v>
      </c>
      <c r="L20" s="205">
        <f>'TTUHSCEP Sum'!$G$14</f>
        <v>5557572</v>
      </c>
      <c r="M20" s="187">
        <f t="shared" ref="M20:M22" si="10">ROUND(L20/$G20,0)</f>
        <v>6530</v>
      </c>
      <c r="N20" s="205">
        <f>'TTUHSCEP Sum'!$F$60*-1</f>
        <v>19466650</v>
      </c>
      <c r="O20" s="205">
        <f t="shared" ref="O20:O22" si="11">ROUND(N20/$G20,0)</f>
        <v>22872</v>
      </c>
      <c r="P20" s="15"/>
      <c r="Q20" s="15"/>
      <c r="S20" s="178"/>
      <c r="U20" s="13"/>
      <c r="V20" s="13"/>
      <c r="W20" s="13"/>
    </row>
    <row r="21" spans="1:23">
      <c r="A21" s="10">
        <v>500</v>
      </c>
      <c r="C21" s="190"/>
      <c r="D21" s="25" t="s">
        <v>245</v>
      </c>
      <c r="E21" s="137">
        <f t="shared" si="0"/>
        <v>2020</v>
      </c>
      <c r="F21" s="190">
        <v>203599</v>
      </c>
      <c r="G21" s="214">
        <f>'RGVM Sum'!$C$6</f>
        <v>222</v>
      </c>
      <c r="H21" s="187">
        <f>'RGVM Sum'!$F$38</f>
        <v>60765156</v>
      </c>
      <c r="I21" s="187">
        <f>ROUND(H21/$G21,0)</f>
        <v>273717</v>
      </c>
      <c r="J21" s="187">
        <f>'RGVM Sum'!$B$39-'RGVM Sum'!$D$39</f>
        <v>142074464</v>
      </c>
      <c r="K21" s="187">
        <f>ROUND(J21/$G21,0)</f>
        <v>639975</v>
      </c>
      <c r="L21" s="205">
        <f>'RGVM Sum'!$G$14</f>
        <v>0</v>
      </c>
      <c r="M21" s="187">
        <f>ROUND(L21/$G21,0)</f>
        <v>0</v>
      </c>
      <c r="N21" s="205">
        <f>'RGVM Sum'!$F$60*-1</f>
        <v>0</v>
      </c>
      <c r="O21" s="205">
        <f>ROUND(N21/$G21,0)</f>
        <v>0</v>
      </c>
      <c r="P21" s="15"/>
      <c r="Q21" s="15"/>
      <c r="S21" s="178"/>
      <c r="U21" s="13"/>
      <c r="V21" s="13"/>
      <c r="W21" s="13"/>
    </row>
    <row r="22" spans="1:23">
      <c r="A22" s="10">
        <v>510</v>
      </c>
      <c r="C22" s="190"/>
      <c r="D22" s="25" t="s">
        <v>244</v>
      </c>
      <c r="E22" s="137">
        <f t="shared" si="0"/>
        <v>2020</v>
      </c>
      <c r="F22" s="190">
        <v>203658</v>
      </c>
      <c r="G22" s="214">
        <f>'AUSM Sum'!$C$6</f>
        <v>197</v>
      </c>
      <c r="H22" s="187">
        <f>'AUSM Sum'!$F$38</f>
        <v>163430402</v>
      </c>
      <c r="I22" s="187">
        <f t="shared" si="8"/>
        <v>829596</v>
      </c>
      <c r="J22" s="187">
        <f>'AUSM Sum'!$B$39-'AUSM Sum'!$D$39</f>
        <v>239952107</v>
      </c>
      <c r="K22" s="187">
        <f t="shared" si="9"/>
        <v>1218031</v>
      </c>
      <c r="L22" s="205">
        <f>'AUSM Sum'!$G$14</f>
        <v>25010190</v>
      </c>
      <c r="M22" s="187">
        <f t="shared" si="10"/>
        <v>126955</v>
      </c>
      <c r="N22" s="205">
        <f>'AUSM Sum'!$F$60*-1</f>
        <v>11235543</v>
      </c>
      <c r="O22" s="205">
        <f t="shared" si="11"/>
        <v>57033</v>
      </c>
      <c r="P22" s="15"/>
      <c r="Q22" s="15"/>
      <c r="S22" s="178"/>
      <c r="U22" s="13"/>
      <c r="V22" s="13"/>
      <c r="W22" s="13"/>
    </row>
    <row r="23" spans="1:23">
      <c r="A23" s="10">
        <v>520</v>
      </c>
      <c r="C23" s="190"/>
      <c r="D23" s="25" t="s">
        <v>31</v>
      </c>
      <c r="E23" s="137">
        <f t="shared" si="0"/>
        <v>2020</v>
      </c>
      <c r="F23" s="190">
        <v>203652</v>
      </c>
      <c r="G23" s="214">
        <f>'UHM Sum'!$C$6</f>
        <v>60</v>
      </c>
      <c r="H23" s="187">
        <f>'UHM Sum'!$F$38</f>
        <v>5609376</v>
      </c>
      <c r="I23" s="187" t="str">
        <f>IFERROR("",ROUND(H23/$G23,0))</f>
        <v/>
      </c>
      <c r="J23" s="187">
        <f>'UHM Sum'!$B$39-'UHM Sum'!$D$39</f>
        <v>22122730</v>
      </c>
      <c r="K23" s="187" t="str">
        <f>IFERROR("",ROUND(J23/$G23,0))</f>
        <v/>
      </c>
      <c r="L23" s="205">
        <f>'UHM Sum'!$G$14</f>
        <v>0</v>
      </c>
      <c r="M23" s="187" t="str">
        <f>IFERROR("",ROUND(L23/$G23,0))</f>
        <v/>
      </c>
      <c r="N23" s="205">
        <f>'UHM Sum'!$F$60*-1</f>
        <v>0</v>
      </c>
      <c r="O23" s="205" t="str">
        <f>IFERROR("",ROUND(N23/$G23,0))</f>
        <v/>
      </c>
      <c r="P23" s="15"/>
      <c r="Q23" s="15"/>
      <c r="S23" s="178"/>
      <c r="U23" s="13"/>
      <c r="V23" s="13"/>
      <c r="W23" s="13"/>
    </row>
    <row r="24" spans="1:23">
      <c r="C24" s="7"/>
      <c r="D24" s="25"/>
      <c r="E24" s="137"/>
      <c r="F24" s="190"/>
      <c r="G24" s="214"/>
      <c r="H24" s="187"/>
      <c r="I24" s="187"/>
      <c r="J24" s="187"/>
      <c r="K24" s="187"/>
      <c r="L24" s="205"/>
      <c r="M24" s="187"/>
      <c r="N24" s="205"/>
      <c r="O24" s="205"/>
      <c r="P24" s="15"/>
      <c r="Q24" s="15"/>
      <c r="S24" s="178"/>
      <c r="U24" s="13"/>
      <c r="V24" s="13"/>
      <c r="W24" s="13"/>
    </row>
    <row r="25" spans="1:23" ht="13.8" thickBot="1">
      <c r="A25" s="146"/>
      <c r="B25" s="146"/>
      <c r="C25" s="146">
        <f>COUNTA(D11:D24)</f>
        <v>13</v>
      </c>
      <c r="D25" s="147" t="s">
        <v>129</v>
      </c>
      <c r="E25" s="146">
        <f t="shared" si="0"/>
        <v>2020</v>
      </c>
      <c r="F25" s="191">
        <v>445566</v>
      </c>
      <c r="G25" s="206">
        <f>'Smmy Sum'!$C$19</f>
        <v>29805.46</v>
      </c>
      <c r="H25" s="188">
        <f>'Smmy Sum'!$F$51</f>
        <v>4832718953</v>
      </c>
      <c r="I25" s="188">
        <f t="shared" si="1"/>
        <v>162142</v>
      </c>
      <c r="J25" s="188">
        <f>'Smmy Sum'!$B$52-'Smmy Sum'!$D$52</f>
        <v>20333828381</v>
      </c>
      <c r="K25" s="188">
        <f t="shared" si="1"/>
        <v>682218</v>
      </c>
      <c r="L25" s="207">
        <f>'Smmy Sum'!$G$27</f>
        <v>114288662</v>
      </c>
      <c r="M25" s="188">
        <f t="shared" ref="M25:O25" si="12">ROUND(L25/$G25,0)</f>
        <v>3834</v>
      </c>
      <c r="N25" s="207">
        <f>'Smmy Sum'!$F$73*-1</f>
        <v>486153860</v>
      </c>
      <c r="O25" s="207">
        <f t="shared" si="12"/>
        <v>16311</v>
      </c>
      <c r="P25" s="15"/>
      <c r="Q25" s="15"/>
      <c r="S25" s="179"/>
      <c r="U25" s="15"/>
      <c r="V25" s="15"/>
      <c r="W25" s="15"/>
    </row>
    <row r="26" spans="1:23" s="15" customFormat="1" ht="13.8" thickTop="1">
      <c r="A26" s="14"/>
      <c r="B26" s="14"/>
      <c r="C26" s="14"/>
      <c r="R26" s="148"/>
      <c r="S26" s="148"/>
    </row>
    <row r="27" spans="1:23" s="15" customFormat="1">
      <c r="A27" s="14"/>
      <c r="B27" s="14"/>
      <c r="C27" s="14"/>
    </row>
    <row r="28" spans="1:23" s="15" customFormat="1">
      <c r="A28" s="14"/>
      <c r="B28" s="14"/>
      <c r="C28" s="14"/>
    </row>
    <row r="29" spans="1:23" s="15" customFormat="1">
      <c r="A29" s="14"/>
      <c r="B29" s="14"/>
      <c r="C29" s="14"/>
    </row>
    <row r="30" spans="1:23" s="15" customFormat="1">
      <c r="A30" s="14"/>
      <c r="B30" s="14"/>
      <c r="C30" s="14"/>
    </row>
    <row r="31" spans="1:23" s="15" customFormat="1">
      <c r="A31" s="14"/>
      <c r="B31" s="14"/>
      <c r="C31" s="14"/>
    </row>
    <row r="32" spans="1:23" s="15" customFormat="1">
      <c r="A32" s="14"/>
      <c r="B32" s="14"/>
      <c r="C32" s="14"/>
    </row>
    <row r="33" spans="1:3" s="15" customFormat="1">
      <c r="A33" s="14"/>
      <c r="B33" s="14"/>
      <c r="C33" s="14"/>
    </row>
    <row r="34" spans="1:3" s="15" customFormat="1">
      <c r="A34" s="14"/>
      <c r="B34" s="14"/>
      <c r="C34" s="14"/>
    </row>
    <row r="35" spans="1:3" s="15" customFormat="1">
      <c r="A35" s="14"/>
      <c r="B35" s="14"/>
      <c r="C35" s="14"/>
    </row>
    <row r="36" spans="1:3" s="15" customFormat="1">
      <c r="A36" s="14"/>
      <c r="B36" s="14"/>
      <c r="C36" s="14"/>
    </row>
    <row r="37" spans="1:3" s="15" customFormat="1">
      <c r="A37" s="14"/>
      <c r="B37" s="14"/>
      <c r="C37" s="14"/>
    </row>
    <row r="38" spans="1:3" s="15" customFormat="1">
      <c r="A38" s="14"/>
      <c r="B38" s="14"/>
      <c r="C38" s="14"/>
    </row>
    <row r="39" spans="1:3" s="15" customFormat="1">
      <c r="A39" s="14"/>
      <c r="B39" s="14"/>
      <c r="C39" s="14"/>
    </row>
    <row r="40" spans="1:3" s="15" customFormat="1">
      <c r="A40" s="14"/>
      <c r="B40" s="14"/>
      <c r="C40" s="14"/>
    </row>
    <row r="41" spans="1:3" s="15" customFormat="1">
      <c r="A41" s="14"/>
      <c r="B41" s="14"/>
      <c r="C41" s="14"/>
    </row>
    <row r="42" spans="1:3" s="15" customFormat="1">
      <c r="A42" s="14"/>
      <c r="B42" s="14"/>
      <c r="C42" s="14"/>
    </row>
    <row r="43" spans="1:3" s="15" customFormat="1">
      <c r="A43" s="14"/>
      <c r="B43" s="14"/>
      <c r="C43" s="14"/>
    </row>
    <row r="44" spans="1:3" s="15" customFormat="1">
      <c r="A44" s="14"/>
      <c r="B44" s="14"/>
      <c r="C44" s="14"/>
    </row>
    <row r="45" spans="1:3" s="15" customFormat="1">
      <c r="A45" s="14"/>
      <c r="B45" s="14"/>
      <c r="C45" s="14"/>
    </row>
    <row r="46" spans="1:3" s="15" customFormat="1">
      <c r="A46" s="14"/>
      <c r="B46" s="14"/>
      <c r="C46" s="14"/>
    </row>
    <row r="47" spans="1:3" s="15" customFormat="1">
      <c r="A47" s="14"/>
      <c r="B47" s="14"/>
      <c r="C47" s="14"/>
    </row>
    <row r="48" spans="1:3" s="15" customFormat="1">
      <c r="A48" s="14"/>
      <c r="B48" s="14"/>
      <c r="C48" s="14"/>
    </row>
    <row r="49" spans="1:3" s="15" customFormat="1">
      <c r="A49" s="14"/>
      <c r="B49" s="14"/>
      <c r="C49" s="14"/>
    </row>
    <row r="50" spans="1:3" s="15" customFormat="1">
      <c r="A50" s="14"/>
      <c r="B50" s="14"/>
      <c r="C50" s="14"/>
    </row>
    <row r="51" spans="1:3" s="15" customFormat="1">
      <c r="A51" s="14"/>
      <c r="B51" s="14"/>
      <c r="C51" s="14"/>
    </row>
    <row r="52" spans="1:3" s="15" customFormat="1">
      <c r="A52" s="14"/>
      <c r="B52" s="14"/>
      <c r="C52" s="14"/>
    </row>
    <row r="53" spans="1:3" s="15" customFormat="1">
      <c r="A53" s="14"/>
      <c r="B53" s="14"/>
      <c r="C53" s="14"/>
    </row>
    <row r="54" spans="1:3" s="15" customFormat="1">
      <c r="A54" s="14"/>
      <c r="B54" s="14"/>
      <c r="C54" s="14"/>
    </row>
    <row r="55" spans="1:3" s="15" customFormat="1">
      <c r="A55" s="14"/>
      <c r="B55" s="14"/>
      <c r="C55" s="14"/>
    </row>
    <row r="56" spans="1:3" s="15" customFormat="1">
      <c r="A56" s="14"/>
      <c r="B56" s="14"/>
      <c r="C56" s="14"/>
    </row>
    <row r="57" spans="1:3" s="15" customFormat="1">
      <c r="A57" s="14"/>
      <c r="B57" s="14"/>
      <c r="C57" s="14"/>
    </row>
    <row r="58" spans="1:3" s="15" customFormat="1">
      <c r="A58" s="14"/>
      <c r="B58" s="14"/>
      <c r="C58" s="14"/>
    </row>
    <row r="59" spans="1:3" s="15" customFormat="1">
      <c r="A59" s="14"/>
      <c r="B59" s="14"/>
      <c r="C59" s="14"/>
    </row>
    <row r="60" spans="1:3" s="15" customFormat="1">
      <c r="A60" s="14"/>
      <c r="B60" s="14"/>
      <c r="C60" s="14"/>
    </row>
    <row r="61" spans="1:3" s="15" customFormat="1">
      <c r="A61" s="14"/>
      <c r="B61" s="14"/>
      <c r="C61" s="14"/>
    </row>
    <row r="62" spans="1:3" s="15" customFormat="1">
      <c r="A62" s="14"/>
      <c r="B62" s="14"/>
      <c r="C62" s="14"/>
    </row>
    <row r="63" spans="1:3" s="15" customFormat="1">
      <c r="A63" s="14"/>
      <c r="B63" s="14"/>
      <c r="C63" s="14"/>
    </row>
    <row r="64" spans="1:3" s="15" customFormat="1">
      <c r="A64" s="14"/>
      <c r="B64" s="14"/>
      <c r="C64" s="14"/>
    </row>
    <row r="65" spans="1:3" s="15" customFormat="1">
      <c r="A65" s="14"/>
      <c r="B65" s="14"/>
      <c r="C65" s="14"/>
    </row>
    <row r="66" spans="1:3" s="15" customFormat="1">
      <c r="A66" s="14"/>
      <c r="B66" s="14"/>
      <c r="C66" s="14"/>
    </row>
    <row r="67" spans="1:3" s="15" customFormat="1">
      <c r="A67" s="14"/>
      <c r="B67" s="14"/>
      <c r="C67" s="14"/>
    </row>
    <row r="68" spans="1:3" s="15" customFormat="1">
      <c r="A68" s="14"/>
      <c r="B68" s="14"/>
      <c r="C68" s="14"/>
    </row>
    <row r="69" spans="1:3" s="15" customFormat="1">
      <c r="A69" s="14"/>
      <c r="B69" s="14"/>
      <c r="C69" s="14"/>
    </row>
    <row r="70" spans="1:3" s="15" customFormat="1">
      <c r="A70" s="14"/>
      <c r="B70" s="14"/>
      <c r="C70" s="14"/>
    </row>
    <row r="71" spans="1:3" s="15" customFormat="1">
      <c r="A71" s="14"/>
      <c r="B71" s="14"/>
      <c r="C71" s="14"/>
    </row>
    <row r="72" spans="1:3" s="15" customFormat="1">
      <c r="A72" s="14"/>
      <c r="B72" s="14"/>
      <c r="C72" s="14"/>
    </row>
    <row r="73" spans="1:3" s="15" customFormat="1">
      <c r="A73" s="14"/>
      <c r="B73" s="14"/>
      <c r="C73" s="14"/>
    </row>
    <row r="74" spans="1:3" s="15" customFormat="1">
      <c r="A74" s="14"/>
      <c r="B74" s="14"/>
      <c r="C74" s="14"/>
    </row>
    <row r="75" spans="1:3" s="15" customFormat="1">
      <c r="A75" s="14"/>
      <c r="B75" s="14"/>
      <c r="C75" s="14"/>
    </row>
    <row r="76" spans="1:3" s="15" customFormat="1">
      <c r="A76" s="14"/>
      <c r="B76" s="14"/>
      <c r="C76" s="14"/>
    </row>
    <row r="77" spans="1:3" s="15" customFormat="1">
      <c r="A77" s="14"/>
      <c r="B77" s="14"/>
      <c r="C77" s="14"/>
    </row>
    <row r="78" spans="1:3" s="15" customFormat="1">
      <c r="A78" s="14"/>
      <c r="B78" s="14"/>
      <c r="C78" s="14"/>
    </row>
    <row r="79" spans="1:3" s="15" customFormat="1">
      <c r="A79" s="14"/>
      <c r="B79" s="14"/>
      <c r="C79" s="14"/>
    </row>
    <row r="80" spans="1:3" s="15" customFormat="1">
      <c r="A80" s="14"/>
      <c r="B80" s="14"/>
      <c r="C80" s="14"/>
    </row>
    <row r="81" spans="1:3" s="15" customFormat="1">
      <c r="A81" s="14"/>
      <c r="B81" s="14"/>
      <c r="C81" s="14"/>
    </row>
    <row r="82" spans="1:3" s="15" customFormat="1">
      <c r="A82" s="14"/>
      <c r="B82" s="14"/>
      <c r="C82" s="14"/>
    </row>
    <row r="83" spans="1:3" s="15" customFormat="1">
      <c r="A83" s="14"/>
      <c r="B83" s="14"/>
      <c r="C83" s="14"/>
    </row>
    <row r="84" spans="1:3" s="15" customFormat="1">
      <c r="A84" s="14"/>
      <c r="B84" s="14"/>
      <c r="C84" s="14"/>
    </row>
    <row r="85" spans="1:3" s="15" customFormat="1">
      <c r="A85" s="14"/>
      <c r="B85" s="14"/>
      <c r="C85" s="14"/>
    </row>
    <row r="86" spans="1:3" s="15" customFormat="1">
      <c r="A86" s="14"/>
      <c r="B86" s="14"/>
      <c r="C86" s="14"/>
    </row>
    <row r="87" spans="1:3" s="15" customFormat="1">
      <c r="A87" s="14"/>
      <c r="B87" s="14"/>
      <c r="C87" s="14"/>
    </row>
    <row r="88" spans="1:3" s="15" customFormat="1">
      <c r="A88" s="14"/>
      <c r="B88" s="14"/>
      <c r="C88" s="14"/>
    </row>
    <row r="89" spans="1:3" s="15" customFormat="1">
      <c r="A89" s="14"/>
      <c r="B89" s="14"/>
      <c r="C89" s="14"/>
    </row>
    <row r="90" spans="1:3" s="15" customFormat="1">
      <c r="A90" s="14"/>
      <c r="B90" s="14"/>
      <c r="C90" s="14"/>
    </row>
    <row r="91" spans="1:3" s="15" customFormat="1">
      <c r="A91" s="14"/>
      <c r="B91" s="14"/>
      <c r="C91" s="14"/>
    </row>
    <row r="92" spans="1:3" s="15" customFormat="1">
      <c r="A92" s="14"/>
      <c r="B92" s="14"/>
      <c r="C92" s="14"/>
    </row>
    <row r="93" spans="1:3" s="15" customFormat="1">
      <c r="A93" s="14"/>
      <c r="B93" s="14"/>
      <c r="C93" s="14"/>
    </row>
    <row r="94" spans="1:3" s="15" customFormat="1">
      <c r="A94" s="14"/>
      <c r="B94" s="14"/>
      <c r="C94" s="14"/>
    </row>
    <row r="95" spans="1:3" s="15" customFormat="1">
      <c r="A95" s="14"/>
      <c r="B95" s="14"/>
      <c r="C95" s="14"/>
    </row>
    <row r="96" spans="1:3" s="15" customFormat="1">
      <c r="A96" s="14"/>
      <c r="B96" s="14"/>
      <c r="C96" s="14"/>
    </row>
    <row r="97" spans="1:3" s="15" customFormat="1">
      <c r="A97" s="14"/>
      <c r="B97" s="14"/>
      <c r="C97" s="14"/>
    </row>
    <row r="98" spans="1:3" s="15" customFormat="1">
      <c r="A98" s="14"/>
      <c r="B98" s="14"/>
      <c r="C98" s="14"/>
    </row>
    <row r="99" spans="1:3" s="15" customFormat="1">
      <c r="A99" s="14"/>
      <c r="B99" s="14"/>
      <c r="C99" s="14"/>
    </row>
    <row r="100" spans="1:3" s="15" customFormat="1">
      <c r="A100" s="14"/>
      <c r="B100" s="14"/>
      <c r="C100" s="14"/>
    </row>
    <row r="101" spans="1:3" s="15" customFormat="1">
      <c r="A101" s="14"/>
      <c r="B101" s="14"/>
      <c r="C101" s="14"/>
    </row>
    <row r="102" spans="1:3" s="15" customFormat="1">
      <c r="A102" s="14"/>
      <c r="B102" s="14"/>
      <c r="C102" s="14"/>
    </row>
    <row r="103" spans="1:3" s="15" customFormat="1">
      <c r="A103" s="14"/>
      <c r="B103" s="14"/>
      <c r="C103" s="14"/>
    </row>
    <row r="104" spans="1:3" s="15" customFormat="1">
      <c r="A104" s="14"/>
      <c r="B104" s="14"/>
      <c r="C104" s="14"/>
    </row>
    <row r="105" spans="1:3" s="15" customFormat="1">
      <c r="A105" s="14"/>
      <c r="B105" s="14"/>
      <c r="C105" s="14"/>
    </row>
    <row r="106" spans="1:3" s="15" customFormat="1">
      <c r="A106" s="14"/>
      <c r="B106" s="14"/>
      <c r="C106" s="14"/>
    </row>
    <row r="107" spans="1:3" s="15" customFormat="1">
      <c r="A107" s="14"/>
      <c r="B107" s="14"/>
      <c r="C107" s="14"/>
    </row>
    <row r="108" spans="1:3" s="15" customFormat="1">
      <c r="A108" s="14"/>
      <c r="B108" s="14"/>
      <c r="C108" s="14"/>
    </row>
    <row r="109" spans="1:3" s="15" customFormat="1">
      <c r="A109" s="14"/>
      <c r="B109" s="14"/>
      <c r="C109" s="14"/>
    </row>
    <row r="110" spans="1:3" s="15" customFormat="1">
      <c r="A110" s="14"/>
      <c r="B110" s="14"/>
      <c r="C110" s="14"/>
    </row>
    <row r="111" spans="1:3" s="15" customFormat="1">
      <c r="A111" s="14"/>
      <c r="B111" s="14"/>
      <c r="C111" s="14"/>
    </row>
    <row r="112" spans="1:3" s="15" customFormat="1">
      <c r="A112" s="14"/>
      <c r="B112" s="14"/>
      <c r="C112" s="14"/>
    </row>
    <row r="113" spans="1:3" s="15" customFormat="1">
      <c r="A113" s="14"/>
      <c r="B113" s="14"/>
      <c r="C113" s="14"/>
    </row>
    <row r="114" spans="1:3" s="15" customFormat="1">
      <c r="A114" s="14"/>
      <c r="B114" s="14"/>
      <c r="C114" s="14"/>
    </row>
    <row r="115" spans="1:3" s="15" customFormat="1">
      <c r="A115" s="14"/>
      <c r="B115" s="14"/>
      <c r="C115" s="14"/>
    </row>
    <row r="116" spans="1:3" s="15" customFormat="1">
      <c r="A116" s="14"/>
      <c r="B116" s="14"/>
      <c r="C116" s="14"/>
    </row>
    <row r="117" spans="1:3" s="15" customFormat="1">
      <c r="A117" s="14"/>
      <c r="B117" s="14"/>
      <c r="C117" s="14"/>
    </row>
    <row r="118" spans="1:3" s="15" customFormat="1">
      <c r="A118" s="14"/>
      <c r="B118" s="14"/>
      <c r="C118" s="14"/>
    </row>
    <row r="119" spans="1:3" s="15" customFormat="1">
      <c r="A119" s="14"/>
      <c r="B119" s="14"/>
      <c r="C119" s="14"/>
    </row>
    <row r="120" spans="1:3" s="15" customFormat="1">
      <c r="A120" s="14"/>
      <c r="B120" s="14"/>
      <c r="C120" s="14"/>
    </row>
    <row r="121" spans="1:3" s="15" customFormat="1">
      <c r="A121" s="14"/>
      <c r="B121" s="14"/>
      <c r="C121" s="14"/>
    </row>
    <row r="122" spans="1:3" s="15" customFormat="1">
      <c r="A122" s="14"/>
      <c r="B122" s="14"/>
      <c r="C122" s="14"/>
    </row>
    <row r="123" spans="1:3" s="15" customFormat="1">
      <c r="A123" s="14"/>
      <c r="B123" s="14"/>
      <c r="C123" s="14"/>
    </row>
    <row r="124" spans="1:3" s="15" customFormat="1">
      <c r="A124" s="14"/>
      <c r="B124" s="14"/>
      <c r="C124" s="14"/>
    </row>
    <row r="125" spans="1:3" s="15" customFormat="1">
      <c r="A125" s="14"/>
      <c r="B125" s="14"/>
      <c r="C125" s="14"/>
    </row>
    <row r="126" spans="1:3" s="15" customFormat="1">
      <c r="A126" s="14"/>
      <c r="B126" s="14"/>
      <c r="C126" s="14"/>
    </row>
    <row r="127" spans="1:3" s="15" customFormat="1">
      <c r="A127" s="14"/>
      <c r="B127" s="14"/>
      <c r="C127" s="14"/>
    </row>
    <row r="128" spans="1:3" s="15" customFormat="1">
      <c r="A128" s="14"/>
      <c r="B128" s="14"/>
      <c r="C128" s="14"/>
    </row>
    <row r="129" spans="1:3" s="15" customFormat="1">
      <c r="A129" s="14"/>
      <c r="B129" s="14"/>
      <c r="C129" s="14"/>
    </row>
    <row r="130" spans="1:3" s="15" customFormat="1">
      <c r="A130" s="14"/>
      <c r="B130" s="14"/>
      <c r="C130" s="14"/>
    </row>
    <row r="131" spans="1:3" s="15" customFormat="1">
      <c r="A131" s="14"/>
      <c r="B131" s="14"/>
      <c r="C131" s="14"/>
    </row>
    <row r="132" spans="1:3" s="15" customFormat="1">
      <c r="A132" s="14"/>
      <c r="B132" s="14"/>
      <c r="C132" s="14"/>
    </row>
    <row r="133" spans="1:3" s="15" customFormat="1">
      <c r="A133" s="14"/>
      <c r="B133" s="14"/>
      <c r="C133" s="14"/>
    </row>
    <row r="134" spans="1:3" s="15" customFormat="1">
      <c r="A134" s="14"/>
      <c r="B134" s="14"/>
      <c r="C134" s="14"/>
    </row>
    <row r="135" spans="1:3" s="15" customFormat="1">
      <c r="A135" s="14"/>
      <c r="B135" s="14"/>
      <c r="C135" s="14"/>
    </row>
    <row r="136" spans="1:3" s="15" customFormat="1">
      <c r="A136" s="14"/>
      <c r="B136" s="14"/>
      <c r="C136" s="14"/>
    </row>
    <row r="137" spans="1:3" s="15" customFormat="1">
      <c r="A137" s="14"/>
      <c r="B137" s="14"/>
      <c r="C137" s="14"/>
    </row>
    <row r="138" spans="1:3" s="15" customFormat="1">
      <c r="A138" s="14"/>
      <c r="B138" s="14"/>
      <c r="C138" s="14"/>
    </row>
    <row r="139" spans="1:3" s="15" customFormat="1">
      <c r="A139" s="14"/>
      <c r="B139" s="14"/>
      <c r="C139" s="14"/>
    </row>
    <row r="140" spans="1:3" s="15" customFormat="1">
      <c r="A140" s="14"/>
      <c r="B140" s="14"/>
      <c r="C140" s="14"/>
    </row>
    <row r="141" spans="1:3" s="15" customFormat="1">
      <c r="A141" s="14"/>
      <c r="B141" s="14"/>
      <c r="C141" s="14"/>
    </row>
    <row r="142" spans="1:3" s="15" customFormat="1">
      <c r="A142" s="14"/>
      <c r="B142" s="14"/>
      <c r="C142" s="14"/>
    </row>
    <row r="143" spans="1:3" s="15" customFormat="1">
      <c r="A143" s="14"/>
      <c r="B143" s="14"/>
      <c r="C143" s="14"/>
    </row>
    <row r="144" spans="1:3" s="15" customFormat="1">
      <c r="A144" s="14"/>
      <c r="B144" s="14"/>
      <c r="C144" s="14"/>
    </row>
    <row r="145" spans="1:3" s="15" customFormat="1">
      <c r="A145" s="14"/>
      <c r="B145" s="14"/>
      <c r="C145" s="14"/>
    </row>
    <row r="146" spans="1:3" s="15" customFormat="1">
      <c r="A146" s="14"/>
      <c r="B146" s="14"/>
      <c r="C146" s="14"/>
    </row>
    <row r="147" spans="1:3" s="15" customFormat="1">
      <c r="A147" s="14"/>
      <c r="B147" s="14"/>
      <c r="C147" s="14"/>
    </row>
    <row r="148" spans="1:3" s="15" customFormat="1">
      <c r="A148" s="14"/>
      <c r="B148" s="14"/>
      <c r="C148" s="14"/>
    </row>
    <row r="149" spans="1:3" s="15" customFormat="1">
      <c r="A149" s="14"/>
      <c r="B149" s="14"/>
      <c r="C149" s="14"/>
    </row>
    <row r="150" spans="1:3" s="15" customFormat="1">
      <c r="A150" s="14"/>
      <c r="B150" s="14"/>
      <c r="C150" s="14"/>
    </row>
    <row r="151" spans="1:3" s="15" customFormat="1">
      <c r="A151" s="14"/>
      <c r="B151" s="14"/>
      <c r="C151" s="14"/>
    </row>
    <row r="152" spans="1:3" s="15" customFormat="1">
      <c r="A152" s="14"/>
      <c r="B152" s="14"/>
      <c r="C152" s="14"/>
    </row>
    <row r="153" spans="1:3" s="15" customFormat="1">
      <c r="A153" s="14"/>
      <c r="B153" s="14"/>
      <c r="C153" s="14"/>
    </row>
    <row r="154" spans="1:3" s="15" customFormat="1">
      <c r="A154" s="14"/>
      <c r="B154" s="14"/>
      <c r="C154" s="14"/>
    </row>
    <row r="155" spans="1:3" s="15" customFormat="1">
      <c r="A155" s="14"/>
      <c r="B155" s="14"/>
      <c r="C155" s="14"/>
    </row>
    <row r="156" spans="1:3" s="15" customFormat="1">
      <c r="A156" s="14"/>
      <c r="B156" s="14"/>
      <c r="C156" s="14"/>
    </row>
    <row r="157" spans="1:3" s="15" customFormat="1">
      <c r="A157" s="14"/>
      <c r="B157" s="14"/>
      <c r="C157" s="14"/>
    </row>
    <row r="158" spans="1:3" s="15" customFormat="1">
      <c r="A158" s="14"/>
      <c r="B158" s="14"/>
      <c r="C158" s="14"/>
    </row>
    <row r="159" spans="1:3" s="15" customFormat="1">
      <c r="A159" s="14"/>
      <c r="B159" s="14"/>
      <c r="C159" s="14"/>
    </row>
    <row r="160" spans="1:3" s="15" customFormat="1">
      <c r="A160" s="14"/>
      <c r="B160" s="14"/>
      <c r="C160" s="14"/>
    </row>
    <row r="161" spans="1:3" s="15" customFormat="1">
      <c r="A161" s="14"/>
      <c r="B161" s="14"/>
      <c r="C161" s="14"/>
    </row>
    <row r="162" spans="1:3" s="15" customFormat="1">
      <c r="A162" s="14"/>
      <c r="B162" s="14"/>
      <c r="C162" s="14"/>
    </row>
    <row r="163" spans="1:3" s="15" customFormat="1">
      <c r="A163" s="14"/>
      <c r="B163" s="14"/>
      <c r="C163" s="14"/>
    </row>
    <row r="164" spans="1:3" s="15" customFormat="1">
      <c r="A164" s="14"/>
      <c r="B164" s="14"/>
      <c r="C164" s="14"/>
    </row>
    <row r="165" spans="1:3" s="15" customFormat="1">
      <c r="A165" s="14"/>
      <c r="B165" s="14"/>
      <c r="C165" s="14"/>
    </row>
    <row r="166" spans="1:3" s="15" customFormat="1">
      <c r="A166" s="14"/>
      <c r="B166" s="14"/>
      <c r="C166" s="14"/>
    </row>
    <row r="167" spans="1:3" s="15" customFormat="1">
      <c r="A167" s="14"/>
      <c r="B167" s="14"/>
      <c r="C167" s="14"/>
    </row>
    <row r="168" spans="1:3" s="15" customFormat="1">
      <c r="A168" s="14"/>
      <c r="B168" s="14"/>
      <c r="C168" s="14"/>
    </row>
    <row r="169" spans="1:3" s="15" customFormat="1">
      <c r="A169" s="14"/>
      <c r="B169" s="14"/>
      <c r="C169" s="14"/>
    </row>
    <row r="170" spans="1:3" s="15" customFormat="1">
      <c r="A170" s="14"/>
      <c r="B170" s="14"/>
      <c r="C170" s="14"/>
    </row>
    <row r="171" spans="1:3" s="15" customFormat="1">
      <c r="A171" s="14"/>
      <c r="B171" s="14"/>
      <c r="C171" s="14"/>
    </row>
    <row r="172" spans="1:3" s="15" customFormat="1">
      <c r="A172" s="14"/>
      <c r="B172" s="14"/>
      <c r="C172" s="14"/>
    </row>
    <row r="173" spans="1:3" s="15" customFormat="1">
      <c r="A173" s="14"/>
      <c r="B173" s="14"/>
      <c r="C173" s="14"/>
    </row>
    <row r="174" spans="1:3" s="15" customFormat="1">
      <c r="A174" s="14"/>
      <c r="B174" s="14"/>
      <c r="C174" s="14"/>
    </row>
    <row r="175" spans="1:3" s="15" customFormat="1">
      <c r="A175" s="14"/>
      <c r="B175" s="14"/>
      <c r="C175" s="14"/>
    </row>
    <row r="176" spans="1:3" s="15" customFormat="1">
      <c r="A176" s="14"/>
      <c r="B176" s="14"/>
      <c r="C176" s="14"/>
    </row>
    <row r="177" spans="1:3" s="15" customFormat="1">
      <c r="A177" s="14"/>
      <c r="B177" s="14"/>
      <c r="C177" s="14"/>
    </row>
    <row r="178" spans="1:3" s="15" customFormat="1">
      <c r="A178" s="14"/>
      <c r="B178" s="14"/>
      <c r="C178" s="14"/>
    </row>
    <row r="179" spans="1:3" s="15" customFormat="1">
      <c r="A179" s="14"/>
      <c r="B179" s="14"/>
      <c r="C179" s="14"/>
    </row>
    <row r="180" spans="1:3" s="15" customFormat="1">
      <c r="A180" s="14"/>
      <c r="B180" s="14"/>
      <c r="C180" s="14"/>
    </row>
    <row r="181" spans="1:3" s="15" customFormat="1">
      <c r="A181" s="14"/>
      <c r="B181" s="14"/>
      <c r="C181" s="14"/>
    </row>
    <row r="182" spans="1:3" s="15" customFormat="1">
      <c r="A182" s="14"/>
      <c r="B182" s="14"/>
      <c r="C182" s="14"/>
    </row>
    <row r="183" spans="1:3" s="15" customFormat="1">
      <c r="A183" s="14"/>
      <c r="B183" s="14"/>
      <c r="C183" s="14"/>
    </row>
    <row r="184" spans="1:3" s="15" customFormat="1">
      <c r="A184" s="14"/>
      <c r="B184" s="14"/>
      <c r="C184" s="14"/>
    </row>
    <row r="185" spans="1:3" s="15" customFormat="1">
      <c r="A185" s="14"/>
      <c r="B185" s="14"/>
      <c r="C185" s="14"/>
    </row>
    <row r="186" spans="1:3" s="15" customFormat="1">
      <c r="A186" s="14"/>
      <c r="B186" s="14"/>
      <c r="C186" s="14"/>
    </row>
    <row r="187" spans="1:3" s="15" customFormat="1">
      <c r="A187" s="14"/>
      <c r="B187" s="14"/>
      <c r="C187" s="14"/>
    </row>
    <row r="188" spans="1:3" s="15" customFormat="1">
      <c r="A188" s="14"/>
      <c r="B188" s="14"/>
      <c r="C188" s="14"/>
    </row>
    <row r="189" spans="1:3" s="15" customFormat="1">
      <c r="A189" s="14"/>
      <c r="B189" s="14"/>
      <c r="C189" s="14"/>
    </row>
    <row r="190" spans="1:3" s="15" customFormat="1">
      <c r="A190" s="14"/>
      <c r="B190" s="14"/>
      <c r="C190" s="14"/>
    </row>
    <row r="191" spans="1:3" s="15" customFormat="1">
      <c r="A191" s="14"/>
      <c r="B191" s="14"/>
      <c r="C191" s="14"/>
    </row>
    <row r="192" spans="1:3" s="15" customFormat="1">
      <c r="A192" s="14"/>
      <c r="B192" s="14"/>
      <c r="C192" s="14"/>
    </row>
    <row r="193" spans="1:3" s="15" customFormat="1">
      <c r="A193" s="14"/>
      <c r="B193" s="14"/>
      <c r="C193" s="14"/>
    </row>
    <row r="194" spans="1:3" s="15" customFormat="1">
      <c r="A194" s="14"/>
      <c r="B194" s="14"/>
      <c r="C194" s="14"/>
    </row>
    <row r="195" spans="1:3" s="15" customFormat="1">
      <c r="A195" s="14"/>
      <c r="B195" s="14"/>
      <c r="C195" s="14"/>
    </row>
    <row r="196" spans="1:3" s="15" customFormat="1">
      <c r="A196" s="14"/>
      <c r="B196" s="14"/>
      <c r="C196" s="14"/>
    </row>
    <row r="197" spans="1:3" s="15" customFormat="1">
      <c r="A197" s="14"/>
      <c r="B197" s="14"/>
      <c r="C197" s="14"/>
    </row>
    <row r="198" spans="1:3" s="15" customFormat="1">
      <c r="A198" s="14"/>
      <c r="B198" s="14"/>
      <c r="C198" s="14"/>
    </row>
    <row r="199" spans="1:3" s="15" customFormat="1">
      <c r="A199" s="14"/>
      <c r="B199" s="14"/>
      <c r="C199" s="14"/>
    </row>
    <row r="200" spans="1:3" s="15" customFormat="1">
      <c r="A200" s="14"/>
      <c r="B200" s="14"/>
      <c r="C200" s="14"/>
    </row>
    <row r="201" spans="1:3" s="15" customFormat="1">
      <c r="A201" s="14"/>
      <c r="B201" s="14"/>
      <c r="C201" s="14"/>
    </row>
    <row r="202" spans="1:3" s="15" customFormat="1">
      <c r="A202" s="14"/>
      <c r="B202" s="14"/>
      <c r="C202" s="14"/>
    </row>
    <row r="203" spans="1:3" s="15" customFormat="1">
      <c r="A203" s="14"/>
      <c r="B203" s="14"/>
      <c r="C203" s="14"/>
    </row>
    <row r="204" spans="1:3" s="15" customFormat="1">
      <c r="A204" s="14"/>
      <c r="B204" s="14"/>
      <c r="C204" s="14"/>
    </row>
    <row r="205" spans="1:3" s="15" customFormat="1">
      <c r="A205" s="14"/>
      <c r="B205" s="14"/>
      <c r="C205" s="14"/>
    </row>
    <row r="206" spans="1:3" s="15" customFormat="1">
      <c r="A206" s="14"/>
      <c r="B206" s="14"/>
      <c r="C206" s="14"/>
    </row>
    <row r="207" spans="1:3" s="15" customFormat="1">
      <c r="A207" s="14"/>
      <c r="B207" s="14"/>
      <c r="C207" s="14"/>
    </row>
    <row r="208" spans="1:3" s="15" customFormat="1">
      <c r="A208" s="14"/>
      <c r="B208" s="14"/>
      <c r="C208" s="14"/>
    </row>
    <row r="209" spans="1:3" s="15" customFormat="1">
      <c r="A209" s="14"/>
      <c r="B209" s="14"/>
      <c r="C209" s="14"/>
    </row>
    <row r="210" spans="1:3" s="15" customFormat="1">
      <c r="A210" s="14"/>
      <c r="B210" s="14"/>
      <c r="C210" s="14"/>
    </row>
    <row r="211" spans="1:3" s="15" customFormat="1">
      <c r="A211" s="14"/>
      <c r="B211" s="14"/>
      <c r="C211" s="14"/>
    </row>
    <row r="212" spans="1:3" s="15" customFormat="1">
      <c r="A212" s="14"/>
      <c r="B212" s="14"/>
      <c r="C212" s="14"/>
    </row>
    <row r="213" spans="1:3" s="15" customFormat="1">
      <c r="A213" s="14"/>
      <c r="B213" s="14"/>
      <c r="C213" s="14"/>
    </row>
    <row r="214" spans="1:3" s="15" customFormat="1">
      <c r="A214" s="14"/>
      <c r="B214" s="14"/>
      <c r="C214" s="14"/>
    </row>
    <row r="215" spans="1:3" s="15" customFormat="1">
      <c r="A215" s="14"/>
      <c r="B215" s="14"/>
      <c r="C215" s="14"/>
    </row>
    <row r="216" spans="1:3" s="15" customFormat="1">
      <c r="A216" s="14"/>
      <c r="B216" s="14"/>
      <c r="C216" s="14"/>
    </row>
    <row r="217" spans="1:3" s="15" customFormat="1">
      <c r="A217" s="14"/>
      <c r="B217" s="14"/>
      <c r="C217" s="14"/>
    </row>
    <row r="218" spans="1:3" s="15" customFormat="1">
      <c r="A218" s="14"/>
      <c r="B218" s="14"/>
      <c r="C218" s="14"/>
    </row>
    <row r="219" spans="1:3" s="15" customFormat="1">
      <c r="A219" s="14"/>
      <c r="B219" s="14"/>
      <c r="C219" s="14"/>
    </row>
    <row r="220" spans="1:3" s="15" customFormat="1">
      <c r="A220" s="14"/>
      <c r="B220" s="14"/>
      <c r="C220" s="14"/>
    </row>
    <row r="221" spans="1:3" s="15" customFormat="1">
      <c r="A221" s="14"/>
      <c r="B221" s="14"/>
      <c r="C221" s="14"/>
    </row>
    <row r="222" spans="1:3" s="15" customFormat="1">
      <c r="A222" s="14"/>
      <c r="B222" s="14"/>
      <c r="C222" s="14"/>
    </row>
    <row r="223" spans="1:3" s="15" customFormat="1">
      <c r="A223" s="14"/>
      <c r="B223" s="14"/>
      <c r="C223" s="14"/>
    </row>
    <row r="224" spans="1:3" s="15" customFormat="1">
      <c r="A224" s="14"/>
      <c r="B224" s="14"/>
      <c r="C224" s="14"/>
    </row>
    <row r="225" spans="1:3" s="15" customFormat="1">
      <c r="A225" s="14"/>
      <c r="B225" s="14"/>
      <c r="C225" s="14"/>
    </row>
    <row r="226" spans="1:3" s="15" customFormat="1">
      <c r="A226" s="14"/>
      <c r="B226" s="14"/>
      <c r="C226" s="14"/>
    </row>
    <row r="227" spans="1:3" s="15" customFormat="1">
      <c r="A227" s="14"/>
      <c r="B227" s="14"/>
      <c r="C227" s="14"/>
    </row>
    <row r="228" spans="1:3" s="15" customFormat="1">
      <c r="A228" s="14"/>
      <c r="B228" s="14"/>
      <c r="C228" s="14"/>
    </row>
    <row r="229" spans="1:3" s="15" customFormat="1">
      <c r="A229" s="14"/>
      <c r="B229" s="14"/>
      <c r="C229" s="14"/>
    </row>
    <row r="230" spans="1:3" s="15" customFormat="1">
      <c r="A230" s="14"/>
      <c r="B230" s="14"/>
      <c r="C230" s="14"/>
    </row>
    <row r="231" spans="1:3" s="15" customFormat="1">
      <c r="A231" s="14"/>
      <c r="B231" s="14"/>
      <c r="C231" s="14"/>
    </row>
    <row r="232" spans="1:3" s="15" customFormat="1">
      <c r="A232" s="14"/>
      <c r="B232" s="14"/>
      <c r="C232" s="14"/>
    </row>
    <row r="233" spans="1:3" s="15" customFormat="1">
      <c r="A233" s="14"/>
      <c r="B233" s="14"/>
      <c r="C233" s="14"/>
    </row>
    <row r="234" spans="1:3" s="15" customFormat="1">
      <c r="A234" s="14"/>
      <c r="B234" s="14"/>
      <c r="C234" s="14"/>
    </row>
    <row r="235" spans="1:3" s="15" customFormat="1">
      <c r="A235" s="14"/>
      <c r="B235" s="14"/>
      <c r="C235" s="14"/>
    </row>
    <row r="236" spans="1:3" s="15" customFormat="1">
      <c r="A236" s="14"/>
      <c r="B236" s="14"/>
      <c r="C236" s="14"/>
    </row>
    <row r="237" spans="1:3" s="15" customFormat="1">
      <c r="A237" s="14"/>
      <c r="B237" s="14"/>
      <c r="C237" s="14"/>
    </row>
    <row r="238" spans="1:3" s="15" customFormat="1">
      <c r="A238" s="14"/>
      <c r="B238" s="14"/>
      <c r="C238" s="14"/>
    </row>
    <row r="239" spans="1:3" s="15" customFormat="1">
      <c r="A239" s="14"/>
      <c r="B239" s="14"/>
      <c r="C239" s="14"/>
    </row>
    <row r="240" spans="1:3" s="15" customFormat="1">
      <c r="A240" s="14"/>
      <c r="B240" s="14"/>
      <c r="C240" s="14"/>
    </row>
    <row r="241" spans="1:3" s="15" customFormat="1">
      <c r="A241" s="14"/>
      <c r="B241" s="14"/>
      <c r="C241" s="14"/>
    </row>
    <row r="242" spans="1:3" s="15" customFormat="1">
      <c r="A242" s="14"/>
      <c r="B242" s="14"/>
      <c r="C242" s="14"/>
    </row>
    <row r="243" spans="1:3" s="15" customFormat="1">
      <c r="A243" s="14"/>
      <c r="B243" s="14"/>
      <c r="C243" s="14"/>
    </row>
    <row r="244" spans="1:3" s="15" customFormat="1">
      <c r="A244" s="14"/>
      <c r="B244" s="14"/>
      <c r="C244" s="14"/>
    </row>
    <row r="245" spans="1:3" s="15" customFormat="1">
      <c r="A245" s="14"/>
      <c r="B245" s="14"/>
      <c r="C245" s="14"/>
    </row>
    <row r="246" spans="1:3" s="15" customFormat="1">
      <c r="A246" s="14"/>
      <c r="B246" s="14"/>
      <c r="C246" s="14"/>
    </row>
    <row r="247" spans="1:3" s="15" customFormat="1">
      <c r="A247" s="14"/>
      <c r="B247" s="14"/>
      <c r="C247" s="14"/>
    </row>
    <row r="248" spans="1:3" s="15" customFormat="1">
      <c r="A248" s="14"/>
      <c r="B248" s="14"/>
      <c r="C248" s="14"/>
    </row>
    <row r="249" spans="1:3" s="15" customFormat="1">
      <c r="A249" s="14"/>
      <c r="B249" s="14"/>
      <c r="C249" s="14"/>
    </row>
    <row r="250" spans="1:3" s="15" customFormat="1">
      <c r="A250" s="14"/>
      <c r="B250" s="14"/>
      <c r="C250" s="14"/>
    </row>
    <row r="251" spans="1:3" s="15" customFormat="1">
      <c r="A251" s="14"/>
      <c r="B251" s="14"/>
      <c r="C251" s="14"/>
    </row>
    <row r="252" spans="1:3" s="15" customFormat="1">
      <c r="A252" s="14"/>
      <c r="B252" s="14"/>
      <c r="C252" s="14"/>
    </row>
    <row r="253" spans="1:3" s="15" customFormat="1">
      <c r="A253" s="14"/>
      <c r="B253" s="14"/>
      <c r="C253" s="14"/>
    </row>
    <row r="254" spans="1:3" s="15" customFormat="1">
      <c r="A254" s="14"/>
      <c r="B254" s="14"/>
      <c r="C254" s="14"/>
    </row>
    <row r="255" spans="1:3" s="15" customFormat="1">
      <c r="A255" s="14"/>
      <c r="B255" s="14"/>
      <c r="C255" s="14"/>
    </row>
    <row r="256" spans="1:3" s="15" customFormat="1">
      <c r="A256" s="14"/>
      <c r="B256" s="14"/>
      <c r="C256" s="14"/>
    </row>
    <row r="257" spans="1:3" s="15" customFormat="1">
      <c r="A257" s="14"/>
      <c r="B257" s="14"/>
      <c r="C257" s="14"/>
    </row>
    <row r="258" spans="1:3" s="15" customFormat="1">
      <c r="A258" s="14"/>
      <c r="B258" s="14"/>
      <c r="C258" s="14"/>
    </row>
    <row r="259" spans="1:3" s="15" customFormat="1">
      <c r="A259" s="14"/>
      <c r="B259" s="14"/>
      <c r="C259" s="14"/>
    </row>
    <row r="260" spans="1:3" s="15" customFormat="1">
      <c r="A260" s="14"/>
      <c r="B260" s="14"/>
      <c r="C260" s="14"/>
    </row>
    <row r="261" spans="1:3" s="15" customFormat="1">
      <c r="A261" s="14"/>
      <c r="B261" s="14"/>
      <c r="C261" s="14"/>
    </row>
    <row r="262" spans="1:3" s="15" customFormat="1">
      <c r="A262" s="14"/>
      <c r="B262" s="14"/>
      <c r="C262" s="14"/>
    </row>
    <row r="263" spans="1:3" s="15" customFormat="1">
      <c r="A263" s="14"/>
      <c r="B263" s="14"/>
      <c r="C263" s="14"/>
    </row>
    <row r="264" spans="1:3" s="15" customFormat="1">
      <c r="A264" s="14"/>
      <c r="B264" s="14"/>
      <c r="C264" s="14"/>
    </row>
    <row r="265" spans="1:3" s="15" customFormat="1">
      <c r="A265" s="14"/>
      <c r="B265" s="14"/>
      <c r="C265" s="14"/>
    </row>
    <row r="266" spans="1:3" s="15" customFormat="1">
      <c r="A266" s="14"/>
      <c r="B266" s="14"/>
      <c r="C266" s="14"/>
    </row>
    <row r="267" spans="1:3" s="15" customFormat="1">
      <c r="A267" s="14"/>
      <c r="B267" s="14"/>
      <c r="C267" s="14"/>
    </row>
    <row r="268" spans="1:3" s="15" customFormat="1">
      <c r="A268" s="14"/>
      <c r="B268" s="14"/>
      <c r="C268" s="14"/>
    </row>
    <row r="269" spans="1:3" s="15" customFormat="1">
      <c r="A269" s="14"/>
      <c r="B269" s="14"/>
      <c r="C269" s="14"/>
    </row>
    <row r="270" spans="1:3" s="15" customFormat="1">
      <c r="A270" s="14"/>
      <c r="B270" s="14"/>
      <c r="C270" s="14"/>
    </row>
    <row r="271" spans="1:3" s="15" customFormat="1">
      <c r="A271" s="14"/>
      <c r="B271" s="14"/>
      <c r="C271" s="14"/>
    </row>
    <row r="272" spans="1:3" s="15" customFormat="1">
      <c r="A272" s="14"/>
      <c r="B272" s="14"/>
      <c r="C272" s="14"/>
    </row>
    <row r="273" spans="1:3" s="15" customFormat="1">
      <c r="A273" s="14"/>
      <c r="B273" s="14"/>
      <c r="C273" s="14"/>
    </row>
    <row r="274" spans="1:3" s="15" customFormat="1">
      <c r="A274" s="14"/>
      <c r="B274" s="14"/>
      <c r="C274" s="14"/>
    </row>
    <row r="275" spans="1:3" s="15" customFormat="1">
      <c r="A275" s="14"/>
      <c r="B275" s="14"/>
      <c r="C275" s="14"/>
    </row>
    <row r="276" spans="1:3" s="15" customFormat="1">
      <c r="A276" s="14"/>
      <c r="B276" s="14"/>
      <c r="C276" s="14"/>
    </row>
    <row r="277" spans="1:3" s="15" customFormat="1">
      <c r="A277" s="14"/>
      <c r="B277" s="14"/>
      <c r="C277" s="14"/>
    </row>
    <row r="278" spans="1:3" s="15" customFormat="1">
      <c r="A278" s="14"/>
      <c r="B278" s="14"/>
      <c r="C278" s="14"/>
    </row>
    <row r="279" spans="1:3" s="15" customFormat="1">
      <c r="A279" s="14"/>
      <c r="B279" s="14"/>
      <c r="C279" s="14"/>
    </row>
    <row r="280" spans="1:3" s="15" customFormat="1">
      <c r="A280" s="14"/>
      <c r="B280" s="14"/>
      <c r="C280" s="14"/>
    </row>
    <row r="281" spans="1:3" s="15" customFormat="1">
      <c r="A281" s="14"/>
      <c r="B281" s="14"/>
      <c r="C281" s="14"/>
    </row>
    <row r="282" spans="1:3" s="15" customFormat="1">
      <c r="A282" s="14"/>
      <c r="B282" s="14"/>
      <c r="C282" s="14"/>
    </row>
    <row r="283" spans="1:3" s="15" customFormat="1">
      <c r="A283" s="14"/>
      <c r="B283" s="14"/>
      <c r="C283" s="14"/>
    </row>
    <row r="284" spans="1:3" s="15" customFormat="1">
      <c r="A284" s="14"/>
      <c r="B284" s="14"/>
      <c r="C284" s="14"/>
    </row>
    <row r="285" spans="1:3" s="15" customFormat="1">
      <c r="A285" s="14"/>
      <c r="B285" s="14"/>
      <c r="C285" s="14"/>
    </row>
    <row r="286" spans="1:3" s="15" customFormat="1">
      <c r="A286" s="14"/>
      <c r="B286" s="14"/>
      <c r="C286" s="14"/>
    </row>
    <row r="287" spans="1:3" s="15" customFormat="1">
      <c r="A287" s="14"/>
      <c r="B287" s="14"/>
      <c r="C287" s="14"/>
    </row>
    <row r="288" spans="1:3" s="15" customFormat="1">
      <c r="A288" s="14"/>
      <c r="B288" s="14"/>
      <c r="C288" s="14"/>
    </row>
    <row r="289" spans="1:3" s="15" customFormat="1">
      <c r="A289" s="14"/>
      <c r="B289" s="14"/>
      <c r="C289" s="14"/>
    </row>
    <row r="290" spans="1:3" s="15" customFormat="1">
      <c r="A290" s="14"/>
      <c r="B290" s="14"/>
      <c r="C290" s="14"/>
    </row>
    <row r="291" spans="1:3" s="15" customFormat="1">
      <c r="A291" s="14"/>
      <c r="B291" s="14"/>
      <c r="C291" s="14"/>
    </row>
    <row r="292" spans="1:3" s="15" customFormat="1">
      <c r="A292" s="14"/>
      <c r="B292" s="14"/>
      <c r="C292" s="14"/>
    </row>
    <row r="293" spans="1:3" s="15" customFormat="1">
      <c r="A293" s="14"/>
      <c r="B293" s="14"/>
      <c r="C293" s="14"/>
    </row>
    <row r="294" spans="1:3" s="15" customFormat="1">
      <c r="A294" s="14"/>
      <c r="B294" s="14"/>
      <c r="C294" s="14"/>
    </row>
    <row r="295" spans="1:3" s="15" customFormat="1">
      <c r="A295" s="14"/>
      <c r="B295" s="14"/>
      <c r="C295" s="14"/>
    </row>
    <row r="296" spans="1:3" s="15" customFormat="1">
      <c r="A296" s="14"/>
      <c r="B296" s="14"/>
      <c r="C296" s="14"/>
    </row>
    <row r="297" spans="1:3" s="15" customFormat="1">
      <c r="A297" s="14"/>
      <c r="B297" s="14"/>
      <c r="C297" s="14"/>
    </row>
    <row r="298" spans="1:3" s="15" customFormat="1">
      <c r="A298" s="14"/>
      <c r="B298" s="14"/>
      <c r="C298" s="14"/>
    </row>
    <row r="299" spans="1:3" s="15" customFormat="1">
      <c r="A299" s="14"/>
      <c r="B299" s="14"/>
      <c r="C299" s="14"/>
    </row>
    <row r="300" spans="1:3" s="15" customFormat="1">
      <c r="A300" s="14"/>
      <c r="B300" s="14"/>
      <c r="C300" s="14"/>
    </row>
    <row r="301" spans="1:3" s="15" customFormat="1">
      <c r="A301" s="14"/>
      <c r="B301" s="14"/>
      <c r="C301" s="14"/>
    </row>
    <row r="302" spans="1:3" s="15" customFormat="1">
      <c r="A302" s="14"/>
      <c r="B302" s="14"/>
      <c r="C302" s="14"/>
    </row>
    <row r="303" spans="1:3" s="15" customFormat="1">
      <c r="A303" s="14"/>
      <c r="B303" s="14"/>
      <c r="C303" s="14"/>
    </row>
    <row r="304" spans="1:3" s="15" customFormat="1">
      <c r="A304" s="14"/>
      <c r="B304" s="14"/>
      <c r="C304" s="14"/>
    </row>
    <row r="305" spans="1:3" s="15" customFormat="1">
      <c r="A305" s="14"/>
      <c r="B305" s="14"/>
      <c r="C305" s="14"/>
    </row>
    <row r="306" spans="1:3" s="15" customFormat="1">
      <c r="A306" s="14"/>
      <c r="B306" s="14"/>
      <c r="C306" s="14"/>
    </row>
    <row r="307" spans="1:3" s="15" customFormat="1">
      <c r="A307" s="14"/>
      <c r="B307" s="14"/>
      <c r="C307" s="14"/>
    </row>
    <row r="308" spans="1:3" s="15" customFormat="1">
      <c r="A308" s="14"/>
      <c r="B308" s="14"/>
      <c r="C308" s="14"/>
    </row>
    <row r="309" spans="1:3" s="15" customFormat="1">
      <c r="A309" s="14"/>
      <c r="B309" s="14"/>
      <c r="C309" s="14"/>
    </row>
    <row r="310" spans="1:3" s="15" customFormat="1">
      <c r="A310" s="14"/>
      <c r="B310" s="14"/>
      <c r="C310" s="14"/>
    </row>
    <row r="311" spans="1:3" s="15" customFormat="1">
      <c r="A311" s="14"/>
      <c r="B311" s="14"/>
      <c r="C311" s="14"/>
    </row>
    <row r="312" spans="1:3" s="15" customFormat="1">
      <c r="A312" s="14"/>
      <c r="B312" s="14"/>
      <c r="C312" s="14"/>
    </row>
    <row r="313" spans="1:3" s="15" customFormat="1">
      <c r="A313" s="14"/>
      <c r="B313" s="14"/>
      <c r="C313" s="14"/>
    </row>
    <row r="314" spans="1:3" s="15" customFormat="1">
      <c r="A314" s="14"/>
      <c r="B314" s="14"/>
      <c r="C314" s="14"/>
    </row>
    <row r="315" spans="1:3" s="15" customFormat="1">
      <c r="A315" s="14"/>
      <c r="B315" s="14"/>
      <c r="C315" s="14"/>
    </row>
    <row r="316" spans="1:3" s="15" customFormat="1">
      <c r="A316" s="14"/>
      <c r="B316" s="14"/>
      <c r="C316" s="14"/>
    </row>
    <row r="317" spans="1:3" s="15" customFormat="1">
      <c r="A317" s="14"/>
      <c r="B317" s="14"/>
      <c r="C317" s="14"/>
    </row>
    <row r="318" spans="1:3" s="15" customFormat="1">
      <c r="A318" s="14"/>
      <c r="B318" s="14"/>
      <c r="C318" s="14"/>
    </row>
    <row r="319" spans="1:3" s="15" customFormat="1">
      <c r="A319" s="14"/>
      <c r="B319" s="14"/>
      <c r="C319" s="14"/>
    </row>
    <row r="320" spans="1:3" s="15" customFormat="1">
      <c r="A320" s="14"/>
      <c r="B320" s="14"/>
      <c r="C320" s="14"/>
    </row>
    <row r="321" spans="1:3" s="15" customFormat="1">
      <c r="A321" s="14"/>
      <c r="B321" s="14"/>
      <c r="C321" s="14"/>
    </row>
    <row r="322" spans="1:3" s="15" customFormat="1">
      <c r="A322" s="14"/>
      <c r="B322" s="14"/>
      <c r="C322" s="14"/>
    </row>
    <row r="323" spans="1:3" s="15" customFormat="1">
      <c r="A323" s="14"/>
      <c r="B323" s="14"/>
      <c r="C323" s="14"/>
    </row>
    <row r="324" spans="1:3" s="15" customFormat="1">
      <c r="A324" s="14"/>
      <c r="B324" s="14"/>
      <c r="C324" s="14"/>
    </row>
    <row r="325" spans="1:3" s="15" customFormat="1">
      <c r="A325" s="14"/>
      <c r="B325" s="14"/>
      <c r="C325" s="14"/>
    </row>
    <row r="326" spans="1:3" s="15" customFormat="1">
      <c r="A326" s="14"/>
      <c r="B326" s="14"/>
      <c r="C326" s="14"/>
    </row>
    <row r="327" spans="1:3" s="15" customFormat="1">
      <c r="A327" s="14"/>
      <c r="B327" s="14"/>
      <c r="C327" s="14"/>
    </row>
    <row r="328" spans="1:3" s="15" customFormat="1">
      <c r="A328" s="14"/>
      <c r="B328" s="14"/>
      <c r="C328" s="14"/>
    </row>
    <row r="329" spans="1:3" s="15" customFormat="1">
      <c r="A329" s="14"/>
      <c r="B329" s="14"/>
      <c r="C329" s="14"/>
    </row>
    <row r="330" spans="1:3" s="15" customFormat="1">
      <c r="A330" s="14"/>
      <c r="B330" s="14"/>
      <c r="C330" s="14"/>
    </row>
    <row r="331" spans="1:3" s="15" customFormat="1">
      <c r="A331" s="14"/>
      <c r="B331" s="14"/>
      <c r="C331" s="14"/>
    </row>
    <row r="332" spans="1:3" s="15" customFormat="1">
      <c r="A332" s="14"/>
      <c r="B332" s="14"/>
      <c r="C332" s="14"/>
    </row>
    <row r="333" spans="1:3" s="15" customFormat="1">
      <c r="A333" s="14"/>
      <c r="B333" s="14"/>
      <c r="C333" s="14"/>
    </row>
    <row r="334" spans="1:3" s="15" customFormat="1">
      <c r="A334" s="14"/>
      <c r="B334" s="14"/>
      <c r="C334" s="14"/>
    </row>
    <row r="335" spans="1:3" s="15" customFormat="1">
      <c r="A335" s="14"/>
      <c r="B335" s="14"/>
      <c r="C335" s="14"/>
    </row>
    <row r="336" spans="1:3" s="15" customFormat="1">
      <c r="A336" s="14"/>
      <c r="B336" s="14"/>
      <c r="C336" s="14"/>
    </row>
    <row r="337" spans="1:3" s="15" customFormat="1">
      <c r="A337" s="14"/>
      <c r="B337" s="14"/>
      <c r="C337" s="14"/>
    </row>
    <row r="338" spans="1:3" s="15" customFormat="1">
      <c r="A338" s="14"/>
      <c r="B338" s="14"/>
      <c r="C338" s="14"/>
    </row>
    <row r="339" spans="1:3" s="15" customFormat="1">
      <c r="A339" s="14"/>
      <c r="B339" s="14"/>
      <c r="C339" s="14"/>
    </row>
    <row r="340" spans="1:3" s="15" customFormat="1">
      <c r="A340" s="14"/>
      <c r="B340" s="14"/>
      <c r="C340" s="14"/>
    </row>
    <row r="341" spans="1:3" s="15" customFormat="1">
      <c r="A341" s="14"/>
      <c r="B341" s="14"/>
      <c r="C341" s="14"/>
    </row>
    <row r="342" spans="1:3" s="15" customFormat="1">
      <c r="A342" s="14"/>
      <c r="B342" s="14"/>
      <c r="C342" s="14"/>
    </row>
    <row r="343" spans="1:3" s="15" customFormat="1">
      <c r="A343" s="14"/>
      <c r="B343" s="14"/>
      <c r="C343" s="14"/>
    </row>
    <row r="344" spans="1:3" s="15" customFormat="1">
      <c r="A344" s="14"/>
      <c r="B344" s="14"/>
      <c r="C344" s="14"/>
    </row>
    <row r="345" spans="1:3" s="15" customFormat="1">
      <c r="A345" s="14"/>
      <c r="B345" s="14"/>
      <c r="C345" s="14"/>
    </row>
    <row r="346" spans="1:3" s="15" customFormat="1">
      <c r="A346" s="14"/>
      <c r="B346" s="14"/>
      <c r="C346" s="14"/>
    </row>
    <row r="347" spans="1:3" s="15" customFormat="1">
      <c r="A347" s="14"/>
      <c r="B347" s="14"/>
      <c r="C347" s="14"/>
    </row>
    <row r="348" spans="1:3" s="15" customFormat="1">
      <c r="A348" s="14"/>
      <c r="B348" s="14"/>
      <c r="C348" s="14"/>
    </row>
    <row r="349" spans="1:3" s="15" customFormat="1">
      <c r="A349" s="14"/>
      <c r="B349" s="14"/>
      <c r="C349" s="14"/>
    </row>
    <row r="350" spans="1:3" s="15" customFormat="1">
      <c r="A350" s="14"/>
      <c r="B350" s="14"/>
      <c r="C350" s="14"/>
    </row>
    <row r="351" spans="1:3" s="15" customFormat="1">
      <c r="A351" s="14"/>
      <c r="B351" s="14"/>
      <c r="C351" s="14"/>
    </row>
    <row r="352" spans="1:3" s="15" customFormat="1">
      <c r="A352" s="14"/>
      <c r="B352" s="14"/>
      <c r="C352" s="14"/>
    </row>
    <row r="353" spans="1:3" s="15" customFormat="1">
      <c r="A353" s="14"/>
      <c r="B353" s="14"/>
      <c r="C353" s="14"/>
    </row>
    <row r="354" spans="1:3" s="15" customFormat="1">
      <c r="A354" s="14"/>
      <c r="B354" s="14"/>
      <c r="C354" s="14"/>
    </row>
    <row r="355" spans="1:3" s="15" customFormat="1">
      <c r="A355" s="14"/>
      <c r="B355" s="14"/>
      <c r="C355" s="14"/>
    </row>
    <row r="356" spans="1:3" s="15" customFormat="1">
      <c r="A356" s="14"/>
      <c r="B356" s="14"/>
      <c r="C356" s="14"/>
    </row>
    <row r="357" spans="1:3" s="15" customFormat="1">
      <c r="A357" s="14"/>
      <c r="B357" s="14"/>
      <c r="C357" s="14"/>
    </row>
    <row r="358" spans="1:3" s="15" customFormat="1">
      <c r="A358" s="14"/>
      <c r="B358" s="14"/>
      <c r="C358" s="14"/>
    </row>
    <row r="359" spans="1:3" s="15" customFormat="1">
      <c r="A359" s="14"/>
      <c r="B359" s="14"/>
      <c r="C359" s="14"/>
    </row>
    <row r="360" spans="1:3" s="15" customFormat="1">
      <c r="A360" s="14"/>
      <c r="B360" s="14"/>
      <c r="C360" s="14"/>
    </row>
    <row r="361" spans="1:3" s="15" customFormat="1">
      <c r="A361" s="14"/>
      <c r="B361" s="14"/>
      <c r="C361" s="14"/>
    </row>
    <row r="362" spans="1:3" s="15" customFormat="1">
      <c r="A362" s="14"/>
      <c r="B362" s="14"/>
      <c r="C362" s="14"/>
    </row>
    <row r="363" spans="1:3" s="15" customFormat="1">
      <c r="A363" s="14"/>
      <c r="B363" s="14"/>
      <c r="C363" s="14"/>
    </row>
    <row r="364" spans="1:3" s="15" customFormat="1">
      <c r="A364" s="14"/>
      <c r="B364" s="14"/>
      <c r="C364" s="14"/>
    </row>
    <row r="365" spans="1:3" s="15" customFormat="1">
      <c r="A365" s="14"/>
      <c r="B365" s="14"/>
      <c r="C365" s="14"/>
    </row>
    <row r="366" spans="1:3" s="15" customFormat="1">
      <c r="A366" s="14"/>
      <c r="B366" s="14"/>
      <c r="C366" s="14"/>
    </row>
    <row r="367" spans="1:3" s="15" customFormat="1">
      <c r="A367" s="14"/>
      <c r="B367" s="14"/>
      <c r="C367" s="14"/>
    </row>
    <row r="368" spans="1:3" s="15" customFormat="1">
      <c r="A368" s="14"/>
      <c r="B368" s="14"/>
      <c r="C368" s="14"/>
    </row>
    <row r="369" spans="1:3" s="15" customFormat="1">
      <c r="A369" s="14"/>
      <c r="B369" s="14"/>
      <c r="C369" s="14"/>
    </row>
    <row r="370" spans="1:3" s="15" customFormat="1">
      <c r="A370" s="14"/>
      <c r="B370" s="14"/>
      <c r="C370" s="14"/>
    </row>
    <row r="371" spans="1:3" s="15" customFormat="1">
      <c r="A371" s="14"/>
      <c r="B371" s="14"/>
      <c r="C371" s="14"/>
    </row>
    <row r="372" spans="1:3" s="15" customFormat="1">
      <c r="A372" s="14"/>
      <c r="B372" s="14"/>
      <c r="C372" s="14"/>
    </row>
    <row r="373" spans="1:3" s="15" customFormat="1">
      <c r="A373" s="14"/>
      <c r="B373" s="14"/>
      <c r="C373" s="14"/>
    </row>
    <row r="374" spans="1:3" s="15" customFormat="1">
      <c r="A374" s="14"/>
      <c r="B374" s="14"/>
      <c r="C374" s="14"/>
    </row>
    <row r="375" spans="1:3" s="15" customFormat="1">
      <c r="A375" s="14"/>
      <c r="B375" s="14"/>
      <c r="C375" s="14"/>
    </row>
    <row r="376" spans="1:3" s="15" customFormat="1">
      <c r="A376" s="14"/>
      <c r="B376" s="14"/>
      <c r="C376" s="14"/>
    </row>
    <row r="377" spans="1:3" s="15" customFormat="1">
      <c r="A377" s="14"/>
      <c r="B377" s="14"/>
      <c r="C377" s="14"/>
    </row>
    <row r="378" spans="1:3" s="15" customFormat="1">
      <c r="A378" s="14"/>
      <c r="B378" s="14"/>
      <c r="C378" s="14"/>
    </row>
    <row r="379" spans="1:3" s="15" customFormat="1">
      <c r="A379" s="14"/>
      <c r="B379" s="14"/>
      <c r="C379" s="14"/>
    </row>
    <row r="380" spans="1:3" s="15" customFormat="1">
      <c r="A380" s="14"/>
      <c r="B380" s="14"/>
      <c r="C380" s="14"/>
    </row>
    <row r="381" spans="1:3" s="15" customFormat="1">
      <c r="A381" s="14"/>
      <c r="B381" s="14"/>
      <c r="C381" s="14"/>
    </row>
    <row r="382" spans="1:3" s="15" customFormat="1">
      <c r="A382" s="14"/>
      <c r="B382" s="14"/>
      <c r="C382" s="14"/>
    </row>
    <row r="383" spans="1:3" s="15" customFormat="1">
      <c r="A383" s="14"/>
      <c r="B383" s="14"/>
      <c r="C383" s="14"/>
    </row>
    <row r="384" spans="1:3" s="15" customFormat="1">
      <c r="A384" s="14"/>
      <c r="B384" s="14"/>
      <c r="C384" s="14"/>
    </row>
    <row r="385" spans="1:3" s="15" customFormat="1">
      <c r="A385" s="14"/>
      <c r="B385" s="14"/>
      <c r="C385" s="14"/>
    </row>
    <row r="386" spans="1:3" s="15" customFormat="1">
      <c r="A386" s="14"/>
      <c r="B386" s="14"/>
      <c r="C386" s="14"/>
    </row>
    <row r="387" spans="1:3" s="15" customFormat="1">
      <c r="A387" s="14"/>
      <c r="B387" s="14"/>
      <c r="C387" s="14"/>
    </row>
    <row r="388" spans="1:3" s="15" customFormat="1">
      <c r="A388" s="14"/>
      <c r="B388" s="14"/>
      <c r="C388" s="14"/>
    </row>
    <row r="389" spans="1:3" s="15" customFormat="1">
      <c r="A389" s="14"/>
      <c r="B389" s="14"/>
      <c r="C389" s="14"/>
    </row>
    <row r="390" spans="1:3" s="15" customFormat="1">
      <c r="A390" s="14"/>
      <c r="B390" s="14"/>
      <c r="C390" s="14"/>
    </row>
    <row r="391" spans="1:3" s="15" customFormat="1">
      <c r="A391" s="14"/>
      <c r="B391" s="14"/>
      <c r="C391" s="14"/>
    </row>
    <row r="392" spans="1:3" s="15" customFormat="1">
      <c r="A392" s="14"/>
      <c r="B392" s="14"/>
      <c r="C392" s="14"/>
    </row>
    <row r="393" spans="1:3" s="15" customFormat="1">
      <c r="A393" s="14"/>
      <c r="B393" s="14"/>
      <c r="C393" s="14"/>
    </row>
    <row r="394" spans="1:3" s="15" customFormat="1">
      <c r="A394" s="14"/>
      <c r="B394" s="14"/>
      <c r="C394" s="14"/>
    </row>
    <row r="395" spans="1:3" s="15" customFormat="1">
      <c r="A395" s="14"/>
      <c r="B395" s="14"/>
      <c r="C395" s="14"/>
    </row>
    <row r="396" spans="1:3" s="15" customFormat="1">
      <c r="A396" s="14"/>
      <c r="B396" s="14"/>
      <c r="C396" s="14"/>
    </row>
    <row r="397" spans="1:3" s="15" customFormat="1">
      <c r="A397" s="14"/>
      <c r="B397" s="14"/>
      <c r="C397" s="14"/>
    </row>
    <row r="398" spans="1:3" s="15" customFormat="1">
      <c r="A398" s="14"/>
      <c r="B398" s="14"/>
      <c r="C398" s="14"/>
    </row>
    <row r="399" spans="1:3" s="15" customFormat="1">
      <c r="A399" s="14"/>
      <c r="B399" s="14"/>
      <c r="C399" s="14"/>
    </row>
    <row r="400" spans="1:3" s="15" customFormat="1">
      <c r="A400" s="14"/>
      <c r="B400" s="14"/>
      <c r="C400" s="14"/>
    </row>
    <row r="401" spans="1:3" s="15" customFormat="1">
      <c r="A401" s="14"/>
      <c r="B401" s="14"/>
      <c r="C401" s="14"/>
    </row>
    <row r="402" spans="1:3" s="15" customFormat="1">
      <c r="A402" s="14"/>
      <c r="B402" s="14"/>
      <c r="C402" s="14"/>
    </row>
    <row r="403" spans="1:3" s="15" customFormat="1">
      <c r="A403" s="14"/>
      <c r="B403" s="14"/>
      <c r="C403" s="14"/>
    </row>
    <row r="404" spans="1:3" s="15" customFormat="1">
      <c r="A404" s="14"/>
      <c r="B404" s="14"/>
      <c r="C404" s="14"/>
    </row>
    <row r="405" spans="1:3" s="15" customFormat="1">
      <c r="A405" s="14"/>
      <c r="B405" s="14"/>
      <c r="C405" s="14"/>
    </row>
    <row r="406" spans="1:3" s="15" customFormat="1">
      <c r="A406" s="14"/>
      <c r="B406" s="14"/>
      <c r="C406" s="14"/>
    </row>
    <row r="407" spans="1:3" s="15" customFormat="1">
      <c r="A407" s="14"/>
      <c r="B407" s="14"/>
      <c r="C407" s="14"/>
    </row>
    <row r="408" spans="1:3" s="15" customFormat="1">
      <c r="A408" s="14"/>
      <c r="B408" s="14"/>
      <c r="C408" s="14"/>
    </row>
    <row r="409" spans="1:3" s="15" customFormat="1">
      <c r="A409" s="14"/>
      <c r="B409" s="14"/>
      <c r="C409" s="14"/>
    </row>
    <row r="410" spans="1:3" s="15" customFormat="1">
      <c r="A410" s="14"/>
      <c r="B410" s="14"/>
      <c r="C410" s="14"/>
    </row>
    <row r="411" spans="1:3" s="15" customFormat="1">
      <c r="A411" s="14"/>
      <c r="B411" s="14"/>
      <c r="C411" s="14"/>
    </row>
    <row r="412" spans="1:3" s="15" customFormat="1">
      <c r="A412" s="14"/>
      <c r="B412" s="14"/>
      <c r="C412" s="14"/>
    </row>
    <row r="413" spans="1:3" s="15" customFormat="1">
      <c r="A413" s="14"/>
      <c r="B413" s="14"/>
      <c r="C413" s="14"/>
    </row>
    <row r="414" spans="1:3" s="15" customFormat="1">
      <c r="A414" s="14"/>
      <c r="B414" s="14"/>
      <c r="C414" s="14"/>
    </row>
    <row r="415" spans="1:3" s="15" customFormat="1">
      <c r="A415" s="14"/>
      <c r="B415" s="14"/>
      <c r="C415" s="14"/>
    </row>
    <row r="416" spans="1:3" s="15" customFormat="1">
      <c r="A416" s="14"/>
      <c r="B416" s="14"/>
      <c r="C416" s="14"/>
    </row>
    <row r="417" spans="1:3" s="15" customFormat="1">
      <c r="A417" s="14"/>
      <c r="B417" s="14"/>
      <c r="C417" s="14"/>
    </row>
    <row r="418" spans="1:3" s="15" customFormat="1">
      <c r="A418" s="14"/>
      <c r="B418" s="14"/>
      <c r="C418" s="14"/>
    </row>
    <row r="419" spans="1:3" s="15" customFormat="1">
      <c r="A419" s="14"/>
      <c r="B419" s="14"/>
      <c r="C419" s="14"/>
    </row>
    <row r="420" spans="1:3" s="15" customFormat="1">
      <c r="A420" s="14"/>
      <c r="B420" s="14"/>
      <c r="C420" s="14"/>
    </row>
    <row r="421" spans="1:3" s="15" customFormat="1">
      <c r="A421" s="14"/>
      <c r="B421" s="14"/>
      <c r="C421" s="14"/>
    </row>
    <row r="422" spans="1:3" s="15" customFormat="1">
      <c r="A422" s="14"/>
      <c r="B422" s="14"/>
      <c r="C422" s="14"/>
    </row>
    <row r="423" spans="1:3" s="15" customFormat="1">
      <c r="A423" s="14"/>
      <c r="B423" s="14"/>
      <c r="C423" s="14"/>
    </row>
    <row r="424" spans="1:3" s="15" customFormat="1">
      <c r="A424" s="14"/>
      <c r="B424" s="14"/>
      <c r="C424" s="14"/>
    </row>
    <row r="425" spans="1:3" s="15" customFormat="1">
      <c r="A425" s="14"/>
      <c r="B425" s="14"/>
      <c r="C425" s="14"/>
    </row>
    <row r="426" spans="1:3" s="15" customFormat="1">
      <c r="A426" s="14"/>
      <c r="B426" s="14"/>
      <c r="C426" s="14"/>
    </row>
    <row r="427" spans="1:3" s="15" customFormat="1">
      <c r="A427" s="14"/>
      <c r="B427" s="14"/>
      <c r="C427" s="14"/>
    </row>
    <row r="428" spans="1:3" s="15" customFormat="1">
      <c r="A428" s="14"/>
      <c r="B428" s="14"/>
      <c r="C428" s="14"/>
    </row>
    <row r="429" spans="1:3" s="15" customFormat="1">
      <c r="A429" s="14"/>
      <c r="B429" s="14"/>
      <c r="C429" s="14"/>
    </row>
    <row r="430" spans="1:3" s="15" customFormat="1">
      <c r="A430" s="14"/>
      <c r="B430" s="14"/>
      <c r="C430" s="14"/>
    </row>
    <row r="431" spans="1:3" s="15" customFormat="1">
      <c r="A431" s="14"/>
      <c r="B431" s="14"/>
      <c r="C431" s="14"/>
    </row>
    <row r="432" spans="1:3" s="15" customFormat="1">
      <c r="A432" s="14"/>
      <c r="B432" s="14"/>
      <c r="C432" s="14"/>
    </row>
    <row r="433" spans="1:3" s="15" customFormat="1">
      <c r="A433" s="14"/>
      <c r="B433" s="14"/>
      <c r="C433" s="14"/>
    </row>
    <row r="434" spans="1:3" s="15" customFormat="1">
      <c r="A434" s="14"/>
      <c r="B434" s="14"/>
      <c r="C434" s="14"/>
    </row>
    <row r="435" spans="1:3" s="15" customFormat="1">
      <c r="A435" s="14"/>
      <c r="B435" s="14"/>
      <c r="C435" s="14"/>
    </row>
    <row r="436" spans="1:3" s="15" customFormat="1">
      <c r="A436" s="14"/>
      <c r="B436" s="14"/>
      <c r="C436" s="14"/>
    </row>
    <row r="437" spans="1:3" s="15" customFormat="1">
      <c r="A437" s="14"/>
      <c r="B437" s="14"/>
      <c r="C437" s="14"/>
    </row>
    <row r="438" spans="1:3" s="15" customFormat="1">
      <c r="A438" s="14"/>
      <c r="B438" s="14"/>
      <c r="C438" s="14"/>
    </row>
    <row r="439" spans="1:3" s="15" customFormat="1">
      <c r="A439" s="14"/>
      <c r="B439" s="14"/>
      <c r="C439" s="14"/>
    </row>
    <row r="440" spans="1:3" s="15" customFormat="1">
      <c r="A440" s="14"/>
      <c r="B440" s="14"/>
      <c r="C440" s="14"/>
    </row>
    <row r="441" spans="1:3" s="15" customFormat="1">
      <c r="A441" s="14"/>
      <c r="B441" s="14"/>
      <c r="C441" s="14"/>
    </row>
    <row r="442" spans="1:3" s="15" customFormat="1">
      <c r="A442" s="14"/>
      <c r="B442" s="14"/>
      <c r="C442" s="14"/>
    </row>
    <row r="443" spans="1:3" s="15" customFormat="1">
      <c r="A443" s="14"/>
      <c r="B443" s="14"/>
      <c r="C443" s="14"/>
    </row>
    <row r="444" spans="1:3" s="15" customFormat="1">
      <c r="A444" s="14"/>
      <c r="B444" s="14"/>
      <c r="C444" s="14"/>
    </row>
    <row r="445" spans="1:3" s="15" customFormat="1">
      <c r="A445" s="14"/>
      <c r="B445" s="14"/>
      <c r="C445" s="14"/>
    </row>
    <row r="446" spans="1:3" s="15" customFormat="1">
      <c r="A446" s="14"/>
      <c r="B446" s="14"/>
      <c r="C446" s="14"/>
    </row>
    <row r="447" spans="1:3" s="15" customFormat="1">
      <c r="A447" s="14"/>
      <c r="B447" s="14"/>
      <c r="C447" s="14"/>
    </row>
    <row r="448" spans="1:3" s="15" customFormat="1">
      <c r="A448" s="14"/>
      <c r="B448" s="14"/>
      <c r="C448" s="14"/>
    </row>
    <row r="449" spans="1:3" s="15" customFormat="1">
      <c r="A449" s="14"/>
      <c r="B449" s="14"/>
      <c r="C449" s="14"/>
    </row>
    <row r="450" spans="1:3" s="15" customFormat="1">
      <c r="A450" s="14"/>
      <c r="B450" s="14"/>
      <c r="C450" s="14"/>
    </row>
    <row r="451" spans="1:3" s="15" customFormat="1">
      <c r="A451" s="14"/>
      <c r="B451" s="14"/>
      <c r="C451" s="14"/>
    </row>
    <row r="452" spans="1:3" s="15" customFormat="1">
      <c r="A452" s="14"/>
      <c r="B452" s="14"/>
      <c r="C452" s="14"/>
    </row>
    <row r="453" spans="1:3" s="15" customFormat="1">
      <c r="A453" s="14"/>
      <c r="B453" s="14"/>
      <c r="C453" s="14"/>
    </row>
    <row r="454" spans="1:3" s="15" customFormat="1">
      <c r="A454" s="14"/>
      <c r="B454" s="14"/>
      <c r="C454" s="14"/>
    </row>
    <row r="455" spans="1:3" s="15" customFormat="1">
      <c r="A455" s="14"/>
      <c r="B455" s="14"/>
      <c r="C455" s="14"/>
    </row>
    <row r="456" spans="1:3" s="15" customFormat="1">
      <c r="A456" s="14"/>
      <c r="B456" s="14"/>
      <c r="C456" s="14"/>
    </row>
    <row r="457" spans="1:3" s="15" customFormat="1">
      <c r="A457" s="14"/>
      <c r="B457" s="14"/>
      <c r="C457" s="14"/>
    </row>
    <row r="458" spans="1:3" s="15" customFormat="1">
      <c r="A458" s="14"/>
      <c r="B458" s="14"/>
      <c r="C458" s="14"/>
    </row>
    <row r="459" spans="1:3" s="15" customFormat="1">
      <c r="A459" s="14"/>
      <c r="B459" s="14"/>
      <c r="C459" s="14"/>
    </row>
    <row r="460" spans="1:3" s="15" customFormat="1">
      <c r="A460" s="14"/>
      <c r="B460" s="14"/>
      <c r="C460" s="14"/>
    </row>
    <row r="461" spans="1:3" s="15" customFormat="1">
      <c r="A461" s="14"/>
      <c r="B461" s="14"/>
      <c r="C461" s="14"/>
    </row>
    <row r="462" spans="1:3" s="15" customFormat="1">
      <c r="A462" s="14"/>
      <c r="B462" s="14"/>
      <c r="C462" s="14"/>
    </row>
    <row r="463" spans="1:3" s="15" customFormat="1">
      <c r="A463" s="14"/>
      <c r="B463" s="14"/>
      <c r="C463" s="14"/>
    </row>
    <row r="464" spans="1:3" s="15" customFormat="1">
      <c r="A464" s="14"/>
      <c r="B464" s="14"/>
      <c r="C464" s="14"/>
    </row>
    <row r="465" spans="1:3" s="15" customFormat="1">
      <c r="A465" s="14"/>
      <c r="B465" s="14"/>
      <c r="C465" s="14"/>
    </row>
    <row r="466" spans="1:3" s="15" customFormat="1">
      <c r="A466" s="14"/>
      <c r="B466" s="14"/>
      <c r="C466" s="14"/>
    </row>
    <row r="467" spans="1:3" s="15" customFormat="1">
      <c r="A467" s="14"/>
      <c r="B467" s="14"/>
      <c r="C467" s="14"/>
    </row>
    <row r="468" spans="1:3" s="15" customFormat="1">
      <c r="A468" s="14"/>
      <c r="B468" s="14"/>
      <c r="C468" s="14"/>
    </row>
    <row r="469" spans="1:3" s="15" customFormat="1">
      <c r="A469" s="14"/>
      <c r="B469" s="14"/>
      <c r="C469" s="14"/>
    </row>
    <row r="470" spans="1:3" s="15" customFormat="1">
      <c r="A470" s="14"/>
      <c r="B470" s="14"/>
      <c r="C470" s="14"/>
    </row>
    <row r="471" spans="1:3" s="15" customFormat="1">
      <c r="A471" s="14"/>
      <c r="B471" s="14"/>
      <c r="C471" s="14"/>
    </row>
    <row r="472" spans="1:3" s="15" customFormat="1">
      <c r="A472" s="14"/>
      <c r="B472" s="14"/>
      <c r="C472" s="14"/>
    </row>
    <row r="473" spans="1:3" s="15" customFormat="1">
      <c r="A473" s="14"/>
      <c r="B473" s="14"/>
      <c r="C473" s="14"/>
    </row>
    <row r="474" spans="1:3" s="15" customFormat="1">
      <c r="A474" s="14"/>
      <c r="B474" s="14"/>
      <c r="C474" s="14"/>
    </row>
    <row r="475" spans="1:3" s="15" customFormat="1">
      <c r="A475" s="14"/>
      <c r="B475" s="14"/>
      <c r="C475" s="14"/>
    </row>
    <row r="476" spans="1:3" s="15" customFormat="1">
      <c r="A476" s="14"/>
      <c r="B476" s="14"/>
      <c r="C476" s="14"/>
    </row>
    <row r="477" spans="1:3" s="15" customFormat="1">
      <c r="A477" s="14"/>
      <c r="B477" s="14"/>
      <c r="C477" s="14"/>
    </row>
    <row r="478" spans="1:3" s="15" customFormat="1">
      <c r="A478" s="14"/>
      <c r="B478" s="14"/>
      <c r="C478" s="14"/>
    </row>
    <row r="479" spans="1:3" s="15" customFormat="1">
      <c r="A479" s="14"/>
      <c r="B479" s="14"/>
      <c r="C479" s="14"/>
    </row>
    <row r="480" spans="1:3" s="15" customFormat="1">
      <c r="A480" s="14"/>
      <c r="B480" s="14"/>
      <c r="C480" s="14"/>
    </row>
    <row r="481" spans="1:3" s="15" customFormat="1">
      <c r="A481" s="14"/>
      <c r="B481" s="14"/>
      <c r="C481" s="14"/>
    </row>
    <row r="482" spans="1:3" s="15" customFormat="1">
      <c r="A482" s="14"/>
      <c r="B482" s="14"/>
      <c r="C482" s="14"/>
    </row>
    <row r="483" spans="1:3" s="15" customFormat="1">
      <c r="A483" s="14"/>
      <c r="B483" s="14"/>
      <c r="C483" s="14"/>
    </row>
    <row r="484" spans="1:3" s="15" customFormat="1">
      <c r="A484" s="14"/>
      <c r="B484" s="14"/>
      <c r="C484" s="14"/>
    </row>
    <row r="485" spans="1:3" s="15" customFormat="1">
      <c r="A485" s="14"/>
      <c r="B485" s="14"/>
      <c r="C485" s="14"/>
    </row>
    <row r="486" spans="1:3" s="15" customFormat="1">
      <c r="A486" s="14"/>
      <c r="B486" s="14"/>
      <c r="C486" s="14"/>
    </row>
    <row r="487" spans="1:3" s="15" customFormat="1">
      <c r="A487" s="14"/>
      <c r="B487" s="14"/>
      <c r="C487" s="14"/>
    </row>
    <row r="488" spans="1:3" s="15" customFormat="1">
      <c r="A488" s="14"/>
      <c r="B488" s="14"/>
      <c r="C488" s="14"/>
    </row>
    <row r="489" spans="1:3" s="15" customFormat="1">
      <c r="A489" s="14"/>
      <c r="B489" s="14"/>
      <c r="C489" s="14"/>
    </row>
    <row r="490" spans="1:3" s="15" customFormat="1">
      <c r="A490" s="14"/>
      <c r="B490" s="14"/>
      <c r="C490" s="14"/>
    </row>
    <row r="491" spans="1:3" s="15" customFormat="1">
      <c r="A491" s="14"/>
      <c r="B491" s="14"/>
      <c r="C491" s="14"/>
    </row>
    <row r="492" spans="1:3" s="15" customFormat="1">
      <c r="A492" s="14"/>
      <c r="B492" s="14"/>
      <c r="C492" s="14"/>
    </row>
    <row r="493" spans="1:3" s="15" customFormat="1">
      <c r="A493" s="14"/>
      <c r="B493" s="14"/>
      <c r="C493" s="14"/>
    </row>
    <row r="494" spans="1:3" s="15" customFormat="1">
      <c r="A494" s="14"/>
      <c r="B494" s="14"/>
      <c r="C494" s="14"/>
    </row>
    <row r="495" spans="1:3" s="15" customFormat="1">
      <c r="A495" s="14"/>
      <c r="B495" s="14"/>
      <c r="C495" s="14"/>
    </row>
    <row r="496" spans="1:3" s="15" customFormat="1">
      <c r="A496" s="14"/>
      <c r="B496" s="14"/>
      <c r="C496" s="14"/>
    </row>
    <row r="497" spans="1:3" s="15" customFormat="1">
      <c r="A497" s="14"/>
      <c r="B497" s="14"/>
      <c r="C497" s="14"/>
    </row>
    <row r="498" spans="1:3" s="15" customFormat="1">
      <c r="A498" s="14"/>
      <c r="B498" s="14"/>
      <c r="C498" s="14"/>
    </row>
    <row r="499" spans="1:3" s="15" customFormat="1">
      <c r="A499" s="14"/>
      <c r="B499" s="14"/>
      <c r="C499" s="14"/>
    </row>
    <row r="500" spans="1:3" s="15" customFormat="1">
      <c r="A500" s="14"/>
      <c r="B500" s="14"/>
      <c r="C500" s="14"/>
    </row>
    <row r="501" spans="1:3" s="15" customFormat="1">
      <c r="A501" s="14"/>
      <c r="B501" s="14"/>
      <c r="C501" s="14"/>
    </row>
    <row r="502" spans="1:3" s="15" customFormat="1">
      <c r="A502" s="14"/>
      <c r="B502" s="14"/>
      <c r="C502" s="14"/>
    </row>
    <row r="503" spans="1:3" s="15" customFormat="1">
      <c r="A503" s="14"/>
      <c r="B503" s="14"/>
      <c r="C503" s="14"/>
    </row>
    <row r="504" spans="1:3" s="15" customFormat="1">
      <c r="A504" s="14"/>
      <c r="B504" s="14"/>
      <c r="C504" s="14"/>
    </row>
    <row r="505" spans="1:3" s="15" customFormat="1">
      <c r="A505" s="14"/>
      <c r="B505" s="14"/>
      <c r="C505" s="14"/>
    </row>
    <row r="506" spans="1:3" s="15" customFormat="1">
      <c r="A506" s="14"/>
      <c r="B506" s="14"/>
      <c r="C506" s="14"/>
    </row>
    <row r="507" spans="1:3" s="15" customFormat="1">
      <c r="A507" s="14"/>
      <c r="B507" s="14"/>
      <c r="C507" s="14"/>
    </row>
    <row r="508" spans="1:3" s="15" customFormat="1">
      <c r="A508" s="14"/>
      <c r="B508" s="14"/>
      <c r="C508" s="14"/>
    </row>
    <row r="509" spans="1:3" s="15" customFormat="1">
      <c r="A509" s="14"/>
      <c r="B509" s="14"/>
      <c r="C509" s="14"/>
    </row>
    <row r="510" spans="1:3" s="15" customFormat="1">
      <c r="A510" s="14"/>
      <c r="B510" s="14"/>
      <c r="C510" s="14"/>
    </row>
    <row r="511" spans="1:3" s="15" customFormat="1">
      <c r="A511" s="14"/>
      <c r="B511" s="14"/>
      <c r="C511" s="14"/>
    </row>
    <row r="512" spans="1:3" s="15" customFormat="1">
      <c r="A512" s="14"/>
      <c r="B512" s="14"/>
      <c r="C512" s="14"/>
    </row>
    <row r="513" spans="1:3" s="15" customFormat="1">
      <c r="A513" s="14"/>
      <c r="B513" s="14"/>
      <c r="C513" s="14"/>
    </row>
    <row r="514" spans="1:3" s="15" customFormat="1">
      <c r="A514" s="14"/>
      <c r="B514" s="14"/>
      <c r="C514" s="14"/>
    </row>
    <row r="515" spans="1:3" s="15" customFormat="1">
      <c r="A515" s="14"/>
      <c r="B515" s="14"/>
      <c r="C515" s="14"/>
    </row>
    <row r="516" spans="1:3" s="15" customFormat="1">
      <c r="A516" s="14"/>
      <c r="B516" s="14"/>
      <c r="C516" s="14"/>
    </row>
    <row r="517" spans="1:3" s="15" customFormat="1">
      <c r="A517" s="14"/>
      <c r="B517" s="14"/>
      <c r="C517" s="14"/>
    </row>
    <row r="518" spans="1:3" s="15" customFormat="1">
      <c r="A518" s="14"/>
      <c r="B518" s="14"/>
      <c r="C518" s="14"/>
    </row>
    <row r="519" spans="1:3" s="15" customFormat="1">
      <c r="A519" s="14"/>
      <c r="B519" s="14"/>
      <c r="C519" s="14"/>
    </row>
    <row r="520" spans="1:3" s="15" customFormat="1">
      <c r="A520" s="14"/>
      <c r="B520" s="14"/>
      <c r="C520" s="14"/>
    </row>
    <row r="521" spans="1:3" s="15" customFormat="1">
      <c r="A521" s="14"/>
      <c r="B521" s="14"/>
      <c r="C521" s="14"/>
    </row>
    <row r="522" spans="1:3" s="15" customFormat="1">
      <c r="A522" s="14"/>
      <c r="B522" s="14"/>
      <c r="C522" s="14"/>
    </row>
    <row r="523" spans="1:3" s="15" customFormat="1">
      <c r="A523" s="14"/>
      <c r="B523" s="14"/>
      <c r="C523" s="14"/>
    </row>
    <row r="524" spans="1:3" s="15" customFormat="1">
      <c r="A524" s="14"/>
      <c r="B524" s="14"/>
      <c r="C524" s="14"/>
    </row>
    <row r="525" spans="1:3" s="15" customFormat="1">
      <c r="A525" s="14"/>
      <c r="B525" s="14"/>
      <c r="C525" s="14"/>
    </row>
    <row r="526" spans="1:3" s="15" customFormat="1">
      <c r="A526" s="14"/>
      <c r="B526" s="14"/>
      <c r="C526" s="14"/>
    </row>
    <row r="527" spans="1:3" s="15" customFormat="1">
      <c r="A527" s="14"/>
      <c r="B527" s="14"/>
      <c r="C527" s="14"/>
    </row>
    <row r="528" spans="1:3" s="15" customFormat="1">
      <c r="A528" s="14"/>
      <c r="B528" s="14"/>
      <c r="C528" s="14"/>
    </row>
    <row r="529" spans="1:3" s="15" customFormat="1">
      <c r="A529" s="14"/>
      <c r="B529" s="14"/>
      <c r="C529" s="14"/>
    </row>
    <row r="530" spans="1:3" s="15" customFormat="1">
      <c r="A530" s="14"/>
      <c r="B530" s="14"/>
      <c r="C530" s="14"/>
    </row>
    <row r="531" spans="1:3" s="15" customFormat="1">
      <c r="A531" s="14"/>
      <c r="B531" s="14"/>
      <c r="C531" s="14"/>
    </row>
    <row r="532" spans="1:3" s="15" customFormat="1">
      <c r="A532" s="14"/>
      <c r="B532" s="14"/>
      <c r="C532" s="14"/>
    </row>
    <row r="533" spans="1:3" s="15" customFormat="1">
      <c r="A533" s="14"/>
      <c r="B533" s="14"/>
      <c r="C533" s="14"/>
    </row>
    <row r="534" spans="1:3" s="15" customFormat="1">
      <c r="A534" s="14"/>
      <c r="B534" s="14"/>
      <c r="C534" s="14"/>
    </row>
    <row r="535" spans="1:3" s="15" customFormat="1">
      <c r="A535" s="14"/>
      <c r="B535" s="14"/>
      <c r="C535" s="14"/>
    </row>
    <row r="536" spans="1:3" s="15" customFormat="1">
      <c r="A536" s="14"/>
      <c r="B536" s="14"/>
      <c r="C536" s="14"/>
    </row>
    <row r="537" spans="1:3" s="15" customFormat="1">
      <c r="A537" s="14"/>
      <c r="B537" s="14"/>
      <c r="C537" s="14"/>
    </row>
    <row r="538" spans="1:3" s="15" customFormat="1">
      <c r="A538" s="14"/>
      <c r="B538" s="14"/>
      <c r="C538" s="14"/>
    </row>
    <row r="539" spans="1:3" s="15" customFormat="1">
      <c r="A539" s="14"/>
      <c r="B539" s="14"/>
      <c r="C539" s="14"/>
    </row>
    <row r="540" spans="1:3" s="15" customFormat="1">
      <c r="A540" s="14"/>
      <c r="B540" s="14"/>
      <c r="C540" s="14"/>
    </row>
    <row r="541" spans="1:3" s="15" customFormat="1">
      <c r="A541" s="14"/>
      <c r="B541" s="14"/>
      <c r="C541" s="14"/>
    </row>
    <row r="542" spans="1:3" s="15" customFormat="1">
      <c r="A542" s="14"/>
      <c r="B542" s="14"/>
      <c r="C542" s="14"/>
    </row>
    <row r="543" spans="1:3" s="15" customFormat="1">
      <c r="A543" s="14"/>
      <c r="B543" s="14"/>
      <c r="C543" s="14"/>
    </row>
    <row r="544" spans="1:3" s="15" customFormat="1">
      <c r="A544" s="14"/>
      <c r="B544" s="14"/>
      <c r="C544" s="14"/>
    </row>
    <row r="545" spans="1:3" s="15" customFormat="1">
      <c r="A545" s="14"/>
      <c r="B545" s="14"/>
      <c r="C545" s="14"/>
    </row>
    <row r="546" spans="1:3" s="15" customFormat="1">
      <c r="A546" s="14"/>
      <c r="B546" s="14"/>
      <c r="C546" s="14"/>
    </row>
    <row r="547" spans="1:3" s="15" customFormat="1">
      <c r="A547" s="14"/>
      <c r="B547" s="14"/>
      <c r="C547" s="14"/>
    </row>
    <row r="548" spans="1:3" s="15" customFormat="1">
      <c r="A548" s="14"/>
      <c r="B548" s="14"/>
      <c r="C548" s="14"/>
    </row>
    <row r="549" spans="1:3" s="15" customFormat="1">
      <c r="A549" s="14"/>
      <c r="B549" s="14"/>
      <c r="C549" s="14"/>
    </row>
    <row r="550" spans="1:3" s="15" customFormat="1">
      <c r="A550" s="14"/>
      <c r="B550" s="14"/>
      <c r="C550" s="14"/>
    </row>
    <row r="551" spans="1:3" s="15" customFormat="1">
      <c r="A551" s="14"/>
      <c r="B551" s="14"/>
      <c r="C551" s="14"/>
    </row>
    <row r="552" spans="1:3" s="15" customFormat="1">
      <c r="A552" s="14"/>
      <c r="B552" s="14"/>
      <c r="C552" s="14"/>
    </row>
    <row r="553" spans="1:3" s="15" customFormat="1">
      <c r="A553" s="14"/>
      <c r="B553" s="14"/>
      <c r="C553" s="14"/>
    </row>
    <row r="554" spans="1:3" s="15" customFormat="1">
      <c r="A554" s="14"/>
      <c r="B554" s="14"/>
      <c r="C554" s="14"/>
    </row>
    <row r="555" spans="1:3" s="15" customFormat="1">
      <c r="A555" s="14"/>
      <c r="B555" s="14"/>
      <c r="C555" s="14"/>
    </row>
    <row r="556" spans="1:3" s="15" customFormat="1">
      <c r="A556" s="14"/>
      <c r="B556" s="14"/>
      <c r="C556" s="14"/>
    </row>
    <row r="557" spans="1:3" s="15" customFormat="1">
      <c r="A557" s="14"/>
      <c r="B557" s="14"/>
      <c r="C557" s="14"/>
    </row>
    <row r="558" spans="1:3" s="15" customFormat="1">
      <c r="A558" s="14"/>
      <c r="B558" s="14"/>
      <c r="C558" s="14"/>
    </row>
    <row r="559" spans="1:3" s="15" customFormat="1">
      <c r="A559" s="14"/>
      <c r="B559" s="14"/>
      <c r="C559" s="14"/>
    </row>
    <row r="560" spans="1:3" s="15" customFormat="1">
      <c r="A560" s="14"/>
      <c r="B560" s="14"/>
      <c r="C560" s="14"/>
    </row>
    <row r="561" spans="1:3" s="15" customFormat="1">
      <c r="A561" s="14"/>
      <c r="B561" s="14"/>
      <c r="C561" s="14"/>
    </row>
    <row r="562" spans="1:3" s="15" customFormat="1">
      <c r="A562" s="14"/>
      <c r="B562" s="14"/>
      <c r="C562" s="14"/>
    </row>
    <row r="563" spans="1:3" s="15" customFormat="1">
      <c r="A563" s="14"/>
      <c r="B563" s="14"/>
      <c r="C563" s="14"/>
    </row>
    <row r="564" spans="1:3" s="15" customFormat="1">
      <c r="A564" s="14"/>
      <c r="B564" s="14"/>
      <c r="C564" s="14"/>
    </row>
    <row r="565" spans="1:3" s="15" customFormat="1">
      <c r="A565" s="14"/>
      <c r="B565" s="14"/>
      <c r="C565" s="14"/>
    </row>
    <row r="566" spans="1:3" s="15" customFormat="1">
      <c r="A566" s="14"/>
      <c r="B566" s="14"/>
      <c r="C566" s="14"/>
    </row>
    <row r="567" spans="1:3" s="15" customFormat="1">
      <c r="A567" s="14"/>
      <c r="B567" s="14"/>
      <c r="C567" s="14"/>
    </row>
    <row r="568" spans="1:3" s="15" customFormat="1">
      <c r="A568" s="14"/>
      <c r="B568" s="14"/>
      <c r="C568" s="14"/>
    </row>
    <row r="569" spans="1:3" s="15" customFormat="1">
      <c r="A569" s="14"/>
      <c r="B569" s="14"/>
      <c r="C569" s="14"/>
    </row>
    <row r="570" spans="1:3" s="15" customFormat="1">
      <c r="A570" s="14"/>
      <c r="B570" s="14"/>
      <c r="C570" s="14"/>
    </row>
    <row r="571" spans="1:3" s="15" customFormat="1">
      <c r="A571" s="14"/>
      <c r="B571" s="14"/>
      <c r="C571" s="14"/>
    </row>
    <row r="572" spans="1:3" s="15" customFormat="1">
      <c r="A572" s="14"/>
      <c r="B572" s="14"/>
      <c r="C572" s="14"/>
    </row>
    <row r="573" spans="1:3" s="15" customFormat="1">
      <c r="A573" s="14"/>
      <c r="B573" s="14"/>
      <c r="C573" s="14"/>
    </row>
    <row r="574" spans="1:3" s="15" customFormat="1">
      <c r="A574" s="14"/>
      <c r="B574" s="14"/>
      <c r="C574" s="14"/>
    </row>
    <row r="575" spans="1:3" s="15" customFormat="1">
      <c r="A575" s="14"/>
      <c r="B575" s="14"/>
      <c r="C575" s="14"/>
    </row>
    <row r="576" spans="1:3" s="15" customFormat="1">
      <c r="A576" s="14"/>
      <c r="B576" s="14"/>
      <c r="C576" s="14"/>
    </row>
    <row r="577" spans="1:3" s="15" customFormat="1">
      <c r="A577" s="14"/>
      <c r="B577" s="14"/>
      <c r="C577" s="14"/>
    </row>
    <row r="578" spans="1:3" s="15" customFormat="1">
      <c r="A578" s="14"/>
      <c r="B578" s="14"/>
      <c r="C578" s="14"/>
    </row>
    <row r="579" spans="1:3" s="15" customFormat="1">
      <c r="A579" s="14"/>
      <c r="B579" s="14"/>
      <c r="C579" s="14"/>
    </row>
    <row r="580" spans="1:3" s="15" customFormat="1">
      <c r="A580" s="14"/>
      <c r="B580" s="14"/>
      <c r="C580" s="14"/>
    </row>
    <row r="581" spans="1:3" s="15" customFormat="1">
      <c r="A581" s="14"/>
      <c r="B581" s="14"/>
      <c r="C581" s="14"/>
    </row>
    <row r="582" spans="1:3" s="15" customFormat="1">
      <c r="A582" s="14"/>
      <c r="B582" s="14"/>
      <c r="C582" s="14"/>
    </row>
    <row r="583" spans="1:3" s="15" customFormat="1">
      <c r="A583" s="14"/>
      <c r="B583" s="14"/>
      <c r="C583" s="14"/>
    </row>
    <row r="584" spans="1:3" s="15" customFormat="1">
      <c r="A584" s="14"/>
      <c r="B584" s="14"/>
      <c r="C584" s="14"/>
    </row>
    <row r="585" spans="1:3" s="15" customFormat="1">
      <c r="A585" s="14"/>
      <c r="B585" s="14"/>
      <c r="C585" s="14"/>
    </row>
    <row r="586" spans="1:3" s="15" customFormat="1">
      <c r="A586" s="14"/>
      <c r="B586" s="14"/>
      <c r="C586" s="14"/>
    </row>
    <row r="587" spans="1:3" s="15" customFormat="1">
      <c r="A587" s="14"/>
      <c r="B587" s="14"/>
      <c r="C587" s="14"/>
    </row>
    <row r="588" spans="1:3" s="15" customFormat="1">
      <c r="A588" s="14"/>
      <c r="B588" s="14"/>
      <c r="C588" s="14"/>
    </row>
    <row r="589" spans="1:3" s="15" customFormat="1">
      <c r="A589" s="14"/>
      <c r="B589" s="14"/>
      <c r="C589" s="14"/>
    </row>
    <row r="590" spans="1:3" s="15" customFormat="1">
      <c r="A590" s="14"/>
      <c r="B590" s="14"/>
      <c r="C590" s="14"/>
    </row>
    <row r="591" spans="1:3" s="15" customFormat="1">
      <c r="A591" s="14"/>
      <c r="B591" s="14"/>
      <c r="C591" s="14"/>
    </row>
    <row r="592" spans="1:3" s="15" customFormat="1">
      <c r="A592" s="14"/>
      <c r="B592" s="14"/>
      <c r="C592" s="14"/>
    </row>
    <row r="593" spans="1:3" s="15" customFormat="1">
      <c r="A593" s="14"/>
      <c r="B593" s="14"/>
      <c r="C593" s="14"/>
    </row>
    <row r="594" spans="1:3" s="15" customFormat="1">
      <c r="A594" s="14"/>
      <c r="B594" s="14"/>
      <c r="C594" s="14"/>
    </row>
    <row r="595" spans="1:3" s="15" customFormat="1">
      <c r="A595" s="14"/>
      <c r="B595" s="14"/>
      <c r="C595" s="14"/>
    </row>
    <row r="596" spans="1:3" s="15" customFormat="1">
      <c r="A596" s="14"/>
      <c r="B596" s="14"/>
      <c r="C596" s="14"/>
    </row>
    <row r="597" spans="1:3" s="15" customFormat="1">
      <c r="A597" s="14"/>
      <c r="B597" s="14"/>
      <c r="C597" s="14"/>
    </row>
    <row r="598" spans="1:3" s="15" customFormat="1">
      <c r="A598" s="14"/>
      <c r="B598" s="14"/>
      <c r="C598" s="14"/>
    </row>
    <row r="599" spans="1:3" s="15" customFormat="1">
      <c r="A599" s="14"/>
      <c r="B599" s="14"/>
      <c r="C599" s="14"/>
    </row>
    <row r="600" spans="1:3" s="15" customFormat="1">
      <c r="A600" s="14"/>
      <c r="B600" s="14"/>
      <c r="C600" s="14"/>
    </row>
    <row r="601" spans="1:3" s="15" customFormat="1">
      <c r="A601" s="14"/>
      <c r="B601" s="14"/>
      <c r="C601" s="14"/>
    </row>
    <row r="602" spans="1:3" s="15" customFormat="1">
      <c r="A602" s="14"/>
      <c r="B602" s="14"/>
      <c r="C602" s="14"/>
    </row>
    <row r="603" spans="1:3" s="15" customFormat="1">
      <c r="A603" s="14"/>
      <c r="B603" s="14"/>
      <c r="C603" s="14"/>
    </row>
    <row r="604" spans="1:3" s="15" customFormat="1">
      <c r="A604" s="14"/>
      <c r="B604" s="14"/>
      <c r="C604" s="14"/>
    </row>
    <row r="605" spans="1:3" s="15" customFormat="1">
      <c r="A605" s="14"/>
      <c r="B605" s="14"/>
      <c r="C605" s="14"/>
    </row>
    <row r="606" spans="1:3" s="15" customFormat="1">
      <c r="A606" s="14"/>
      <c r="B606" s="14"/>
      <c r="C606" s="14"/>
    </row>
    <row r="607" spans="1:3" s="15" customFormat="1">
      <c r="A607" s="14"/>
      <c r="B607" s="14"/>
      <c r="C607" s="14"/>
    </row>
    <row r="608" spans="1:3" s="15" customFormat="1">
      <c r="A608" s="14"/>
      <c r="B608" s="14"/>
      <c r="C608" s="14"/>
    </row>
    <row r="609" spans="1:3" s="15" customFormat="1">
      <c r="A609" s="14"/>
      <c r="B609" s="14"/>
      <c r="C609" s="14"/>
    </row>
    <row r="610" spans="1:3" s="15" customFormat="1">
      <c r="A610" s="14"/>
      <c r="B610" s="14"/>
      <c r="C610" s="14"/>
    </row>
    <row r="611" spans="1:3" s="15" customFormat="1">
      <c r="A611" s="14"/>
      <c r="B611" s="14"/>
      <c r="C611" s="14"/>
    </row>
    <row r="612" spans="1:3" s="15" customFormat="1">
      <c r="A612" s="14"/>
      <c r="B612" s="14"/>
      <c r="C612" s="14"/>
    </row>
    <row r="613" spans="1:3" s="15" customFormat="1">
      <c r="A613" s="14"/>
      <c r="B613" s="14"/>
      <c r="C613" s="14"/>
    </row>
    <row r="614" spans="1:3" s="15" customFormat="1">
      <c r="A614" s="14"/>
      <c r="B614" s="14"/>
      <c r="C614" s="14"/>
    </row>
    <row r="615" spans="1:3" s="15" customFormat="1">
      <c r="A615" s="14"/>
      <c r="B615" s="14"/>
      <c r="C615" s="14"/>
    </row>
    <row r="616" spans="1:3" s="15" customFormat="1">
      <c r="A616" s="14"/>
      <c r="B616" s="14"/>
      <c r="C616" s="14"/>
    </row>
    <row r="617" spans="1:3" s="15" customFormat="1">
      <c r="A617" s="14"/>
      <c r="B617" s="14"/>
      <c r="C617" s="14"/>
    </row>
    <row r="618" spans="1:3" s="15" customFormat="1">
      <c r="A618" s="14"/>
      <c r="B618" s="14"/>
      <c r="C618" s="14"/>
    </row>
    <row r="619" spans="1:3" s="15" customFormat="1">
      <c r="A619" s="14"/>
      <c r="B619" s="14"/>
      <c r="C619" s="14"/>
    </row>
    <row r="620" spans="1:3" s="15" customFormat="1">
      <c r="A620" s="14"/>
      <c r="B620" s="14"/>
      <c r="C620" s="14"/>
    </row>
    <row r="621" spans="1:3" s="15" customFormat="1">
      <c r="A621" s="14"/>
      <c r="B621" s="14"/>
      <c r="C621" s="14"/>
    </row>
    <row r="622" spans="1:3" s="15" customFormat="1">
      <c r="A622" s="14"/>
      <c r="B622" s="14"/>
      <c r="C622" s="14"/>
    </row>
    <row r="623" spans="1:3" s="15" customFormat="1">
      <c r="A623" s="14"/>
      <c r="B623" s="14"/>
      <c r="C623" s="14"/>
    </row>
    <row r="624" spans="1:3" s="15" customFormat="1">
      <c r="A624" s="14"/>
      <c r="B624" s="14"/>
      <c r="C624" s="14"/>
    </row>
    <row r="625" spans="1:3" s="15" customFormat="1">
      <c r="A625" s="14"/>
      <c r="B625" s="14"/>
      <c r="C625" s="14"/>
    </row>
    <row r="626" spans="1:3" s="15" customFormat="1">
      <c r="A626" s="14"/>
      <c r="B626" s="14"/>
      <c r="C626" s="14"/>
    </row>
    <row r="627" spans="1:3" s="15" customFormat="1">
      <c r="A627" s="14"/>
      <c r="B627" s="14"/>
      <c r="C627" s="14"/>
    </row>
    <row r="628" spans="1:3" s="15" customFormat="1">
      <c r="A628" s="14"/>
      <c r="B628" s="14"/>
      <c r="C628" s="14"/>
    </row>
    <row r="629" spans="1:3" s="15" customFormat="1">
      <c r="A629" s="14"/>
      <c r="B629" s="14"/>
      <c r="C629" s="14"/>
    </row>
    <row r="630" spans="1:3" s="15" customFormat="1">
      <c r="A630" s="14"/>
      <c r="B630" s="14"/>
      <c r="C630" s="14"/>
    </row>
    <row r="631" spans="1:3" s="15" customFormat="1">
      <c r="A631" s="14"/>
      <c r="B631" s="14"/>
      <c r="C631" s="14"/>
    </row>
    <row r="632" spans="1:3" s="15" customFormat="1">
      <c r="A632" s="14"/>
      <c r="B632" s="14"/>
      <c r="C632" s="14"/>
    </row>
    <row r="633" spans="1:3" s="15" customFormat="1">
      <c r="A633" s="14"/>
      <c r="B633" s="14"/>
      <c r="C633" s="14"/>
    </row>
    <row r="634" spans="1:3" s="15" customFormat="1">
      <c r="A634" s="14"/>
      <c r="B634" s="14"/>
      <c r="C634" s="14"/>
    </row>
    <row r="635" spans="1:3" s="15" customFormat="1">
      <c r="A635" s="14"/>
      <c r="B635" s="14"/>
      <c r="C635" s="14"/>
    </row>
    <row r="636" spans="1:3" s="15" customFormat="1">
      <c r="A636" s="14"/>
      <c r="B636" s="14"/>
      <c r="C636" s="14"/>
    </row>
    <row r="637" spans="1:3" s="15" customFormat="1">
      <c r="A637" s="14"/>
      <c r="B637" s="14"/>
      <c r="C637" s="14"/>
    </row>
    <row r="638" spans="1:3" s="15" customFormat="1">
      <c r="A638" s="14"/>
      <c r="B638" s="14"/>
      <c r="C638" s="14"/>
    </row>
    <row r="639" spans="1:3" s="15" customFormat="1">
      <c r="A639" s="14"/>
      <c r="B639" s="14"/>
      <c r="C639" s="14"/>
    </row>
    <row r="640" spans="1:3" s="15" customFormat="1">
      <c r="A640" s="14"/>
      <c r="B640" s="14"/>
      <c r="C640" s="14"/>
    </row>
    <row r="641" spans="1:3" s="15" customFormat="1">
      <c r="A641" s="14"/>
      <c r="B641" s="14"/>
      <c r="C641" s="14"/>
    </row>
    <row r="642" spans="1:3" s="15" customFormat="1">
      <c r="A642" s="14"/>
      <c r="B642" s="14"/>
      <c r="C642" s="14"/>
    </row>
    <row r="643" spans="1:3" s="15" customFormat="1">
      <c r="A643" s="14"/>
      <c r="B643" s="14"/>
      <c r="C643" s="14"/>
    </row>
    <row r="644" spans="1:3" s="15" customFormat="1">
      <c r="A644" s="14"/>
      <c r="B644" s="14"/>
      <c r="C644" s="14"/>
    </row>
    <row r="645" spans="1:3" s="15" customFormat="1">
      <c r="A645" s="14"/>
      <c r="B645" s="14"/>
      <c r="C645" s="14"/>
    </row>
    <row r="646" spans="1:3" s="15" customFormat="1">
      <c r="A646" s="14"/>
      <c r="B646" s="14"/>
      <c r="C646" s="14"/>
    </row>
    <row r="647" spans="1:3" s="15" customFormat="1">
      <c r="A647" s="14"/>
      <c r="B647" s="14"/>
      <c r="C647" s="14"/>
    </row>
    <row r="648" spans="1:3" s="15" customFormat="1">
      <c r="A648" s="14"/>
      <c r="B648" s="14"/>
      <c r="C648" s="14"/>
    </row>
    <row r="649" spans="1:3" s="15" customFormat="1">
      <c r="A649" s="14"/>
      <c r="B649" s="14"/>
      <c r="C649" s="14"/>
    </row>
    <row r="650" spans="1:3" s="15" customFormat="1">
      <c r="A650" s="14"/>
      <c r="B650" s="14"/>
      <c r="C650" s="14"/>
    </row>
    <row r="651" spans="1:3" s="15" customFormat="1">
      <c r="A651" s="14"/>
      <c r="B651" s="14"/>
      <c r="C651" s="14"/>
    </row>
    <row r="652" spans="1:3" s="15" customFormat="1">
      <c r="A652" s="14"/>
      <c r="B652" s="14"/>
      <c r="C652" s="14"/>
    </row>
    <row r="653" spans="1:3" s="15" customFormat="1">
      <c r="A653" s="14"/>
      <c r="B653" s="14"/>
      <c r="C653" s="14"/>
    </row>
    <row r="654" spans="1:3" s="15" customFormat="1">
      <c r="A654" s="14"/>
      <c r="B654" s="14"/>
      <c r="C654" s="14"/>
    </row>
    <row r="655" spans="1:3" s="15" customFormat="1">
      <c r="A655" s="14"/>
      <c r="B655" s="14"/>
      <c r="C655" s="14"/>
    </row>
    <row r="656" spans="1:3" s="15" customFormat="1">
      <c r="A656" s="14"/>
      <c r="B656" s="14"/>
      <c r="C656" s="14"/>
    </row>
    <row r="657" spans="1:3" s="15" customFormat="1">
      <c r="A657" s="14"/>
      <c r="B657" s="14"/>
      <c r="C657" s="14"/>
    </row>
    <row r="658" spans="1:3" s="15" customFormat="1">
      <c r="A658" s="14"/>
      <c r="B658" s="14"/>
      <c r="C658" s="14"/>
    </row>
    <row r="659" spans="1:3" s="15" customFormat="1">
      <c r="A659" s="14"/>
      <c r="B659" s="14"/>
      <c r="C659" s="14"/>
    </row>
    <row r="660" spans="1:3" s="15" customFormat="1">
      <c r="A660" s="14"/>
      <c r="B660" s="14"/>
      <c r="C660" s="14"/>
    </row>
    <row r="661" spans="1:3" s="15" customFormat="1">
      <c r="A661" s="14"/>
      <c r="B661" s="14"/>
      <c r="C661" s="14"/>
    </row>
    <row r="662" spans="1:3" s="15" customFormat="1">
      <c r="A662" s="14"/>
      <c r="B662" s="14"/>
      <c r="C662" s="14"/>
    </row>
    <row r="663" spans="1:3" s="15" customFormat="1">
      <c r="A663" s="14"/>
      <c r="B663" s="14"/>
      <c r="C663" s="14"/>
    </row>
    <row r="664" spans="1:3" s="15" customFormat="1">
      <c r="A664" s="14"/>
      <c r="B664" s="14"/>
      <c r="C664" s="14"/>
    </row>
    <row r="665" spans="1:3" s="15" customFormat="1">
      <c r="A665" s="14"/>
      <c r="B665" s="14"/>
      <c r="C665" s="14"/>
    </row>
    <row r="666" spans="1:3" s="15" customFormat="1">
      <c r="A666" s="14"/>
      <c r="B666" s="14"/>
      <c r="C666" s="14"/>
    </row>
    <row r="667" spans="1:3" s="15" customFormat="1">
      <c r="A667" s="14"/>
      <c r="B667" s="14"/>
      <c r="C667" s="14"/>
    </row>
    <row r="668" spans="1:3" s="15" customFormat="1">
      <c r="A668" s="14"/>
      <c r="B668" s="14"/>
      <c r="C668" s="14"/>
    </row>
    <row r="669" spans="1:3" s="15" customFormat="1">
      <c r="A669" s="14"/>
      <c r="B669" s="14"/>
      <c r="C669" s="14"/>
    </row>
    <row r="670" spans="1:3" s="15" customFormat="1">
      <c r="A670" s="14"/>
      <c r="B670" s="14"/>
      <c r="C670" s="14"/>
    </row>
    <row r="671" spans="1:3" s="15" customFormat="1">
      <c r="A671" s="14"/>
      <c r="B671" s="14"/>
      <c r="C671" s="14"/>
    </row>
    <row r="672" spans="1:3" s="15" customFormat="1">
      <c r="A672" s="14"/>
      <c r="B672" s="14"/>
      <c r="C672" s="14"/>
    </row>
    <row r="673" spans="1:3" s="15" customFormat="1">
      <c r="A673" s="14"/>
      <c r="B673" s="14"/>
      <c r="C673" s="14"/>
    </row>
    <row r="674" spans="1:3" s="15" customFormat="1">
      <c r="A674" s="14"/>
      <c r="B674" s="14"/>
      <c r="C674" s="14"/>
    </row>
    <row r="675" spans="1:3" s="15" customFormat="1">
      <c r="A675" s="14"/>
      <c r="B675" s="14"/>
      <c r="C675" s="14"/>
    </row>
    <row r="676" spans="1:3" s="15" customFormat="1">
      <c r="A676" s="14"/>
      <c r="B676" s="14"/>
      <c r="C676" s="14"/>
    </row>
    <row r="677" spans="1:3" s="15" customFormat="1">
      <c r="A677" s="14"/>
      <c r="B677" s="14"/>
      <c r="C677" s="14"/>
    </row>
    <row r="678" spans="1:3" s="15" customFormat="1">
      <c r="A678" s="14"/>
      <c r="B678" s="14"/>
      <c r="C678" s="14"/>
    </row>
    <row r="679" spans="1:3" s="15" customFormat="1">
      <c r="A679" s="14"/>
      <c r="B679" s="14"/>
      <c r="C679" s="14"/>
    </row>
    <row r="680" spans="1:3" s="15" customFormat="1">
      <c r="A680" s="14"/>
      <c r="B680" s="14"/>
      <c r="C680" s="14"/>
    </row>
    <row r="681" spans="1:3" s="15" customFormat="1">
      <c r="A681" s="14"/>
      <c r="B681" s="14"/>
      <c r="C681" s="14"/>
    </row>
    <row r="682" spans="1:3" s="15" customFormat="1">
      <c r="A682" s="14"/>
      <c r="B682" s="14"/>
      <c r="C682" s="14"/>
    </row>
    <row r="683" spans="1:3" s="15" customFormat="1">
      <c r="A683" s="14"/>
      <c r="B683" s="14"/>
      <c r="C683" s="14"/>
    </row>
    <row r="684" spans="1:3" s="15" customFormat="1">
      <c r="A684" s="14"/>
      <c r="B684" s="14"/>
      <c r="C684" s="14"/>
    </row>
    <row r="685" spans="1:3" s="15" customFormat="1">
      <c r="A685" s="14"/>
      <c r="B685" s="14"/>
      <c r="C685" s="14"/>
    </row>
    <row r="686" spans="1:3" s="15" customFormat="1">
      <c r="A686" s="14"/>
      <c r="B686" s="14"/>
      <c r="C686" s="14"/>
    </row>
    <row r="687" spans="1:3" s="15" customFormat="1">
      <c r="A687" s="14"/>
      <c r="B687" s="14"/>
      <c r="C687" s="14"/>
    </row>
    <row r="688" spans="1:3" s="15" customFormat="1">
      <c r="A688" s="14"/>
      <c r="B688" s="14"/>
      <c r="C688" s="14"/>
    </row>
    <row r="689" spans="1:3" s="15" customFormat="1">
      <c r="A689" s="14"/>
      <c r="B689" s="14"/>
      <c r="C689" s="14"/>
    </row>
    <row r="690" spans="1:3" s="15" customFormat="1">
      <c r="A690" s="14"/>
      <c r="B690" s="14"/>
      <c r="C690" s="14"/>
    </row>
    <row r="691" spans="1:3" s="15" customFormat="1">
      <c r="A691" s="14"/>
      <c r="B691" s="14"/>
      <c r="C691" s="14"/>
    </row>
    <row r="692" spans="1:3" s="15" customFormat="1">
      <c r="A692" s="14"/>
      <c r="B692" s="14"/>
      <c r="C692" s="14"/>
    </row>
    <row r="693" spans="1:3" s="15" customFormat="1">
      <c r="A693" s="14"/>
      <c r="B693" s="14"/>
      <c r="C693" s="14"/>
    </row>
    <row r="694" spans="1:3" s="15" customFormat="1">
      <c r="A694" s="14"/>
      <c r="B694" s="14"/>
      <c r="C694" s="14"/>
    </row>
    <row r="695" spans="1:3" s="15" customFormat="1">
      <c r="A695" s="14"/>
      <c r="B695" s="14"/>
      <c r="C695" s="14"/>
    </row>
    <row r="696" spans="1:3" s="15" customFormat="1">
      <c r="A696" s="14"/>
      <c r="B696" s="14"/>
      <c r="C696" s="14"/>
    </row>
    <row r="697" spans="1:3" s="15" customFormat="1">
      <c r="A697" s="14"/>
      <c r="B697" s="14"/>
      <c r="C697" s="14"/>
    </row>
    <row r="698" spans="1:3" s="15" customFormat="1">
      <c r="A698" s="14"/>
      <c r="B698" s="14"/>
      <c r="C698" s="14"/>
    </row>
    <row r="699" spans="1:3" s="15" customFormat="1">
      <c r="A699" s="14"/>
      <c r="B699" s="14"/>
      <c r="C699" s="14"/>
    </row>
    <row r="700" spans="1:3" s="15" customFormat="1">
      <c r="A700" s="14"/>
      <c r="B700" s="14"/>
      <c r="C700" s="14"/>
    </row>
    <row r="701" spans="1:3" s="15" customFormat="1">
      <c r="A701" s="14"/>
      <c r="B701" s="14"/>
      <c r="C701" s="14"/>
    </row>
    <row r="702" spans="1:3" s="15" customFormat="1">
      <c r="A702" s="14"/>
      <c r="B702" s="14"/>
      <c r="C702" s="14"/>
    </row>
    <row r="703" spans="1:3" s="15" customFormat="1">
      <c r="A703" s="14"/>
      <c r="B703" s="14"/>
      <c r="C703" s="14"/>
    </row>
    <row r="704" spans="1:3" s="15" customFormat="1">
      <c r="A704" s="14"/>
      <c r="B704" s="14"/>
      <c r="C704" s="14"/>
    </row>
    <row r="705" spans="1:3" s="15" customFormat="1">
      <c r="A705" s="14"/>
      <c r="B705" s="14"/>
      <c r="C705" s="14"/>
    </row>
    <row r="706" spans="1:3" s="15" customFormat="1">
      <c r="A706" s="14"/>
      <c r="B706" s="14"/>
      <c r="C706" s="14"/>
    </row>
    <row r="707" spans="1:3" s="15" customFormat="1">
      <c r="A707" s="14"/>
      <c r="B707" s="14"/>
      <c r="C707" s="14"/>
    </row>
    <row r="708" spans="1:3" s="15" customFormat="1">
      <c r="A708" s="14"/>
      <c r="B708" s="14"/>
      <c r="C708" s="14"/>
    </row>
    <row r="709" spans="1:3" s="15" customFormat="1">
      <c r="A709" s="14"/>
      <c r="B709" s="14"/>
      <c r="C709" s="14"/>
    </row>
    <row r="710" spans="1:3" s="15" customFormat="1">
      <c r="A710" s="14"/>
      <c r="B710" s="14"/>
      <c r="C710" s="14"/>
    </row>
    <row r="711" spans="1:3" s="15" customFormat="1">
      <c r="A711" s="14"/>
      <c r="B711" s="14"/>
      <c r="C711" s="14"/>
    </row>
    <row r="712" spans="1:3" s="15" customFormat="1">
      <c r="A712" s="14"/>
      <c r="B712" s="14"/>
      <c r="C712" s="14"/>
    </row>
    <row r="713" spans="1:3" s="15" customFormat="1">
      <c r="A713" s="14"/>
      <c r="B713" s="14"/>
      <c r="C713" s="14"/>
    </row>
    <row r="714" spans="1:3" s="15" customFormat="1">
      <c r="A714" s="14"/>
      <c r="B714" s="14"/>
      <c r="C714" s="14"/>
    </row>
    <row r="715" spans="1:3" s="15" customFormat="1">
      <c r="A715" s="14"/>
      <c r="B715" s="14"/>
      <c r="C715" s="14"/>
    </row>
    <row r="716" spans="1:3" s="15" customFormat="1">
      <c r="A716" s="14"/>
      <c r="B716" s="14"/>
      <c r="C716" s="14"/>
    </row>
    <row r="717" spans="1:3" s="15" customFormat="1">
      <c r="A717" s="14"/>
      <c r="B717" s="14"/>
      <c r="C717" s="14"/>
    </row>
    <row r="718" spans="1:3" s="15" customFormat="1">
      <c r="A718" s="14"/>
      <c r="B718" s="14"/>
      <c r="C718" s="14"/>
    </row>
    <row r="719" spans="1:3" s="15" customFormat="1">
      <c r="A719" s="14"/>
      <c r="B719" s="14"/>
      <c r="C719" s="14"/>
    </row>
    <row r="720" spans="1:3" s="15" customFormat="1">
      <c r="A720" s="14"/>
      <c r="B720" s="14"/>
      <c r="C720" s="14"/>
    </row>
    <row r="721" spans="1:3" s="15" customFormat="1">
      <c r="A721" s="14"/>
      <c r="B721" s="14"/>
      <c r="C721" s="14"/>
    </row>
    <row r="722" spans="1:3" s="15" customFormat="1">
      <c r="A722" s="14"/>
      <c r="B722" s="14"/>
      <c r="C722" s="14"/>
    </row>
    <row r="723" spans="1:3" s="15" customFormat="1">
      <c r="A723" s="14"/>
      <c r="B723" s="14"/>
      <c r="C723" s="14"/>
    </row>
    <row r="724" spans="1:3" s="15" customFormat="1">
      <c r="A724" s="14"/>
      <c r="B724" s="14"/>
      <c r="C724" s="14"/>
    </row>
    <row r="725" spans="1:3" s="15" customFormat="1">
      <c r="A725" s="14"/>
      <c r="B725" s="14"/>
      <c r="C725" s="14"/>
    </row>
    <row r="726" spans="1:3" s="15" customFormat="1">
      <c r="A726" s="14"/>
      <c r="B726" s="14"/>
      <c r="C726" s="14"/>
    </row>
    <row r="727" spans="1:3" s="15" customFormat="1">
      <c r="A727" s="14"/>
      <c r="B727" s="14"/>
      <c r="C727" s="14"/>
    </row>
    <row r="728" spans="1:3" s="15" customFormat="1">
      <c r="A728" s="14"/>
      <c r="B728" s="14"/>
      <c r="C728" s="14"/>
    </row>
    <row r="729" spans="1:3" s="15" customFormat="1">
      <c r="A729" s="14"/>
      <c r="B729" s="14"/>
      <c r="C729" s="14"/>
    </row>
    <row r="730" spans="1:3" s="15" customFormat="1">
      <c r="A730" s="14"/>
      <c r="B730" s="14"/>
      <c r="C730" s="14"/>
    </row>
    <row r="731" spans="1:3" s="15" customFormat="1">
      <c r="A731" s="14"/>
      <c r="B731" s="14"/>
      <c r="C731" s="14"/>
    </row>
    <row r="732" spans="1:3" s="15" customFormat="1">
      <c r="A732" s="14"/>
      <c r="B732" s="14"/>
      <c r="C732" s="14"/>
    </row>
    <row r="733" spans="1:3" s="15" customFormat="1">
      <c r="A733" s="14"/>
      <c r="B733" s="14"/>
      <c r="C733" s="14"/>
    </row>
    <row r="734" spans="1:3" s="15" customFormat="1">
      <c r="A734" s="14"/>
      <c r="B734" s="14"/>
      <c r="C734" s="14"/>
    </row>
    <row r="735" spans="1:3" s="15" customFormat="1">
      <c r="A735" s="14"/>
      <c r="B735" s="14"/>
      <c r="C735" s="14"/>
    </row>
    <row r="736" spans="1:3" s="15" customFormat="1">
      <c r="A736" s="14"/>
      <c r="B736" s="14"/>
      <c r="C736" s="14"/>
    </row>
    <row r="737" spans="1:23" s="15" customFormat="1">
      <c r="A737" s="14"/>
      <c r="B737" s="14"/>
      <c r="C737" s="14"/>
    </row>
    <row r="738" spans="1:23" s="15" customFormat="1">
      <c r="A738" s="14"/>
      <c r="B738" s="14"/>
      <c r="C738" s="14"/>
    </row>
    <row r="739" spans="1:23" s="15" customFormat="1">
      <c r="A739" s="14"/>
      <c r="B739" s="14"/>
      <c r="C739" s="14"/>
    </row>
    <row r="740" spans="1:23" s="15" customFormat="1">
      <c r="A740" s="14"/>
      <c r="B740" s="14"/>
      <c r="C740" s="14"/>
    </row>
    <row r="741" spans="1:23" s="15" customFormat="1">
      <c r="A741" s="14"/>
      <c r="B741" s="14"/>
      <c r="C741" s="14"/>
    </row>
    <row r="742" spans="1:23" s="15" customFormat="1">
      <c r="A742" s="14"/>
      <c r="B742" s="14"/>
      <c r="C742" s="14"/>
    </row>
    <row r="743" spans="1:23" s="15" customFormat="1">
      <c r="A743" s="14"/>
      <c r="B743" s="14"/>
      <c r="C743" s="14"/>
    </row>
    <row r="744" spans="1:23" s="15" customFormat="1">
      <c r="A744" s="14"/>
      <c r="B744" s="14"/>
      <c r="C744" s="14"/>
    </row>
    <row r="745" spans="1:23" s="15" customFormat="1">
      <c r="A745" s="14"/>
      <c r="B745" s="14"/>
      <c r="C745" s="14"/>
    </row>
    <row r="746" spans="1:23" s="15" customFormat="1">
      <c r="A746" s="14"/>
      <c r="B746" s="14"/>
      <c r="C746" s="14"/>
    </row>
    <row r="747" spans="1:23" s="15" customFormat="1">
      <c r="A747" s="14"/>
      <c r="B747" s="14"/>
      <c r="C747" s="14"/>
    </row>
    <row r="748" spans="1:23" s="15" customFormat="1">
      <c r="A748" s="14"/>
      <c r="B748" s="14"/>
      <c r="C748" s="14"/>
      <c r="U748" s="7"/>
      <c r="V748" s="7"/>
      <c r="W748" s="7"/>
    </row>
  </sheetData>
  <mergeCells count="3">
    <mergeCell ref="A5:C5"/>
    <mergeCell ref="U7:W7"/>
    <mergeCell ref="B8:C8"/>
  </mergeCells>
  <hyperlinks>
    <hyperlink ref="M1" location="Index!A1" display="Return to Index" xr:uid="{00000000-0004-0000-0900-000000000000}"/>
  </hyperlinks>
  <printOptions horizontalCentered="1"/>
  <pageMargins left="0.25" right="0.25" top="0.5" bottom="0.5" header="0.5" footer="0.5"/>
  <pageSetup scale="80" orientation="landscape" horizontalDpi="1200" verticalDpi="1200" r:id="rId1"/>
  <headerFooter alignWithMargins="0">
    <oddFooter>&amp;L&amp;8Planning &amp; Accountability&amp;R&amp;8&amp;D</oddFooter>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ransitionEvaluation="1" transitionEntry="1">
    <tabColor indexed="13"/>
  </sheetPr>
  <dimension ref="A1:AD83"/>
  <sheetViews>
    <sheetView showGridLines="0" zoomScale="85" zoomScaleNormal="85"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3.33203125" style="277" customWidth="1"/>
    <col min="16" max="16384" width="9.109375" style="277"/>
  </cols>
  <sheetData>
    <row r="1" spans="1:15" ht="16.8" thickTop="1" thickBot="1">
      <c r="A1" s="899" t="str">
        <f>'RGVM Chts'!$A$1</f>
        <v>The University of Texas Rio Grande Valley Medical School (M)</v>
      </c>
      <c r="B1" s="754"/>
      <c r="C1" s="754"/>
      <c r="D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320">
        <f>VLOOKUP(A1,NamesLU,2,FALSE)</f>
        <v>203599</v>
      </c>
      <c r="J2" s="901"/>
      <c r="K2" s="901"/>
      <c r="L2" s="901"/>
      <c r="M2" s="901"/>
      <c r="O2" s="320"/>
    </row>
    <row r="3" spans="1:15" ht="15.75" customHeight="1">
      <c r="A3" s="900" t="str">
        <f>'Smmy Chts'!$A$3</f>
        <v>Source: FY 2022 Annual Financial Report</v>
      </c>
      <c r="B3" s="754"/>
      <c r="C3" s="754"/>
      <c r="O3" s="320"/>
    </row>
    <row r="4" spans="1:15" ht="13.5" customHeight="1">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909"/>
      <c r="C6" s="427">
        <f>VLOOKUP($G$2,FTSELU,10,FALSE)</f>
        <v>222</v>
      </c>
      <c r="J6" s="910"/>
      <c r="O6" s="320"/>
    </row>
    <row r="7" spans="1:15">
      <c r="B7" s="909"/>
      <c r="C7" s="909"/>
      <c r="I7" s="446" t="s">
        <v>533</v>
      </c>
      <c r="J7" s="911"/>
      <c r="O7" s="320"/>
    </row>
    <row r="8" spans="1:15">
      <c r="A8" s="912" t="s">
        <v>151</v>
      </c>
      <c r="B8" s="912"/>
      <c r="C8" s="913"/>
      <c r="I8" s="914">
        <f>VLOOKUP($G$2,FTSELU,11,FALSE)</f>
        <v>156.05000000000001</v>
      </c>
      <c r="J8" s="910"/>
      <c r="O8" s="320"/>
    </row>
    <row r="9" spans="1:15" ht="12.75" customHeight="1" thickBot="1">
      <c r="A9" s="279" t="s">
        <v>152</v>
      </c>
      <c r="B9" s="915"/>
      <c r="C9" s="915"/>
      <c r="J9" s="910"/>
      <c r="O9" s="320"/>
    </row>
    <row r="10" spans="1:15" ht="12.75" customHeight="1" thickTop="1">
      <c r="A10" s="277" t="s">
        <v>535</v>
      </c>
      <c r="B10" s="501">
        <f>'RGVM FGD'!M10</f>
        <v>42597486</v>
      </c>
      <c r="C10" s="501"/>
      <c r="D10" s="492">
        <f>'RGVM FGD'!F10</f>
        <v>0</v>
      </c>
      <c r="E10" s="492"/>
      <c r="F10" s="916">
        <f>B10-(SUM(D10:E10))</f>
        <v>42597486</v>
      </c>
      <c r="G10" s="917" t="s">
        <v>101</v>
      </c>
      <c r="H10" s="918"/>
      <c r="I10" s="919" t="s">
        <v>536</v>
      </c>
      <c r="J10" s="920">
        <f>ROUND(F10/$C$6,0)</f>
        <v>191881</v>
      </c>
      <c r="O10" s="320"/>
    </row>
    <row r="11" spans="1:15" ht="12.75" customHeight="1" thickBot="1">
      <c r="A11" s="277" t="s">
        <v>134</v>
      </c>
      <c r="B11" s="669">
        <f>'RGVM FGD'!M11</f>
        <v>6877069</v>
      </c>
      <c r="C11" s="669"/>
      <c r="D11" s="921">
        <f>'RGVM FGD'!F11</f>
        <v>0</v>
      </c>
      <c r="E11" s="754"/>
      <c r="F11" s="922">
        <f t="shared" ref="F11:F14" si="0">B11-(SUM(D11:E11))</f>
        <v>6877069</v>
      </c>
      <c r="G11" s="923">
        <f>SUM(F10:F11)</f>
        <v>49474555</v>
      </c>
      <c r="H11" s="924"/>
      <c r="I11" s="925">
        <f>ROUND($G$11/$C$6,0)</f>
        <v>222858</v>
      </c>
      <c r="J11" s="926">
        <f t="shared" ref="J11:J14" si="1">ROUND(F11/$C$6,0)</f>
        <v>30978</v>
      </c>
      <c r="O11" s="320"/>
    </row>
    <row r="12" spans="1:15" ht="12.75" hidden="1" customHeight="1" thickTop="1" thickBot="1">
      <c r="A12" s="277" t="s">
        <v>537</v>
      </c>
      <c r="B12" s="669"/>
      <c r="C12" s="669"/>
      <c r="D12" s="921"/>
      <c r="E12" s="754"/>
      <c r="F12" s="927"/>
      <c r="J12" s="926"/>
      <c r="O12" s="928"/>
    </row>
    <row r="13" spans="1:15" ht="12.75" customHeight="1" thickTop="1">
      <c r="A13" s="277" t="s">
        <v>468</v>
      </c>
      <c r="B13" s="669">
        <f>'RGVM FGD'!M13</f>
        <v>0</v>
      </c>
      <c r="C13" s="669"/>
      <c r="D13" s="921">
        <f>'RGVM FGD'!F13</f>
        <v>0</v>
      </c>
      <c r="E13" s="754"/>
      <c r="F13" s="929">
        <f t="shared" si="0"/>
        <v>0</v>
      </c>
      <c r="G13" s="930" t="s">
        <v>102</v>
      </c>
      <c r="H13" s="931"/>
      <c r="I13" s="417" t="s">
        <v>538</v>
      </c>
      <c r="J13" s="926">
        <f t="shared" si="1"/>
        <v>0</v>
      </c>
      <c r="O13" s="320"/>
    </row>
    <row r="14" spans="1:15" ht="12.75" customHeight="1" thickBot="1">
      <c r="A14" s="277" t="s">
        <v>135</v>
      </c>
      <c r="B14" s="669">
        <f>'RGVM FGD'!M14</f>
        <v>0</v>
      </c>
      <c r="C14" s="669"/>
      <c r="D14" s="921">
        <f>'RGVM FGD'!F14</f>
        <v>0</v>
      </c>
      <c r="E14" s="754"/>
      <c r="F14" s="927">
        <f t="shared" si="0"/>
        <v>0</v>
      </c>
      <c r="G14" s="932">
        <f>SUM(F13:F14)</f>
        <v>0</v>
      </c>
      <c r="H14" s="933"/>
      <c r="I14" s="934">
        <f>ROUND($G$11/$I$8,0)</f>
        <v>317043</v>
      </c>
      <c r="J14" s="935">
        <f t="shared" si="1"/>
        <v>0</v>
      </c>
      <c r="O14" s="320"/>
    </row>
    <row r="15" spans="1:15" ht="12.75" customHeight="1" thickTop="1">
      <c r="A15" s="936" t="s">
        <v>155</v>
      </c>
      <c r="B15" s="937">
        <f>SUM(B10:B14)</f>
        <v>49474555</v>
      </c>
      <c r="C15" s="937">
        <f>SUM(C10:C14)</f>
        <v>0</v>
      </c>
      <c r="D15" s="937">
        <f>SUM(D10:D14)</f>
        <v>0</v>
      </c>
      <c r="E15" s="937">
        <f>SUM(E10:E14)</f>
        <v>0</v>
      </c>
      <c r="F15" s="938">
        <f>SUM(F10:F14)</f>
        <v>49474555</v>
      </c>
      <c r="I15" s="345"/>
      <c r="J15" s="939">
        <f>SUM(J10:J14)</f>
        <v>222859</v>
      </c>
      <c r="O15" s="320"/>
    </row>
    <row r="16" spans="1:15">
      <c r="C16" s="277"/>
      <c r="J16" s="910"/>
      <c r="O16" s="320"/>
    </row>
    <row r="17" spans="1:15" ht="12.75" customHeight="1">
      <c r="A17" s="279" t="s">
        <v>161</v>
      </c>
      <c r="C17" s="277"/>
      <c r="J17" s="910"/>
      <c r="O17" s="320"/>
    </row>
    <row r="18" spans="1:15">
      <c r="A18" s="277" t="s">
        <v>165</v>
      </c>
      <c r="B18" s="501">
        <f>'RGVM FGD'!M29</f>
        <v>3803805</v>
      </c>
      <c r="C18" s="501"/>
      <c r="D18" s="492">
        <f>'RGVM FGD'!$F$29</f>
        <v>0</v>
      </c>
      <c r="E18" s="492"/>
      <c r="F18" s="492">
        <f t="shared" ref="F18:F19" si="2">B18-(SUM(D18:E18))</f>
        <v>3803805</v>
      </c>
      <c r="J18" s="920">
        <f>ROUND(F18/$C$6,0)</f>
        <v>17134</v>
      </c>
      <c r="O18" s="320"/>
    </row>
    <row r="19" spans="1:15" ht="13.8" thickBot="1">
      <c r="A19" s="277" t="s">
        <v>166</v>
      </c>
      <c r="B19" s="669">
        <f>'RGVM FGD'!M42</f>
        <v>1039880</v>
      </c>
      <c r="C19" s="669"/>
      <c r="D19" s="754">
        <f>'RGVM FGD'!$F$42</f>
        <v>194886</v>
      </c>
      <c r="E19" s="754"/>
      <c r="F19" s="754">
        <f t="shared" si="2"/>
        <v>844994</v>
      </c>
      <c r="J19" s="926">
        <f>ROUND(F19/$C$6,0)</f>
        <v>3806</v>
      </c>
      <c r="O19" s="320"/>
    </row>
    <row r="20" spans="1:15" ht="14.4" thickTop="1" thickBot="1">
      <c r="A20" s="936" t="s">
        <v>167</v>
      </c>
      <c r="B20" s="937">
        <f>SUM(B18:B19)</f>
        <v>4843685</v>
      </c>
      <c r="C20" s="937">
        <f>SUM(C18:C19)</f>
        <v>0</v>
      </c>
      <c r="D20" s="798">
        <f>SUM(D18:D19)</f>
        <v>194886</v>
      </c>
      <c r="E20" s="940">
        <f>SUM(E18:E19)</f>
        <v>0</v>
      </c>
      <c r="F20" s="941">
        <f>SUM(F18:F19)</f>
        <v>4648799</v>
      </c>
      <c r="G20" s="942" t="s">
        <v>539</v>
      </c>
      <c r="H20" s="943"/>
      <c r="J20" s="944">
        <f>SUM(J18:J19)</f>
        <v>20940</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'RGVM FGD'!M47</f>
        <v>7981482</v>
      </c>
      <c r="C23" s="937"/>
      <c r="D23" s="798">
        <f>'RGVM FGD'!F47</f>
        <v>0</v>
      </c>
      <c r="E23" s="940"/>
      <c r="F23" s="941">
        <f>B23-(SUM(D23:E23))</f>
        <v>7981482</v>
      </c>
      <c r="G23" s="946" t="s">
        <v>540</v>
      </c>
      <c r="H23" s="943"/>
      <c r="J23" s="947">
        <f>ROUND(F23/$C$6,0)</f>
        <v>35953</v>
      </c>
      <c r="O23" s="320"/>
    </row>
    <row r="24" spans="1:15" ht="13.8" thickTop="1">
      <c r="C24" s="277"/>
      <c r="J24" s="910"/>
      <c r="O24" s="320"/>
    </row>
    <row r="25" spans="1:15">
      <c r="A25" s="279" t="s">
        <v>163</v>
      </c>
      <c r="C25" s="277"/>
      <c r="D25" s="754"/>
      <c r="J25" s="910"/>
      <c r="O25" s="320"/>
    </row>
    <row r="26" spans="1:15">
      <c r="A26" s="936" t="s">
        <v>200</v>
      </c>
      <c r="B26" s="937">
        <f>'RGVM FGD'!M50</f>
        <v>19204472</v>
      </c>
      <c r="C26" s="937"/>
      <c r="D26" s="937">
        <f>'RGVM FGD'!F50</f>
        <v>0</v>
      </c>
      <c r="E26" s="937">
        <f>B26-D26</f>
        <v>19204472</v>
      </c>
      <c r="F26" s="937">
        <f t="shared" ref="F26" si="3">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'RGVM FGD'!M53</f>
        <v>0</v>
      </c>
      <c r="C29" s="937"/>
      <c r="D29" s="937">
        <f>'RGVM FGD'!F53</f>
        <v>0</v>
      </c>
      <c r="E29" s="937">
        <f>B29-D29</f>
        <v>0</v>
      </c>
      <c r="F29" s="937">
        <f t="shared" ref="F29" si="4">B29-(SUM(D29:E29))</f>
        <v>0</v>
      </c>
      <c r="J29" s="926"/>
      <c r="O29" s="320"/>
    </row>
    <row r="30" spans="1:15">
      <c r="C30" s="277"/>
      <c r="E30" s="754"/>
      <c r="F30" s="754"/>
      <c r="J30" s="926"/>
      <c r="O30" s="320"/>
    </row>
    <row r="31" spans="1:15">
      <c r="A31" s="279" t="s">
        <v>171</v>
      </c>
      <c r="C31" s="277"/>
      <c r="E31" s="754"/>
      <c r="F31" s="754"/>
      <c r="G31" s="400"/>
      <c r="H31" s="400"/>
      <c r="I31" s="400"/>
      <c r="J31" s="926"/>
      <c r="O31" s="320"/>
    </row>
    <row r="32" spans="1:15">
      <c r="A32" s="277" t="s">
        <v>172</v>
      </c>
      <c r="B32" s="501">
        <f>'RGVM FGD'!M56</f>
        <v>1387858</v>
      </c>
      <c r="C32" s="501"/>
      <c r="D32" s="492">
        <f>'RGVM FGD'!F56</f>
        <v>0</v>
      </c>
      <c r="E32" s="492"/>
      <c r="F32" s="492">
        <f t="shared" ref="F32:F37" si="5">B32-(SUM(D32:E32))</f>
        <v>1387858</v>
      </c>
      <c r="J32" s="920">
        <f>ROUND(F32/$C$6,0)</f>
        <v>6252</v>
      </c>
      <c r="O32" s="320"/>
    </row>
    <row r="33" spans="1:30">
      <c r="A33" s="277" t="s">
        <v>173</v>
      </c>
      <c r="B33" s="669">
        <f>'RGVM FGD'!M57</f>
        <v>32007401</v>
      </c>
      <c r="C33" s="669"/>
      <c r="D33" s="921">
        <f>'RGVM FGD'!F57</f>
        <v>0</v>
      </c>
      <c r="E33" s="754"/>
      <c r="F33" s="754">
        <f t="shared" si="5"/>
        <v>32007401</v>
      </c>
      <c r="J33" s="926">
        <f t="shared" ref="J33:J37" si="6">ROUND(F33/$C$6,0)</f>
        <v>144177</v>
      </c>
      <c r="O33" s="320"/>
    </row>
    <row r="34" spans="1:30" ht="13.8" thickBot="1">
      <c r="A34" s="277" t="s">
        <v>174</v>
      </c>
      <c r="B34" s="669">
        <f>'RGVM FGD'!M58</f>
        <v>9942824</v>
      </c>
      <c r="C34" s="669"/>
      <c r="D34" s="921">
        <f>'RGVM FGD'!F58</f>
        <v>0</v>
      </c>
      <c r="E34" s="754"/>
      <c r="F34" s="754">
        <f t="shared" si="5"/>
        <v>9942824</v>
      </c>
      <c r="J34" s="926">
        <f t="shared" si="6"/>
        <v>44787</v>
      </c>
      <c r="O34" s="320"/>
    </row>
    <row r="35" spans="1:30" ht="13.8" thickBot="1">
      <c r="A35" s="277" t="s">
        <v>175</v>
      </c>
      <c r="B35" s="669">
        <f>'RGVM FGD'!M59</f>
        <v>1524703</v>
      </c>
      <c r="C35" s="669"/>
      <c r="D35" s="921">
        <f>'RGVM FGD'!F59</f>
        <v>0</v>
      </c>
      <c r="E35" s="754"/>
      <c r="F35" s="754">
        <f t="shared" si="5"/>
        <v>1524703</v>
      </c>
      <c r="J35" s="926">
        <f t="shared" si="6"/>
        <v>6868</v>
      </c>
      <c r="K35" s="1157"/>
      <c r="L35" s="1140"/>
      <c r="M35" s="1140"/>
      <c r="N35" s="1140"/>
      <c r="O35" s="1141"/>
    </row>
    <row r="36" spans="1:30" ht="13.8" thickBot="1">
      <c r="A36" s="277" t="s">
        <v>471</v>
      </c>
      <c r="B36" s="669">
        <f>'RGVM FGD'!M60</f>
        <v>108437</v>
      </c>
      <c r="C36" s="669"/>
      <c r="D36" s="921">
        <f>'RGVM FGD'!F60</f>
        <v>108437</v>
      </c>
      <c r="E36" s="754"/>
      <c r="F36" s="754">
        <f t="shared" si="5"/>
        <v>0</v>
      </c>
      <c r="J36" s="926">
        <f t="shared" si="6"/>
        <v>0</v>
      </c>
      <c r="K36" s="1157" t="s">
        <v>268</v>
      </c>
      <c r="L36" s="1140"/>
      <c r="M36" s="1140"/>
      <c r="N36" s="1140"/>
      <c r="O36" s="1141"/>
    </row>
    <row r="37" spans="1:30" ht="13.5" customHeight="1" thickBot="1">
      <c r="A37" s="538" t="s">
        <v>177</v>
      </c>
      <c r="B37" s="669">
        <f>'RGVM FGD'!M61</f>
        <v>15902370</v>
      </c>
      <c r="C37" s="669"/>
      <c r="D37" s="921">
        <f>'RGVM FGD'!F61</f>
        <v>0</v>
      </c>
      <c r="E37" s="754"/>
      <c r="F37" s="754">
        <f t="shared" si="5"/>
        <v>15902370</v>
      </c>
      <c r="G37" s="400"/>
      <c r="H37" s="400"/>
      <c r="I37" s="400"/>
      <c r="J37" s="926">
        <f t="shared" si="6"/>
        <v>71632</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60873593</v>
      </c>
      <c r="C38" s="937"/>
      <c r="D38" s="949">
        <f>SUM(D32:D37)</f>
        <v>108437</v>
      </c>
      <c r="E38" s="949">
        <f>SUM(E32:E37)</f>
        <v>0</v>
      </c>
      <c r="F38" s="950">
        <f>SUM(F32:F37)</f>
        <v>60765156</v>
      </c>
      <c r="G38" s="1154" t="s">
        <v>171</v>
      </c>
      <c r="H38" s="1155"/>
      <c r="I38" s="951" t="s">
        <v>542</v>
      </c>
      <c r="J38" s="952">
        <f>SUM(J32:J37)</f>
        <v>273716</v>
      </c>
      <c r="K38" s="1159"/>
      <c r="L38" s="1159"/>
      <c r="M38" s="1159"/>
      <c r="N38" s="1159" t="s">
        <v>543</v>
      </c>
      <c r="O38" s="1159" t="s">
        <v>280</v>
      </c>
    </row>
    <row r="39" spans="1:30" ht="13.8" thickTop="1">
      <c r="A39" s="953" t="s">
        <v>201</v>
      </c>
      <c r="B39" s="954">
        <f>B15+B20+B23+B26+B29+B38</f>
        <v>142377787</v>
      </c>
      <c r="C39" s="955"/>
      <c r="D39" s="954">
        <f>D15+D20+D23+D26+D29+D38</f>
        <v>303323</v>
      </c>
      <c r="E39" s="954">
        <f>E15+E20+E23+E26+E29+E38</f>
        <v>19204472</v>
      </c>
      <c r="F39" s="956">
        <f>F38+F23+F20+F15</f>
        <v>122869992</v>
      </c>
      <c r="G39" s="1156" t="s">
        <v>271</v>
      </c>
      <c r="H39" s="1156"/>
      <c r="I39" s="957">
        <f>ROUND($G$41/$C$6,0)</f>
        <v>553468</v>
      </c>
      <c r="J39" s="958">
        <f>J15+J20+J23+J38</f>
        <v>553468</v>
      </c>
      <c r="K39" s="1159"/>
      <c r="L39" s="1159"/>
      <c r="M39" s="1159"/>
      <c r="N39" s="1159"/>
      <c r="O39" s="1159"/>
    </row>
    <row r="40" spans="1:30" ht="13.8" thickBot="1">
      <c r="C40" s="277"/>
      <c r="F40" s="320" t="s">
        <v>577</v>
      </c>
      <c r="G40" s="959">
        <f>G14*-1</f>
        <v>0</v>
      </c>
      <c r="I40" s="951" t="s">
        <v>545</v>
      </c>
      <c r="J40" s="960"/>
      <c r="K40" s="1160"/>
      <c r="L40" s="1160"/>
      <c r="M40" s="1160"/>
      <c r="N40" s="1160"/>
      <c r="O40" s="1160"/>
    </row>
    <row r="41" spans="1:30" ht="14.4" thickTop="1" thickBot="1">
      <c r="A41" s="912" t="s">
        <v>178</v>
      </c>
      <c r="B41" s="912"/>
      <c r="C41" s="912"/>
      <c r="D41" s="344"/>
      <c r="E41" s="344"/>
      <c r="F41" s="961" t="s">
        <v>546</v>
      </c>
      <c r="G41" s="962">
        <f>F39+G40</f>
        <v>122869992</v>
      </c>
      <c r="I41" s="963">
        <f>ROUND($G$41/$I$8,0)</f>
        <v>787376</v>
      </c>
      <c r="K41" s="964"/>
      <c r="L41" s="964"/>
      <c r="M41" s="964"/>
      <c r="N41" s="964"/>
      <c r="O41" s="964"/>
    </row>
    <row r="42" spans="1:30" ht="13.8" thickTop="1">
      <c r="A42" s="490" t="s">
        <v>92</v>
      </c>
      <c r="B42" s="501">
        <f>'RGVM FGD'!M65</f>
        <v>45338838</v>
      </c>
      <c r="C42" s="501"/>
      <c r="D42" s="492">
        <f>'RGVM FGD'!F65</f>
        <v>0</v>
      </c>
      <c r="E42" s="492"/>
      <c r="F42" s="492">
        <f t="shared" ref="F42" si="7">B42-(SUM(D42:E42))</f>
        <v>45338838</v>
      </c>
      <c r="H42" s="965" t="s">
        <v>547</v>
      </c>
      <c r="I42" s="966">
        <f>ROUND(F42/$C$6,0)</f>
        <v>204229</v>
      </c>
      <c r="J42" s="320" t="s">
        <v>548</v>
      </c>
      <c r="K42" s="492">
        <f>F42</f>
        <v>45338838</v>
      </c>
      <c r="L42" s="492">
        <f>K42</f>
        <v>45338838</v>
      </c>
      <c r="M42" s="492"/>
      <c r="N42" s="492"/>
      <c r="O42" s="492"/>
    </row>
    <row r="43" spans="1:30">
      <c r="A43" s="490" t="s">
        <v>179</v>
      </c>
      <c r="B43" s="669">
        <f>'RGVM FGD'!M66</f>
        <v>14738752</v>
      </c>
      <c r="C43" s="669"/>
      <c r="D43" s="723">
        <f>'RGVM FGD'!F66</f>
        <v>0</v>
      </c>
      <c r="E43" s="754"/>
      <c r="F43" s="754">
        <f t="shared" ref="F43:F44" si="8">B43-(SUM(D43:E43))</f>
        <v>14738752</v>
      </c>
      <c r="J43" s="320" t="s">
        <v>549</v>
      </c>
      <c r="K43" s="723">
        <f>F43</f>
        <v>14738752</v>
      </c>
      <c r="L43" s="723">
        <f>K43</f>
        <v>14738752</v>
      </c>
      <c r="M43" s="723"/>
      <c r="N43" s="723"/>
      <c r="O43" s="723"/>
    </row>
    <row r="44" spans="1:30">
      <c r="A44" s="490" t="s">
        <v>180</v>
      </c>
      <c r="B44" s="669">
        <f>'RGVM FGD'!M67</f>
        <v>3437353</v>
      </c>
      <c r="C44" s="669"/>
      <c r="D44" s="723">
        <f>'RGVM FGD'!F67</f>
        <v>0</v>
      </c>
      <c r="E44" s="921">
        <f>B44-D44</f>
        <v>3437353</v>
      </c>
      <c r="F44" s="754">
        <f t="shared" si="8"/>
        <v>0</v>
      </c>
      <c r="J44" s="320" t="s">
        <v>550</v>
      </c>
      <c r="K44" s="967"/>
      <c r="L44" s="769"/>
      <c r="M44" s="769" t="s">
        <v>551</v>
      </c>
      <c r="N44" s="769"/>
      <c r="O44" s="968"/>
    </row>
    <row r="45" spans="1:30">
      <c r="A45" s="300" t="s">
        <v>164</v>
      </c>
      <c r="B45" s="669">
        <f>'RGVM FGD'!M68</f>
        <v>43920874</v>
      </c>
      <c r="C45" s="669"/>
      <c r="D45" s="723">
        <f>'RGVM FGD'!F68</f>
        <v>0</v>
      </c>
      <c r="E45" s="921">
        <f>B45-D45</f>
        <v>43920874</v>
      </c>
      <c r="F45" s="754">
        <f t="shared" ref="F45:F53" si="9">B45-(SUM(D45:E45))</f>
        <v>0</v>
      </c>
      <c r="G45" s="492"/>
      <c r="J45" s="320" t="s">
        <v>552</v>
      </c>
      <c r="K45" s="1161" t="s">
        <v>551</v>
      </c>
      <c r="L45" s="1162"/>
      <c r="M45" s="1162"/>
      <c r="N45" s="1162"/>
      <c r="O45" s="1163"/>
    </row>
    <row r="46" spans="1:30">
      <c r="A46" s="490" t="s">
        <v>181</v>
      </c>
      <c r="B46" s="669">
        <f>'RGVM FGD'!M69</f>
        <v>21408116</v>
      </c>
      <c r="C46" s="669"/>
      <c r="D46" s="723">
        <f>'RGVM FGD'!F69</f>
        <v>0</v>
      </c>
      <c r="E46" s="754"/>
      <c r="F46" s="754">
        <f t="shared" si="9"/>
        <v>21408116</v>
      </c>
      <c r="H46" s="965" t="s">
        <v>553</v>
      </c>
      <c r="I46" s="966">
        <f>ROUND(F46/$C$6,0)</f>
        <v>96433</v>
      </c>
      <c r="J46" s="320" t="s">
        <v>554</v>
      </c>
      <c r="K46" s="723">
        <f t="shared" ref="K46:K50" si="10">F46</f>
        <v>21408116</v>
      </c>
      <c r="L46" s="723">
        <f>K46</f>
        <v>21408116</v>
      </c>
      <c r="M46" s="723"/>
      <c r="N46" s="723"/>
      <c r="O46" s="723"/>
    </row>
    <row r="47" spans="1:30">
      <c r="A47" s="490" t="s">
        <v>182</v>
      </c>
      <c r="B47" s="669">
        <f>'RGVM FGD'!M70</f>
        <v>3642889</v>
      </c>
      <c r="C47" s="669"/>
      <c r="D47" s="723">
        <f>'RGVM FGD'!F70</f>
        <v>0</v>
      </c>
      <c r="E47" s="754"/>
      <c r="F47" s="754">
        <f t="shared" si="9"/>
        <v>3642889</v>
      </c>
      <c r="J47" s="320" t="s">
        <v>555</v>
      </c>
      <c r="K47" s="723">
        <f t="shared" si="10"/>
        <v>3642889</v>
      </c>
      <c r="L47" s="723"/>
      <c r="M47" s="723">
        <f>K47</f>
        <v>3642889</v>
      </c>
      <c r="N47" s="723"/>
      <c r="O47" s="723"/>
    </row>
    <row r="48" spans="1:30">
      <c r="A48" s="490" t="s">
        <v>183</v>
      </c>
      <c r="B48" s="669">
        <f>'RGVM FGD'!M71</f>
        <v>20958</v>
      </c>
      <c r="C48" s="669"/>
      <c r="D48" s="723">
        <f>'RGVM FGD'!F71</f>
        <v>0</v>
      </c>
      <c r="E48" s="754"/>
      <c r="F48" s="754">
        <f t="shared" si="9"/>
        <v>20958</v>
      </c>
      <c r="H48" s="965" t="s">
        <v>556</v>
      </c>
      <c r="I48" s="966">
        <f>ROUND(F48/$C$6,0)</f>
        <v>94</v>
      </c>
      <c r="J48" s="320" t="s">
        <v>557</v>
      </c>
      <c r="K48" s="723">
        <f t="shared" si="10"/>
        <v>20958</v>
      </c>
      <c r="L48" s="723"/>
      <c r="M48" s="723"/>
      <c r="N48" s="723">
        <f>K48</f>
        <v>20958</v>
      </c>
      <c r="O48" s="723"/>
    </row>
    <row r="49" spans="1:30">
      <c r="A49" s="490" t="s">
        <v>184</v>
      </c>
      <c r="B49" s="669">
        <f>'RGVM FGD'!M72</f>
        <v>3627491</v>
      </c>
      <c r="C49" s="669"/>
      <c r="D49" s="723">
        <f>'RGVM FGD'!F72</f>
        <v>0</v>
      </c>
      <c r="E49" s="754"/>
      <c r="F49" s="754">
        <f t="shared" si="9"/>
        <v>3627491</v>
      </c>
      <c r="J49" s="320" t="s">
        <v>558</v>
      </c>
      <c r="K49" s="723">
        <f t="shared" si="10"/>
        <v>3627491</v>
      </c>
      <c r="L49" s="723"/>
      <c r="M49" s="723"/>
      <c r="N49" s="723">
        <f>K49</f>
        <v>3627491</v>
      </c>
      <c r="O49" s="723"/>
    </row>
    <row r="50" spans="1:30">
      <c r="A50" s="490" t="s">
        <v>185</v>
      </c>
      <c r="B50" s="669">
        <f>'RGVM FGD'!M73</f>
        <v>1273006</v>
      </c>
      <c r="C50" s="669"/>
      <c r="D50" s="723">
        <f>'RGVM FGD'!F73</f>
        <v>0</v>
      </c>
      <c r="E50" s="754"/>
      <c r="F50" s="754">
        <f t="shared" si="9"/>
        <v>1273006</v>
      </c>
      <c r="J50" s="320" t="s">
        <v>559</v>
      </c>
      <c r="K50" s="723">
        <f t="shared" si="10"/>
        <v>1273006</v>
      </c>
      <c r="L50" s="723"/>
      <c r="M50" s="723">
        <f>K50</f>
        <v>1273006</v>
      </c>
      <c r="N50" s="723"/>
      <c r="O50" s="723"/>
    </row>
    <row r="51" spans="1:30">
      <c r="A51" s="490" t="s">
        <v>472</v>
      </c>
      <c r="B51" s="669">
        <f>'RGVM FGD'!M74</f>
        <v>1836493</v>
      </c>
      <c r="C51" s="669"/>
      <c r="D51" s="969">
        <f>B51</f>
        <v>1836493</v>
      </c>
      <c r="E51" s="754"/>
      <c r="F51" s="754">
        <f t="shared" si="9"/>
        <v>0</v>
      </c>
      <c r="J51" s="320" t="s">
        <v>560</v>
      </c>
      <c r="K51" s="967"/>
      <c r="L51" s="769"/>
      <c r="M51" s="769" t="s">
        <v>551</v>
      </c>
      <c r="N51" s="769"/>
      <c r="O51" s="968"/>
    </row>
    <row r="52" spans="1:30">
      <c r="A52" s="490" t="s">
        <v>187</v>
      </c>
      <c r="B52" s="669">
        <f>'RGVM FGD'!M75</f>
        <v>5628788</v>
      </c>
      <c r="C52" s="669"/>
      <c r="D52" s="723">
        <f>'RGVM FGD'!F75</f>
        <v>5472</v>
      </c>
      <c r="E52" s="754"/>
      <c r="F52" s="754">
        <f t="shared" si="9"/>
        <v>5623316</v>
      </c>
      <c r="J52" s="320" t="s">
        <v>561</v>
      </c>
      <c r="K52" s="723">
        <f t="shared" ref="K52:K53" si="11">F52</f>
        <v>5623316</v>
      </c>
      <c r="L52" s="723"/>
      <c r="M52" s="723"/>
      <c r="N52" s="723"/>
      <c r="O52" s="723">
        <f>K52</f>
        <v>5623316</v>
      </c>
    </row>
    <row r="53" spans="1:30" ht="13.8" thickBot="1">
      <c r="A53" s="277" t="s">
        <v>1713</v>
      </c>
      <c r="B53" s="669">
        <f>'RGVM FGD'!M76</f>
        <v>137842</v>
      </c>
      <c r="C53" s="669"/>
      <c r="D53" s="723">
        <f>'RGVM FGD'!F76</f>
        <v>0</v>
      </c>
      <c r="E53" s="754"/>
      <c r="F53" s="754">
        <f t="shared" si="9"/>
        <v>137842</v>
      </c>
      <c r="G53" s="400"/>
      <c r="H53" s="965" t="s">
        <v>562</v>
      </c>
      <c r="I53" s="966">
        <f>ROUND(SUM(F43+F47+F49+F50+F52+F53)/$C$6,0)</f>
        <v>130826</v>
      </c>
      <c r="J53" s="400" t="s">
        <v>280</v>
      </c>
      <c r="K53" s="723">
        <f t="shared" si="11"/>
        <v>137842</v>
      </c>
      <c r="L53" s="970"/>
      <c r="M53" s="970"/>
      <c r="N53" s="970"/>
      <c r="O53" s="723">
        <f>K53</f>
        <v>137842</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145011400</v>
      </c>
      <c r="C54" s="972">
        <f>SUM(C42:C53)</f>
        <v>0</v>
      </c>
      <c r="D54" s="972">
        <f>SUM(D42:D53)</f>
        <v>1841965</v>
      </c>
      <c r="E54" s="973">
        <f>SUM(E43:E53)</f>
        <v>47358227</v>
      </c>
      <c r="F54" s="974">
        <f>SUM(F42:F53)</f>
        <v>95811208</v>
      </c>
      <c r="G54" s="1174" t="s">
        <v>563</v>
      </c>
      <c r="H54" s="1175"/>
      <c r="I54" s="975" t="s">
        <v>623</v>
      </c>
      <c r="J54" s="400" t="s">
        <v>564</v>
      </c>
      <c r="K54" s="976">
        <f>SUM(K42:K53)</f>
        <v>95811208</v>
      </c>
      <c r="L54" s="976">
        <f t="shared" ref="L54:O54" si="12">SUM(L42:L53)</f>
        <v>81485706</v>
      </c>
      <c r="M54" s="976">
        <f t="shared" si="12"/>
        <v>4915895</v>
      </c>
      <c r="N54" s="976">
        <f t="shared" si="12"/>
        <v>3648449</v>
      </c>
      <c r="O54" s="976">
        <f t="shared" si="12"/>
        <v>5761158</v>
      </c>
    </row>
    <row r="55" spans="1:30" ht="14.25" customHeight="1" thickTop="1" thickBot="1">
      <c r="C55" s="277"/>
      <c r="F55" s="931"/>
      <c r="G55" s="1176"/>
      <c r="H55" s="1177"/>
      <c r="I55" s="977">
        <f>ROUND(F54/C6,0)</f>
        <v>431582</v>
      </c>
      <c r="J55" s="1153" t="s">
        <v>565</v>
      </c>
      <c r="K55" s="970"/>
      <c r="L55" s="970"/>
      <c r="M55" s="970"/>
      <c r="N55" s="970"/>
      <c r="O55" s="970"/>
    </row>
    <row r="56" spans="1:30" ht="16.5" customHeight="1" thickBot="1">
      <c r="A56" s="279" t="s">
        <v>473</v>
      </c>
      <c r="C56" s="277"/>
      <c r="F56" s="978"/>
      <c r="G56" s="1178"/>
      <c r="H56" s="1179"/>
      <c r="I56" s="951" t="s">
        <v>624</v>
      </c>
      <c r="J56" s="1153"/>
      <c r="K56" s="979"/>
      <c r="L56" s="979"/>
      <c r="M56" s="979"/>
      <c r="N56" s="979"/>
      <c r="O56" s="979"/>
      <c r="P56" s="333"/>
      <c r="Q56" s="333"/>
      <c r="R56" s="333"/>
      <c r="S56" s="333"/>
      <c r="T56" s="333"/>
      <c r="U56" s="333"/>
      <c r="V56" s="333"/>
      <c r="W56" s="333"/>
      <c r="X56" s="333"/>
      <c r="Y56" s="333"/>
      <c r="Z56" s="333"/>
      <c r="AA56" s="333"/>
      <c r="AB56" s="333"/>
      <c r="AC56" s="333"/>
      <c r="AD56" s="333"/>
    </row>
    <row r="57" spans="1:30" ht="13.8" thickTop="1">
      <c r="A57" s="277" t="s">
        <v>474</v>
      </c>
      <c r="B57" s="669">
        <f>'RGVM FGD'!M80</f>
        <v>-18868727</v>
      </c>
      <c r="C57" s="669"/>
      <c r="D57" s="492">
        <f>'RGVM FGD'!F80</f>
        <v>0</v>
      </c>
      <c r="E57" s="492"/>
      <c r="F57" s="980">
        <f t="shared" ref="F57:F60" si="13">B57-(SUM(D57:E57))</f>
        <v>-18868727</v>
      </c>
      <c r="G57" s="930"/>
      <c r="I57" s="981">
        <f>ROUND($F$54/$I$8,0)</f>
        <v>613978</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'RGVM FGD'!M81</f>
        <v>10792567</v>
      </c>
      <c r="C58" s="669"/>
      <c r="D58" s="982">
        <f>'RGVM FGD'!F81</f>
        <v>1783940</v>
      </c>
      <c r="E58" s="915"/>
      <c r="F58" s="754">
        <f t="shared" si="13"/>
        <v>9008627</v>
      </c>
      <c r="K58" s="980"/>
      <c r="L58" s="980"/>
      <c r="M58" s="980"/>
      <c r="N58" s="980"/>
      <c r="O58" s="980"/>
    </row>
    <row r="59" spans="1:30">
      <c r="A59" s="983" t="s">
        <v>567</v>
      </c>
      <c r="B59" s="669">
        <f>'RGVM FGD'!M82</f>
        <v>13389282</v>
      </c>
      <c r="C59" s="669"/>
      <c r="D59" s="982">
        <f>'RGVM FGD'!F82</f>
        <v>0</v>
      </c>
      <c r="E59" s="915"/>
      <c r="F59" s="754">
        <f t="shared" si="13"/>
        <v>13389282</v>
      </c>
      <c r="G59" s="400"/>
      <c r="J59" s="400"/>
      <c r="K59" s="400"/>
      <c r="L59" s="400"/>
      <c r="M59" s="400"/>
      <c r="N59" s="400"/>
      <c r="O59" s="400"/>
    </row>
    <row r="60" spans="1:30" ht="12" customHeight="1">
      <c r="A60" s="277" t="s">
        <v>477</v>
      </c>
      <c r="B60" s="669">
        <f>'RGVM FGD'!M83</f>
        <v>-89000</v>
      </c>
      <c r="C60" s="669"/>
      <c r="D60" s="982">
        <f>'RGVM FGD'!F83</f>
        <v>-89000</v>
      </c>
      <c r="E60" s="915"/>
      <c r="F60" s="754">
        <f t="shared" si="13"/>
        <v>0</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5224122</v>
      </c>
      <c r="C61" s="937"/>
      <c r="D61" s="937">
        <f>SUM(D57:D60)</f>
        <v>1694940</v>
      </c>
      <c r="E61" s="937">
        <f>SUM(E57:E60)</f>
        <v>0</v>
      </c>
      <c r="F61" s="984">
        <f>SUM(F57:F60)</f>
        <v>3529182</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'RGVM FGD'!M87</f>
        <v>-657730</v>
      </c>
      <c r="C64" s="669"/>
      <c r="D64" s="492">
        <f>'RGVM FGD'!F87</f>
        <v>0</v>
      </c>
      <c r="E64" s="492"/>
      <c r="F64" s="492">
        <f t="shared" ref="F64:F65" si="14">B64-(SUM(D64:E64))</f>
        <v>-657730</v>
      </c>
      <c r="O64" s="320"/>
    </row>
    <row r="65" spans="1:30">
      <c r="A65" s="277" t="s">
        <v>480</v>
      </c>
      <c r="B65" s="669">
        <f>'RGVM FGD'!M88</f>
        <v>961830</v>
      </c>
      <c r="C65" s="669"/>
      <c r="D65" s="982">
        <f>'RGVM FGD'!F88</f>
        <v>0</v>
      </c>
      <c r="E65" s="915"/>
      <c r="F65" s="754">
        <f t="shared" si="14"/>
        <v>961830</v>
      </c>
      <c r="O65" s="320"/>
      <c r="P65" s="333"/>
      <c r="Q65" s="333"/>
      <c r="R65" s="333"/>
      <c r="S65" s="333"/>
      <c r="T65" s="333"/>
      <c r="U65" s="333"/>
      <c r="V65" s="333"/>
      <c r="W65" s="333"/>
      <c r="X65" s="333"/>
      <c r="Y65" s="333"/>
      <c r="Z65" s="333"/>
      <c r="AA65" s="333"/>
      <c r="AB65" s="333"/>
      <c r="AC65" s="333"/>
      <c r="AD65" s="333"/>
    </row>
    <row r="66" spans="1:30">
      <c r="A66" s="936" t="s">
        <v>155</v>
      </c>
      <c r="B66" s="937">
        <f>SUM(B64:B65)</f>
        <v>304100</v>
      </c>
      <c r="C66" s="937"/>
      <c r="D66" s="937">
        <f>SUM(D64:D65)</f>
        <v>0</v>
      </c>
      <c r="E66" s="937">
        <f>SUM(E64:E65)</f>
        <v>0</v>
      </c>
      <c r="F66" s="937">
        <f>SUM(F64:F65)</f>
        <v>304100</v>
      </c>
      <c r="O66" s="320"/>
    </row>
    <row r="67" spans="1:30">
      <c r="C67" s="277"/>
      <c r="O67" s="320"/>
    </row>
    <row r="68" spans="1:30" ht="13.8" thickBot="1">
      <c r="A68" s="985" t="s">
        <v>572</v>
      </c>
      <c r="B68" s="590">
        <f>B39-B54+B61+B66</f>
        <v>2894609</v>
      </c>
      <c r="C68" s="590"/>
      <c r="D68" s="590">
        <f>D39-D54+D61+D66</f>
        <v>156298</v>
      </c>
      <c r="E68" s="590">
        <f>E39-E54+E61+E66</f>
        <v>-28153755</v>
      </c>
      <c r="F68" s="590">
        <f>F39-F54+F61+F66</f>
        <v>30892066</v>
      </c>
      <c r="O68" s="320"/>
    </row>
    <row r="69" spans="1:30" ht="13.8" thickTop="1"/>
    <row r="70" spans="1:30">
      <c r="A70" s="320" t="s">
        <v>573</v>
      </c>
      <c r="D70" s="492"/>
    </row>
    <row r="71" spans="1:30">
      <c r="A71" s="277" t="s">
        <v>7</v>
      </c>
    </row>
    <row r="72" spans="1:30">
      <c r="B72" s="986">
        <f>'RGVM FGD'!$M$91</f>
        <v>2894609</v>
      </c>
      <c r="C72" s="277"/>
      <c r="D72" s="986">
        <f>'RGVM FGD'!F91</f>
        <v>156298</v>
      </c>
      <c r="E72" s="986">
        <f>'RGVM FGD'!M50</f>
        <v>19204472</v>
      </c>
      <c r="F72" s="277"/>
    </row>
    <row r="73" spans="1:30">
      <c r="B73" s="986"/>
      <c r="C73" s="277"/>
      <c r="D73" s="986">
        <f>'RGVM FGD'!F74</f>
        <v>1836493</v>
      </c>
      <c r="E73" s="986">
        <f>'RGVM FGD'!M53</f>
        <v>0</v>
      </c>
      <c r="F73" s="986"/>
    </row>
    <row r="74" spans="1:30">
      <c r="B74" s="986"/>
      <c r="C74" s="277"/>
      <c r="D74" s="986">
        <f>-'RGVM FGD'!M74</f>
        <v>-1836493</v>
      </c>
      <c r="E74" s="986">
        <f>-'RGVM FGD'!M68</f>
        <v>-43920874</v>
      </c>
      <c r="F74" s="986"/>
    </row>
    <row r="75" spans="1:30">
      <c r="B75" s="986"/>
      <c r="C75" s="277"/>
      <c r="D75" s="986"/>
      <c r="E75" s="986">
        <f>-'RGVM FGD'!M67</f>
        <v>-3437353</v>
      </c>
      <c r="F75" s="986"/>
    </row>
    <row r="76" spans="1:30" ht="12.75" customHeight="1">
      <c r="B76" s="987"/>
      <c r="C76" s="277"/>
      <c r="D76" s="987"/>
      <c r="E76" s="987">
        <f>-D26</f>
        <v>0</v>
      </c>
      <c r="F76" s="986"/>
    </row>
    <row r="77" spans="1:30" ht="12.75" customHeight="1">
      <c r="B77" s="986">
        <f>SUM(B72:B76)</f>
        <v>2894609</v>
      </c>
      <c r="C77" s="277"/>
      <c r="D77" s="986">
        <f>SUM(D72:D76)</f>
        <v>156298</v>
      </c>
      <c r="E77" s="986">
        <f>SUM(E72:E76)</f>
        <v>-28153755</v>
      </c>
      <c r="F77" s="986">
        <f>B77-D77-E77</f>
        <v>30892066</v>
      </c>
    </row>
    <row r="78" spans="1:30" ht="12.75" customHeight="1">
      <c r="B78" s="986"/>
      <c r="C78" s="277"/>
      <c r="D78" s="986"/>
      <c r="E78" s="986"/>
      <c r="F78" s="986"/>
    </row>
    <row r="79" spans="1:30" ht="12.75" customHeight="1">
      <c r="B79" s="987"/>
      <c r="C79" s="538"/>
      <c r="D79" s="987"/>
      <c r="E79" s="987"/>
      <c r="F79" s="987"/>
    </row>
    <row r="80" spans="1:30" ht="12.75" customHeight="1">
      <c r="B80" s="986">
        <f>SUM(B77:B79)</f>
        <v>2894609</v>
      </c>
      <c r="C80" s="277"/>
      <c r="D80" s="986">
        <f>SUM(D77:D79)</f>
        <v>156298</v>
      </c>
      <c r="E80" s="986">
        <f>SUM(E77:E79)</f>
        <v>-28153755</v>
      </c>
      <c r="F80" s="986">
        <f>SUM(F77:F79)</f>
        <v>30892066</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6">
    <mergeCell ref="K35:O35"/>
    <mergeCell ref="F1:I1"/>
    <mergeCell ref="J1:O1"/>
    <mergeCell ref="D4:D5"/>
    <mergeCell ref="E4:E5"/>
    <mergeCell ref="K36:O36"/>
    <mergeCell ref="K37:K40"/>
    <mergeCell ref="L37:L40"/>
    <mergeCell ref="M37:M40"/>
    <mergeCell ref="N37:N40"/>
    <mergeCell ref="O37:O40"/>
    <mergeCell ref="G38:H38"/>
    <mergeCell ref="G39:H39"/>
    <mergeCell ref="K45:O45"/>
    <mergeCell ref="J55:J56"/>
    <mergeCell ref="G54:H56"/>
  </mergeCells>
  <hyperlinks>
    <hyperlink ref="D1" location="Index!A1" display="Return to Index" xr:uid="{00000000-0004-0000-43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indexed="11"/>
    <pageSetUpPr fitToPage="1"/>
  </sheetPr>
  <dimension ref="A1:AB128"/>
  <sheetViews>
    <sheetView showGridLines="0" zoomScale="75" zoomScaleNormal="75" workbookViewId="0">
      <pane xSplit="2" ySplit="8" topLeftCell="D9"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5.5546875" style="751" customWidth="1"/>
    <col min="13" max="13" width="17" style="751" customWidth="1"/>
    <col min="14" max="14" width="5.44140625" style="751" customWidth="1"/>
    <col min="15" max="15" width="16.664062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N1" s="656">
        <v>12</v>
      </c>
      <c r="O1" s="322"/>
      <c r="P1" s="322"/>
      <c r="Q1" s="322"/>
      <c r="R1" s="322"/>
      <c r="S1" s="322"/>
      <c r="T1" s="322"/>
      <c r="U1" s="322"/>
      <c r="V1" s="322"/>
      <c r="W1" s="322"/>
      <c r="X1" s="322"/>
      <c r="Y1" s="322"/>
      <c r="Z1" s="322"/>
      <c r="AA1" s="322"/>
      <c r="AB1" s="322"/>
    </row>
    <row r="2" spans="1:28" ht="21">
      <c r="A2" s="656">
        <v>1</v>
      </c>
      <c r="B2" s="1168" t="str">
        <f>'RGVM Chts'!$A$1</f>
        <v>The University of Texas Rio Grande Valley Medical School (M)</v>
      </c>
      <c r="C2" s="1168"/>
      <c r="D2" s="1168"/>
      <c r="E2" s="1168"/>
      <c r="F2" s="1168"/>
      <c r="H2" s="750"/>
      <c r="I2" s="752" t="str">
        <f>IF($B$2&lt;&gt;Input!$H$16,"Name Mismatch","")</f>
        <v/>
      </c>
      <c r="J2" s="750"/>
      <c r="K2" s="750"/>
      <c r="L2" s="750"/>
      <c r="M2" s="672"/>
      <c r="O2" s="321" t="s">
        <v>51</v>
      </c>
      <c r="P2" s="334"/>
    </row>
    <row r="3" spans="1:28" ht="21">
      <c r="A3" s="656">
        <v>2</v>
      </c>
      <c r="B3" s="1168" t="str">
        <f>'Smmy Chts'!$A$2</f>
        <v>For the Year Ended August 31, 2022</v>
      </c>
      <c r="C3" s="1168"/>
      <c r="D3" s="1168"/>
      <c r="E3" s="1168"/>
      <c r="F3" s="1168"/>
      <c r="G3" s="750"/>
      <c r="H3" s="750"/>
      <c r="I3" s="750"/>
      <c r="J3" s="750"/>
      <c r="K3" s="750"/>
      <c r="L3" s="750"/>
      <c r="M3" s="672"/>
      <c r="O3" s="754"/>
    </row>
    <row r="4" spans="1:28" ht="21">
      <c r="A4" s="656">
        <v>3</v>
      </c>
      <c r="B4" s="1168" t="str">
        <f>'Smmy Chts'!$A$3</f>
        <v>Source: FY 2022 Annual Financial Report</v>
      </c>
      <c r="C4" s="1168"/>
      <c r="D4" s="1168"/>
      <c r="E4" s="1168"/>
      <c r="F4" s="1168"/>
      <c r="G4" s="750"/>
      <c r="H4" s="750"/>
      <c r="I4" s="750"/>
      <c r="J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Input!$M$16</f>
        <v>42597486</v>
      </c>
      <c r="E10" s="762">
        <f>Input!$N$16</f>
        <v>0</v>
      </c>
      <c r="F10" s="762">
        <f>Input!$O$16</f>
        <v>0</v>
      </c>
      <c r="G10" s="762">
        <f>Input!$P$16</f>
        <v>0</v>
      </c>
      <c r="H10" s="762">
        <f>Input!$Q$16</f>
        <v>0</v>
      </c>
      <c r="I10" s="762">
        <f>Input!$R$16</f>
        <v>0</v>
      </c>
      <c r="J10" s="762">
        <f>Input!$S$16</f>
        <v>0</v>
      </c>
      <c r="K10" s="762">
        <f>Input!$T$16</f>
        <v>0</v>
      </c>
      <c r="L10" s="762">
        <f>Input!$U$16</f>
        <v>0</v>
      </c>
      <c r="M10" s="723">
        <f t="shared" ref="M10:M15" si="0">D10+E10+F10+G10+H10+I10+J10+K10+L10</f>
        <v>42597486</v>
      </c>
      <c r="O10" s="763"/>
      <c r="P10" s="1200" t="s">
        <v>627</v>
      </c>
      <c r="Q10" s="320"/>
      <c r="R10" s="320"/>
      <c r="S10" s="320"/>
      <c r="V10" s="320"/>
      <c r="W10" s="320"/>
      <c r="X10" s="320"/>
      <c r="Y10" s="320"/>
      <c r="Z10" s="320"/>
      <c r="AA10" s="320"/>
      <c r="AB10" s="320"/>
    </row>
    <row r="11" spans="1:28" s="752" customFormat="1">
      <c r="A11" s="460">
        <v>10</v>
      </c>
      <c r="B11" s="752" t="s">
        <v>134</v>
      </c>
      <c r="D11" s="762">
        <f>Input!$V$16</f>
        <v>6345296</v>
      </c>
      <c r="E11" s="762">
        <f>Input!$W$16</f>
        <v>0</v>
      </c>
      <c r="F11" s="762">
        <f>Input!$X$16</f>
        <v>0</v>
      </c>
      <c r="G11" s="762">
        <f>Input!$Y$16</f>
        <v>531773</v>
      </c>
      <c r="H11" s="762">
        <f>Input!$Z$16</f>
        <v>0</v>
      </c>
      <c r="I11" s="762">
        <f>Input!$AA$16</f>
        <v>0</v>
      </c>
      <c r="J11" s="762">
        <f>Input!$AB$16</f>
        <v>0</v>
      </c>
      <c r="K11" s="762">
        <f>Input!$AC$16</f>
        <v>0</v>
      </c>
      <c r="L11" s="762">
        <f>Input!$AD$16</f>
        <v>0</v>
      </c>
      <c r="M11" s="723">
        <f t="shared" si="0"/>
        <v>6877069</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Input!$AN$16</f>
        <v>0</v>
      </c>
      <c r="E13" s="762">
        <f>Input!$AO$16</f>
        <v>0</v>
      </c>
      <c r="F13" s="762">
        <f>Input!$AP$16</f>
        <v>0</v>
      </c>
      <c r="G13" s="762">
        <f>Input!$AQ$16</f>
        <v>0</v>
      </c>
      <c r="H13" s="762">
        <f>Input!$AR$16</f>
        <v>0</v>
      </c>
      <c r="I13" s="762">
        <f>Input!$AS$16</f>
        <v>0</v>
      </c>
      <c r="J13" s="762">
        <f>Input!$AT$16</f>
        <v>0</v>
      </c>
      <c r="K13" s="762">
        <f>Input!$AU$16</f>
        <v>0</v>
      </c>
      <c r="L13" s="762">
        <f>Input!$AV$16</f>
        <v>0</v>
      </c>
      <c r="M13" s="723">
        <f t="shared" si="0"/>
        <v>0</v>
      </c>
      <c r="O13" s="764" t="str">
        <f>IF(P13&lt;&gt;M13,"Out of Balance","Balanced")</f>
        <v>Balanced</v>
      </c>
      <c r="P13" s="767">
        <f>IFERROR(VLOOKUP($B$2,AMTLU,6,FALSE),0)</f>
        <v>0</v>
      </c>
      <c r="Q13" s="320"/>
      <c r="R13" s="320"/>
      <c r="S13" s="320"/>
      <c r="V13" s="320"/>
      <c r="W13" s="320"/>
      <c r="X13" s="320"/>
      <c r="Y13" s="320"/>
      <c r="Z13" s="320"/>
      <c r="AA13" s="320"/>
      <c r="AB13" s="320"/>
    </row>
    <row r="14" spans="1:28" s="752" customFormat="1" ht="15">
      <c r="A14" s="460">
        <v>13</v>
      </c>
      <c r="B14" s="752" t="s">
        <v>135</v>
      </c>
      <c r="D14" s="762">
        <f>Input!$AW$16</f>
        <v>0</v>
      </c>
      <c r="E14" s="762">
        <f>Input!$AX$16</f>
        <v>0</v>
      </c>
      <c r="F14" s="762">
        <f>Input!$AY$16</f>
        <v>0</v>
      </c>
      <c r="G14" s="762">
        <f>Input!$AZ$16</f>
        <v>0</v>
      </c>
      <c r="H14" s="762">
        <f>Input!$BA$16</f>
        <v>0</v>
      </c>
      <c r="I14" s="762">
        <f>Input!$BB$16</f>
        <v>0</v>
      </c>
      <c r="J14" s="762">
        <f>Input!$BC$16</f>
        <v>0</v>
      </c>
      <c r="K14" s="762">
        <f>Input!$BD$16</f>
        <v>0</v>
      </c>
      <c r="L14" s="762">
        <f>Input!$BE$16</f>
        <v>0</v>
      </c>
      <c r="M14" s="723">
        <f t="shared" si="0"/>
        <v>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48942782</v>
      </c>
      <c r="E15" s="769">
        <f t="shared" ref="E15:L15" si="1">SUM(E10:E14)</f>
        <v>0</v>
      </c>
      <c r="F15" s="769">
        <f t="shared" si="1"/>
        <v>0</v>
      </c>
      <c r="G15" s="769">
        <f t="shared" si="1"/>
        <v>531773</v>
      </c>
      <c r="H15" s="769">
        <f t="shared" si="1"/>
        <v>0</v>
      </c>
      <c r="I15" s="769">
        <f t="shared" si="1"/>
        <v>0</v>
      </c>
      <c r="J15" s="769">
        <f t="shared" si="1"/>
        <v>0</v>
      </c>
      <c r="K15" s="769">
        <f t="shared" si="1"/>
        <v>0</v>
      </c>
      <c r="L15" s="769">
        <f t="shared" si="1"/>
        <v>0</v>
      </c>
      <c r="M15" s="769">
        <f t="shared" si="0"/>
        <v>49474555</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1550516</v>
      </c>
      <c r="E18" s="769">
        <f t="shared" si="2"/>
        <v>2414450</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3964966</v>
      </c>
      <c r="V18" s="723"/>
      <c r="X18" s="492"/>
    </row>
    <row r="19" spans="1:26" s="320" customFormat="1" ht="12.75" customHeight="1" thickTop="1" thickBot="1">
      <c r="A19" s="322"/>
      <c r="B19" s="320" t="s">
        <v>592</v>
      </c>
      <c r="D19" s="762">
        <f>Input!$BF$16</f>
        <v>-64059</v>
      </c>
      <c r="E19" s="762">
        <f>Input!$BG$16</f>
        <v>0</v>
      </c>
      <c r="F19" s="762">
        <f>Input!$BH$16</f>
        <v>0</v>
      </c>
      <c r="G19" s="762">
        <f>Input!$BI$16</f>
        <v>0</v>
      </c>
      <c r="H19" s="762">
        <f>Input!$BJ$16</f>
        <v>0</v>
      </c>
      <c r="I19" s="762">
        <f>Input!BK6</f>
        <v>0</v>
      </c>
      <c r="J19" s="762">
        <f>Input!$BL$16</f>
        <v>0</v>
      </c>
      <c r="K19" s="762">
        <f>Input!BM6</f>
        <v>0</v>
      </c>
      <c r="L19" s="762">
        <f>Input!BN6</f>
        <v>0</v>
      </c>
      <c r="M19" s="723">
        <f t="shared" si="3"/>
        <v>-64059</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Input!$BO$16</f>
        <v>0</v>
      </c>
      <c r="E20" s="762">
        <f>Input!$BP$16</f>
        <v>0</v>
      </c>
      <c r="F20" s="762">
        <f>Input!$BQ$16</f>
        <v>0</v>
      </c>
      <c r="G20" s="762">
        <f>Input!$BR$16</f>
        <v>0</v>
      </c>
      <c r="H20" s="762">
        <f>Input!$BS$16</f>
        <v>0</v>
      </c>
      <c r="I20" s="762">
        <f>Input!$BT$16</f>
        <v>0</v>
      </c>
      <c r="J20" s="762">
        <f>Input!BU6</f>
        <v>0</v>
      </c>
      <c r="K20" s="762">
        <f>Input!BV6</f>
        <v>0</v>
      </c>
      <c r="L20" s="762">
        <f>Input!$BW$16</f>
        <v>0</v>
      </c>
      <c r="M20" s="723">
        <f t="shared" si="3"/>
        <v>0</v>
      </c>
      <c r="O20" s="773" t="s">
        <v>631</v>
      </c>
      <c r="P20" s="774"/>
      <c r="Q20" s="774"/>
      <c r="R20" s="774"/>
      <c r="S20" s="775"/>
      <c r="U20" s="776" t="s">
        <v>252</v>
      </c>
      <c r="Y20" s="777"/>
    </row>
    <row r="21" spans="1:26" s="320" customFormat="1">
      <c r="A21" s="322"/>
      <c r="B21" s="320" t="s">
        <v>594</v>
      </c>
      <c r="D21" s="762">
        <f>Input!$BX$16</f>
        <v>0</v>
      </c>
      <c r="E21" s="762">
        <f>Input!$BY$16</f>
        <v>0</v>
      </c>
      <c r="F21" s="762">
        <f>Input!$BZ$16</f>
        <v>0</v>
      </c>
      <c r="G21" s="762">
        <f>Input!$CA$16</f>
        <v>0</v>
      </c>
      <c r="H21" s="762">
        <f>Input!$CB$16</f>
        <v>0</v>
      </c>
      <c r="I21" s="762">
        <f>Input!$CC$16</f>
        <v>0</v>
      </c>
      <c r="J21" s="762">
        <f>Input!$CD$16</f>
        <v>0</v>
      </c>
      <c r="K21" s="762">
        <f>Input!$CE$16</f>
        <v>0</v>
      </c>
      <c r="L21" s="762">
        <f>Input!$CF$16</f>
        <v>0</v>
      </c>
      <c r="M21" s="723">
        <f t="shared" si="3"/>
        <v>0</v>
      </c>
      <c r="O21" s="778"/>
      <c r="R21" s="492"/>
      <c r="S21" s="779"/>
      <c r="U21" s="780" t="s">
        <v>632</v>
      </c>
      <c r="X21" s="781">
        <f>M44</f>
        <v>4843685</v>
      </c>
      <c r="Y21" s="777"/>
      <c r="Z21" s="492"/>
    </row>
    <row r="22" spans="1:26" s="320" customFormat="1">
      <c r="A22" s="322"/>
      <c r="B22" s="320" t="s">
        <v>595</v>
      </c>
      <c r="D22" s="762">
        <f>Input!$CG$16</f>
        <v>0</v>
      </c>
      <c r="E22" s="762">
        <f>Input!$CH$16</f>
        <v>0</v>
      </c>
      <c r="F22" s="762">
        <f>Input!$CI$16</f>
        <v>0</v>
      </c>
      <c r="G22" s="762">
        <f>Input!$CJ$16</f>
        <v>0</v>
      </c>
      <c r="H22" s="762">
        <f>Input!$CK$16</f>
        <v>0</v>
      </c>
      <c r="I22" s="762">
        <f>Input!$CL$16</f>
        <v>0</v>
      </c>
      <c r="J22" s="762">
        <f>Input!$CM$16</f>
        <v>0</v>
      </c>
      <c r="K22" s="762">
        <f>Input!$CN$16</f>
        <v>0</v>
      </c>
      <c r="L22" s="762">
        <f>Input!$CO$16</f>
        <v>0</v>
      </c>
      <c r="M22" s="723">
        <f t="shared" si="3"/>
        <v>0</v>
      </c>
      <c r="N22" s="406"/>
      <c r="O22" s="778" t="s">
        <v>633</v>
      </c>
      <c r="Q22" s="492">
        <f>M23</f>
        <v>3900907</v>
      </c>
      <c r="S22" s="782"/>
      <c r="U22" s="780" t="s">
        <v>634</v>
      </c>
      <c r="X22" s="783">
        <f>R30*-1</f>
        <v>101235</v>
      </c>
      <c r="Y22" s="777"/>
    </row>
    <row r="23" spans="1:26" s="320" customFormat="1" ht="12.75" customHeight="1">
      <c r="A23" s="322"/>
      <c r="B23" s="772" t="s">
        <v>233</v>
      </c>
      <c r="C23" s="784"/>
      <c r="D23" s="785">
        <f>Input!$CP$16</f>
        <v>1486457</v>
      </c>
      <c r="E23" s="785">
        <f>Input!$CQ$16</f>
        <v>2414450</v>
      </c>
      <c r="F23" s="785">
        <f>Input!$CR$16</f>
        <v>0</v>
      </c>
      <c r="G23" s="785">
        <f>Input!$CS$16</f>
        <v>0</v>
      </c>
      <c r="H23" s="785">
        <f>Input!$CT$16</f>
        <v>0</v>
      </c>
      <c r="I23" s="785">
        <f>Input!$CU$16</f>
        <v>0</v>
      </c>
      <c r="J23" s="785">
        <f>Input!$CV$16</f>
        <v>0</v>
      </c>
      <c r="K23" s="785">
        <f>Input!$CW$16</f>
        <v>0</v>
      </c>
      <c r="L23" s="785">
        <f>Input!$CX$16</f>
        <v>0</v>
      </c>
      <c r="M23" s="786">
        <f t="shared" si="3"/>
        <v>3900907</v>
      </c>
      <c r="O23" s="778"/>
      <c r="Q23" s="492"/>
      <c r="S23" s="782"/>
      <c r="U23" s="776" t="s">
        <v>635</v>
      </c>
      <c r="Y23" s="777">
        <f>SUM(X21:X22)</f>
        <v>4944920</v>
      </c>
      <c r="Z23" s="492"/>
    </row>
    <row r="24" spans="1:26" s="320" customFormat="1" ht="12.75" customHeight="1">
      <c r="A24" s="322"/>
      <c r="B24" s="320" t="s">
        <v>596</v>
      </c>
      <c r="C24" s="751"/>
      <c r="D24" s="762">
        <f>Input!$CY$16</f>
        <v>0</v>
      </c>
      <c r="E24" s="762">
        <f>Input!$CZ$16</f>
        <v>0</v>
      </c>
      <c r="F24" s="762">
        <f>Input!$DA$16</f>
        <v>0</v>
      </c>
      <c r="G24" s="762">
        <f>Input!$DB$16</f>
        <v>0</v>
      </c>
      <c r="H24" s="762">
        <f>Input!$DC$16</f>
        <v>0</v>
      </c>
      <c r="I24" s="762">
        <f>Input!$DD$16</f>
        <v>0</v>
      </c>
      <c r="J24" s="762">
        <f>Input!$DE$16</f>
        <v>0</v>
      </c>
      <c r="K24" s="762">
        <f>Input!$DF$16</f>
        <v>0</v>
      </c>
      <c r="L24" s="762">
        <f>Input!$DG$16</f>
        <v>0</v>
      </c>
      <c r="M24" s="650">
        <f t="shared" si="3"/>
        <v>0</v>
      </c>
      <c r="O24" s="787" t="s">
        <v>636</v>
      </c>
      <c r="Q24" s="723"/>
      <c r="R24" s="723">
        <f>SUM(M24:M28)</f>
        <v>-97102</v>
      </c>
      <c r="S24" s="782"/>
      <c r="U24" s="776"/>
      <c r="Y24" s="777"/>
      <c r="Z24" s="492"/>
    </row>
    <row r="25" spans="1:26" s="320" customFormat="1" ht="12.75" customHeight="1">
      <c r="A25" s="322"/>
      <c r="B25" s="320" t="s">
        <v>597</v>
      </c>
      <c r="C25" s="751"/>
      <c r="D25" s="762">
        <f>Input!$DH$16</f>
        <v>0</v>
      </c>
      <c r="E25" s="762">
        <f>Input!$DI$16</f>
        <v>0</v>
      </c>
      <c r="F25" s="762">
        <f>Input!$DJ$16</f>
        <v>0</v>
      </c>
      <c r="G25" s="762">
        <f>Input!$DK$16</f>
        <v>0</v>
      </c>
      <c r="H25" s="762">
        <f>Input!$DL$16</f>
        <v>0</v>
      </c>
      <c r="I25" s="762">
        <f>Input!$DM$16</f>
        <v>0</v>
      </c>
      <c r="J25" s="762">
        <f>Input!$DN$16</f>
        <v>0</v>
      </c>
      <c r="K25" s="762">
        <f>Input!$DO$16</f>
        <v>0</v>
      </c>
      <c r="L25" s="762">
        <f>Input!$DP$16</f>
        <v>0</v>
      </c>
      <c r="M25" s="650">
        <f t="shared" si="3"/>
        <v>0</v>
      </c>
      <c r="O25" s="778"/>
      <c r="Q25" s="723"/>
      <c r="R25" s="723"/>
      <c r="S25" s="782"/>
      <c r="U25" s="788" t="s">
        <v>637</v>
      </c>
      <c r="V25" s="789"/>
      <c r="W25" s="789"/>
      <c r="X25" s="790">
        <f>(M26+M39)*-1</f>
        <v>77417</v>
      </c>
      <c r="Y25" s="777"/>
      <c r="Z25" s="492"/>
    </row>
    <row r="26" spans="1:26" s="320" customFormat="1" ht="12.75" customHeight="1">
      <c r="A26" s="322"/>
      <c r="B26" s="320" t="s">
        <v>598</v>
      </c>
      <c r="C26" s="751"/>
      <c r="D26" s="762">
        <f>Input!$DQ$16</f>
        <v>-77417</v>
      </c>
      <c r="E26" s="762">
        <f>Input!$DR$16</f>
        <v>0</v>
      </c>
      <c r="F26" s="762">
        <f>Input!$DS$16</f>
        <v>0</v>
      </c>
      <c r="G26" s="762">
        <f>Input!$DT$16</f>
        <v>0</v>
      </c>
      <c r="H26" s="762">
        <f>Input!$DU$16</f>
        <v>0</v>
      </c>
      <c r="I26" s="762">
        <f>Input!$DV$16</f>
        <v>0</v>
      </c>
      <c r="J26" s="762">
        <f>Input!$DW$16</f>
        <v>0</v>
      </c>
      <c r="K26" s="762">
        <f>Input!$DX$16</f>
        <v>0</v>
      </c>
      <c r="L26" s="762">
        <f>Input!$DY$16</f>
        <v>0</v>
      </c>
      <c r="M26" s="650">
        <f t="shared" si="3"/>
        <v>-77417</v>
      </c>
      <c r="O26" s="778" t="s">
        <v>638</v>
      </c>
      <c r="Q26" s="723">
        <f>M36</f>
        <v>1044013</v>
      </c>
      <c r="R26" s="791"/>
      <c r="S26" s="792"/>
      <c r="U26" s="776" t="s">
        <v>639</v>
      </c>
      <c r="X26" s="793">
        <f>(M21+M34)*-1</f>
        <v>0</v>
      </c>
      <c r="Y26" s="777"/>
      <c r="Z26" s="492"/>
    </row>
    <row r="27" spans="1:26" s="320" customFormat="1">
      <c r="A27" s="322"/>
      <c r="B27" s="320" t="s">
        <v>599</v>
      </c>
      <c r="C27" s="751"/>
      <c r="D27" s="762">
        <f>Input!$DZ$16</f>
        <v>0</v>
      </c>
      <c r="E27" s="762">
        <f>Input!$EA$16</f>
        <v>0</v>
      </c>
      <c r="F27" s="762">
        <f>Input!$EB$16</f>
        <v>0</v>
      </c>
      <c r="G27" s="762">
        <f>Input!$EC$16</f>
        <v>0</v>
      </c>
      <c r="H27" s="762">
        <f>Input!$ED$16</f>
        <v>0</v>
      </c>
      <c r="I27" s="762">
        <f>Input!$EE$16</f>
        <v>0</v>
      </c>
      <c r="J27" s="762">
        <f>Input!$EF$16</f>
        <v>0</v>
      </c>
      <c r="K27" s="762">
        <f>Input!$EG$16</f>
        <v>0</v>
      </c>
      <c r="L27" s="762">
        <f>Input!$EH$16</f>
        <v>0</v>
      </c>
      <c r="M27" s="650">
        <f t="shared" si="3"/>
        <v>0</v>
      </c>
      <c r="O27" s="778"/>
      <c r="Q27" s="723"/>
      <c r="R27" s="791"/>
      <c r="S27" s="792"/>
      <c r="U27" s="780" t="s">
        <v>640</v>
      </c>
      <c r="V27" s="314"/>
      <c r="W27" s="314"/>
      <c r="X27" s="794">
        <f>SUM(X25:X26)</f>
        <v>77417</v>
      </c>
      <c r="Y27" s="721"/>
    </row>
    <row r="28" spans="1:26" s="320" customFormat="1">
      <c r="A28" s="322"/>
      <c r="B28" s="320" t="s">
        <v>600</v>
      </c>
      <c r="C28" s="751"/>
      <c r="D28" s="762">
        <f>Input!$EI$16</f>
        <v>45760</v>
      </c>
      <c r="E28" s="762">
        <f>Input!$EJ$16</f>
        <v>-65445</v>
      </c>
      <c r="F28" s="762">
        <f>Input!$EK$16</f>
        <v>0</v>
      </c>
      <c r="G28" s="762">
        <f>Input!$EL$16</f>
        <v>0</v>
      </c>
      <c r="H28" s="762">
        <f>Input!$EM$16</f>
        <v>0</v>
      </c>
      <c r="I28" s="762">
        <f>Input!$EN$16</f>
        <v>0</v>
      </c>
      <c r="J28" s="762">
        <f>Input!$EO$16</f>
        <v>0</v>
      </c>
      <c r="K28" s="762">
        <f>Input!$EP$16</f>
        <v>0</v>
      </c>
      <c r="L28" s="762">
        <f>Input!$EQ$16</f>
        <v>0</v>
      </c>
      <c r="M28" s="650">
        <f t="shared" si="3"/>
        <v>-19685</v>
      </c>
      <c r="O28" s="787" t="s">
        <v>641</v>
      </c>
      <c r="Q28" s="723"/>
      <c r="R28" s="723">
        <f>SUM(M37:M41)</f>
        <v>-4133</v>
      </c>
      <c r="S28" s="782"/>
      <c r="U28" s="776" t="s">
        <v>642</v>
      </c>
      <c r="X28" s="777">
        <f>(M27+M40)*-1</f>
        <v>0</v>
      </c>
      <c r="Y28" s="721"/>
      <c r="Z28" s="492"/>
    </row>
    <row r="29" spans="1:26" s="320" customFormat="1" ht="12" customHeight="1">
      <c r="A29" s="322"/>
      <c r="B29" s="795" t="s">
        <v>165</v>
      </c>
      <c r="C29" s="784"/>
      <c r="D29" s="769">
        <f t="shared" ref="D29:L29" si="4">SUM(D23:D28)</f>
        <v>1454800</v>
      </c>
      <c r="E29" s="769">
        <f t="shared" si="4"/>
        <v>2349005</v>
      </c>
      <c r="F29" s="769">
        <f t="shared" si="4"/>
        <v>0</v>
      </c>
      <c r="G29" s="769">
        <f t="shared" si="4"/>
        <v>0</v>
      </c>
      <c r="H29" s="769">
        <f t="shared" si="4"/>
        <v>0</v>
      </c>
      <c r="I29" s="769">
        <f t="shared" si="4"/>
        <v>0</v>
      </c>
      <c r="J29" s="769">
        <f t="shared" si="4"/>
        <v>0</v>
      </c>
      <c r="K29" s="769">
        <f t="shared" si="4"/>
        <v>0</v>
      </c>
      <c r="L29" s="769">
        <f t="shared" si="4"/>
        <v>0</v>
      </c>
      <c r="M29" s="769">
        <f t="shared" si="3"/>
        <v>3803805</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4944920</v>
      </c>
      <c r="R30" s="798">
        <f>R28+R24</f>
        <v>-101235</v>
      </c>
      <c r="S30" s="799"/>
      <c r="U30" s="780" t="s">
        <v>645</v>
      </c>
      <c r="V30" s="314"/>
      <c r="W30" s="314"/>
      <c r="X30" s="794">
        <f>SUM(X28:X29)</f>
        <v>0</v>
      </c>
      <c r="Y30" s="721"/>
    </row>
    <row r="31" spans="1:26" s="320" customFormat="1" ht="12.75" customHeight="1">
      <c r="A31" s="322"/>
      <c r="B31" s="772" t="s">
        <v>238</v>
      </c>
      <c r="C31" s="772"/>
      <c r="D31" s="769">
        <f t="shared" ref="D31:L31" si="5">D36-SUM(D32:D35)</f>
        <v>13196</v>
      </c>
      <c r="E31" s="769">
        <f t="shared" si="5"/>
        <v>831798</v>
      </c>
      <c r="F31" s="769">
        <f t="shared" si="5"/>
        <v>199019</v>
      </c>
      <c r="G31" s="769">
        <f t="shared" si="5"/>
        <v>0</v>
      </c>
      <c r="H31" s="769">
        <f t="shared" si="5"/>
        <v>0</v>
      </c>
      <c r="I31" s="769">
        <f t="shared" si="5"/>
        <v>0</v>
      </c>
      <c r="J31" s="769">
        <f t="shared" si="5"/>
        <v>0</v>
      </c>
      <c r="K31" s="769">
        <f t="shared" si="5"/>
        <v>0</v>
      </c>
      <c r="L31" s="769">
        <f t="shared" si="5"/>
        <v>0</v>
      </c>
      <c r="M31" s="769">
        <f t="shared" ref="M31:M42" si="6">D31+E31+F31+G31+H31+I31+J31+K31+L31</f>
        <v>1044013</v>
      </c>
      <c r="O31" s="778" t="s">
        <v>646</v>
      </c>
      <c r="Q31" s="406"/>
      <c r="S31" s="782"/>
      <c r="U31" s="800" t="s">
        <v>647</v>
      </c>
      <c r="V31" s="801"/>
      <c r="W31" s="801"/>
      <c r="X31" s="802">
        <f>X27+X30</f>
        <v>77417</v>
      </c>
      <c r="Y31" s="777"/>
      <c r="Z31" s="492"/>
    </row>
    <row r="32" spans="1:26" s="320" customFormat="1" ht="12.75" customHeight="1">
      <c r="A32" s="322"/>
      <c r="B32" s="320" t="s">
        <v>592</v>
      </c>
      <c r="D32" s="762">
        <f>Input!$ER$16</f>
        <v>0</v>
      </c>
      <c r="E32" s="762">
        <f>Input!$ES$16</f>
        <v>0</v>
      </c>
      <c r="F32" s="762">
        <f>Input!$ET$16</f>
        <v>0</v>
      </c>
      <c r="G32" s="762">
        <f>Input!$EU$16</f>
        <v>0</v>
      </c>
      <c r="H32" s="762">
        <f>Input!$EV$16</f>
        <v>0</v>
      </c>
      <c r="I32" s="762">
        <f>Input!$EW$16</f>
        <v>0</v>
      </c>
      <c r="J32" s="762">
        <f>Input!$EX$16</f>
        <v>0</v>
      </c>
      <c r="K32" s="762">
        <f>Input!$EY$16</f>
        <v>0</v>
      </c>
      <c r="L32" s="762">
        <f>Input!$EZ$16</f>
        <v>0</v>
      </c>
      <c r="M32" s="650">
        <f t="shared" si="6"/>
        <v>0</v>
      </c>
      <c r="O32" s="803" t="s">
        <v>648</v>
      </c>
      <c r="P32" s="804"/>
      <c r="Q32" s="805">
        <f>Input!$TI$16</f>
        <v>4944920</v>
      </c>
      <c r="R32" s="804"/>
      <c r="S32" s="806"/>
      <c r="U32" s="776"/>
      <c r="Y32" s="777"/>
      <c r="Z32" s="492"/>
    </row>
    <row r="33" spans="1:28" s="320" customFormat="1">
      <c r="A33" s="322"/>
      <c r="B33" s="320" t="s">
        <v>593</v>
      </c>
      <c r="D33" s="762">
        <f>Input!$FA$16</f>
        <v>0</v>
      </c>
      <c r="E33" s="762">
        <f>Input!$FB$16</f>
        <v>0</v>
      </c>
      <c r="F33" s="762">
        <f>Input!$FC$16</f>
        <v>0</v>
      </c>
      <c r="G33" s="762">
        <f>Input!$FD$16</f>
        <v>0</v>
      </c>
      <c r="H33" s="762">
        <f>Input!$FE$16</f>
        <v>0</v>
      </c>
      <c r="I33" s="762">
        <f>Input!$FF$16</f>
        <v>0</v>
      </c>
      <c r="J33" s="762">
        <f>Input!$FG$16</f>
        <v>0</v>
      </c>
      <c r="K33" s="762">
        <f>Input!$FH$16</f>
        <v>0</v>
      </c>
      <c r="L33" s="762">
        <f>Input!$FI$16</f>
        <v>0</v>
      </c>
      <c r="M33" s="650">
        <f t="shared" si="6"/>
        <v>0</v>
      </c>
      <c r="O33" s="803"/>
      <c r="P33" s="804"/>
      <c r="Q33" s="723"/>
      <c r="R33" s="804"/>
      <c r="S33" s="806"/>
      <c r="U33" s="776" t="s">
        <v>649</v>
      </c>
      <c r="X33" s="492">
        <f>(M19+M32)*-1</f>
        <v>64059</v>
      </c>
      <c r="Y33" s="777"/>
    </row>
    <row r="34" spans="1:28" s="320" customFormat="1">
      <c r="A34" s="322"/>
      <c r="B34" s="320" t="s">
        <v>594</v>
      </c>
      <c r="D34" s="762">
        <f>Input!$FJ$16</f>
        <v>0</v>
      </c>
      <c r="E34" s="762">
        <f>Input!$FK$16</f>
        <v>0</v>
      </c>
      <c r="F34" s="762">
        <f>Input!$FL$16</f>
        <v>0</v>
      </c>
      <c r="G34" s="762">
        <f>Input!$FM$16</f>
        <v>0</v>
      </c>
      <c r="H34" s="762">
        <f>Input!$FN$16</f>
        <v>0</v>
      </c>
      <c r="I34" s="762">
        <f>Input!$FO$16</f>
        <v>0</v>
      </c>
      <c r="J34" s="762">
        <f>Input!$FP$16</f>
        <v>0</v>
      </c>
      <c r="K34" s="762">
        <f>Input!$FQ$16</f>
        <v>0</v>
      </c>
      <c r="L34" s="762">
        <f>Input!$FR$16</f>
        <v>0</v>
      </c>
      <c r="M34" s="650">
        <f t="shared" si="6"/>
        <v>0</v>
      </c>
      <c r="O34" s="807" t="s">
        <v>650</v>
      </c>
      <c r="P34" s="808"/>
      <c r="Q34" s="320" t="s">
        <v>651</v>
      </c>
      <c r="R34" s="805">
        <f>Input!$TJ$16</f>
        <v>-101235</v>
      </c>
      <c r="S34" s="809"/>
      <c r="U34" s="776" t="s">
        <v>652</v>
      </c>
      <c r="X34" s="739">
        <f>(M24+M37)*-1</f>
        <v>0</v>
      </c>
      <c r="Y34" s="777"/>
    </row>
    <row r="35" spans="1:28" s="320" customFormat="1" ht="13.8" thickBot="1">
      <c r="A35" s="322"/>
      <c r="B35" s="320" t="s">
        <v>595</v>
      </c>
      <c r="D35" s="762">
        <f>Input!$FS$16</f>
        <v>0</v>
      </c>
      <c r="E35" s="762">
        <f>Input!$FT$16</f>
        <v>0</v>
      </c>
      <c r="F35" s="762">
        <f>Input!$FU$16</f>
        <v>0</v>
      </c>
      <c r="G35" s="762">
        <f>Input!$FV$16</f>
        <v>0</v>
      </c>
      <c r="H35" s="762">
        <f>Input!$FW$16</f>
        <v>0</v>
      </c>
      <c r="I35" s="762">
        <f>Input!$FX$16</f>
        <v>0</v>
      </c>
      <c r="J35" s="762">
        <f>Input!$FY$16</f>
        <v>0</v>
      </c>
      <c r="K35" s="762">
        <f>Input!$FZ$16</f>
        <v>0</v>
      </c>
      <c r="L35" s="762">
        <f>Input!$GA$16</f>
        <v>0</v>
      </c>
      <c r="M35" s="650">
        <f t="shared" si="6"/>
        <v>0</v>
      </c>
      <c r="O35" s="810" t="s">
        <v>653</v>
      </c>
      <c r="P35" s="811"/>
      <c r="Q35" s="812">
        <f>Q30-Q32</f>
        <v>0</v>
      </c>
      <c r="R35" s="813">
        <f>R30-R34</f>
        <v>0</v>
      </c>
      <c r="S35" s="814"/>
      <c r="U35" s="780" t="s">
        <v>654</v>
      </c>
      <c r="V35" s="314"/>
      <c r="W35" s="314"/>
      <c r="X35" s="781">
        <f>SUM(X33:X34)</f>
        <v>64059</v>
      </c>
      <c r="Y35" s="721"/>
    </row>
    <row r="36" spans="1:28" s="320" customFormat="1" ht="13.8" thickTop="1">
      <c r="A36" s="322"/>
      <c r="B36" s="772" t="s">
        <v>239</v>
      </c>
      <c r="C36" s="784"/>
      <c r="D36" s="785">
        <f>Input!$GB$16</f>
        <v>13196</v>
      </c>
      <c r="E36" s="785">
        <f>Input!$GC$16</f>
        <v>831798</v>
      </c>
      <c r="F36" s="785">
        <f>Input!$GD$16</f>
        <v>199019</v>
      </c>
      <c r="G36" s="785">
        <f>Input!$GE$16</f>
        <v>0</v>
      </c>
      <c r="H36" s="785">
        <f>Input!$GF$16</f>
        <v>0</v>
      </c>
      <c r="I36" s="785">
        <f>Input!$GG$16</f>
        <v>0</v>
      </c>
      <c r="J36" s="785">
        <f>Input!$GH$16</f>
        <v>0</v>
      </c>
      <c r="K36" s="785">
        <f>Input!$GI$16</f>
        <v>0</v>
      </c>
      <c r="L36" s="785">
        <f>Input!$GJ$16</f>
        <v>0</v>
      </c>
      <c r="M36" s="786">
        <f t="shared" si="6"/>
        <v>1044013</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Input!$GK$16</f>
        <v>0</v>
      </c>
      <c r="E37" s="762">
        <f>Input!$GL$16</f>
        <v>0</v>
      </c>
      <c r="F37" s="762">
        <f>Input!$GM$16</f>
        <v>0</v>
      </c>
      <c r="G37" s="762">
        <f>Input!$GN$16</f>
        <v>0</v>
      </c>
      <c r="H37" s="762">
        <f>Input!$GO$16</f>
        <v>0</v>
      </c>
      <c r="I37" s="762">
        <f>Input!$GP$16</f>
        <v>0</v>
      </c>
      <c r="J37" s="762">
        <f>Input!$GQ$16</f>
        <v>0</v>
      </c>
      <c r="K37" s="762">
        <f>Input!$GR$16</f>
        <v>0</v>
      </c>
      <c r="L37" s="762">
        <f>Input!$GS$16</f>
        <v>0</v>
      </c>
      <c r="M37" s="650">
        <f t="shared" si="6"/>
        <v>0</v>
      </c>
      <c r="U37" s="776" t="s">
        <v>656</v>
      </c>
      <c r="X37" s="739">
        <f>(M25+M38)*-1</f>
        <v>0</v>
      </c>
      <c r="Y37" s="721"/>
    </row>
    <row r="38" spans="1:28" s="320" customFormat="1">
      <c r="A38" s="322"/>
      <c r="B38" s="320" t="s">
        <v>597</v>
      </c>
      <c r="C38" s="751"/>
      <c r="D38" s="762">
        <f>Input!$GT$16</f>
        <v>0</v>
      </c>
      <c r="E38" s="762">
        <f>Input!$GU$16</f>
        <v>0</v>
      </c>
      <c r="F38" s="762">
        <f>Input!$GV$16</f>
        <v>0</v>
      </c>
      <c r="G38" s="762">
        <f>Input!$GW$16</f>
        <v>0</v>
      </c>
      <c r="H38" s="762">
        <f>Input!$GX$16</f>
        <v>0</v>
      </c>
      <c r="I38" s="762">
        <f>Input!$GY$16</f>
        <v>0</v>
      </c>
      <c r="J38" s="762">
        <f>Input!$GZ$16</f>
        <v>0</v>
      </c>
      <c r="K38" s="762">
        <f>Input!$HA$16</f>
        <v>0</v>
      </c>
      <c r="L38" s="762">
        <f>Input!$HB$16</f>
        <v>0</v>
      </c>
      <c r="M38" s="650">
        <f t="shared" si="6"/>
        <v>0</v>
      </c>
      <c r="U38" s="780" t="s">
        <v>657</v>
      </c>
      <c r="V38" s="314"/>
      <c r="W38" s="314"/>
      <c r="X38" s="781">
        <f>SUM(X36:X37)</f>
        <v>0</v>
      </c>
      <c r="Y38" s="777"/>
    </row>
    <row r="39" spans="1:28" s="320" customFormat="1">
      <c r="A39" s="322"/>
      <c r="B39" s="320" t="s">
        <v>598</v>
      </c>
      <c r="C39" s="751"/>
      <c r="D39" s="762">
        <f>Input!$HC$16</f>
        <v>0</v>
      </c>
      <c r="E39" s="762">
        <f>Input!$HD$16</f>
        <v>0</v>
      </c>
      <c r="F39" s="762">
        <f>Input!$HE$16</f>
        <v>0</v>
      </c>
      <c r="G39" s="762">
        <f>Input!$HF$16</f>
        <v>0</v>
      </c>
      <c r="H39" s="762">
        <f>Input!$HG$16</f>
        <v>0</v>
      </c>
      <c r="I39" s="762">
        <f>Input!$HH$16</f>
        <v>0</v>
      </c>
      <c r="J39" s="762">
        <f>Input!$HI$16</f>
        <v>0</v>
      </c>
      <c r="K39" s="762">
        <f>Input!$HJ$16</f>
        <v>0</v>
      </c>
      <c r="L39" s="762">
        <f>Input!$HK$16</f>
        <v>0</v>
      </c>
      <c r="M39" s="650">
        <f t="shared" si="6"/>
        <v>0</v>
      </c>
      <c r="U39" s="776" t="s">
        <v>658</v>
      </c>
      <c r="X39" s="492"/>
      <c r="Y39" s="777">
        <f>X38+X35</f>
        <v>64059</v>
      </c>
    </row>
    <row r="40" spans="1:28" s="320" customFormat="1">
      <c r="A40" s="322"/>
      <c r="B40" s="320" t="s">
        <v>599</v>
      </c>
      <c r="C40" s="751"/>
      <c r="D40" s="762">
        <f>Input!$HL$16</f>
        <v>0</v>
      </c>
      <c r="E40" s="762">
        <f>Input!$HM$16</f>
        <v>0</v>
      </c>
      <c r="F40" s="762">
        <f>Input!$HN$16</f>
        <v>0</v>
      </c>
      <c r="G40" s="762">
        <f>Input!$HO$16</f>
        <v>0</v>
      </c>
      <c r="H40" s="762">
        <f>Input!$HP$16</f>
        <v>0</v>
      </c>
      <c r="I40" s="762">
        <f>Input!$HQ$16</f>
        <v>0</v>
      </c>
      <c r="J40" s="762">
        <f>Input!$HR$16</f>
        <v>0</v>
      </c>
      <c r="K40" s="762">
        <f>Input!$HS$16</f>
        <v>0</v>
      </c>
      <c r="L40" s="762">
        <f>Input!$HT$16</f>
        <v>0</v>
      </c>
      <c r="M40" s="650">
        <f t="shared" si="6"/>
        <v>0</v>
      </c>
      <c r="U40" s="776"/>
      <c r="Y40" s="721"/>
    </row>
    <row r="41" spans="1:28" s="320" customFormat="1">
      <c r="A41" s="322"/>
      <c r="B41" s="320" t="s">
        <v>600</v>
      </c>
      <c r="C41" s="751"/>
      <c r="D41" s="762">
        <f>Input!$HU$16</f>
        <v>0</v>
      </c>
      <c r="E41" s="762">
        <f>Input!$HV$16</f>
        <v>0</v>
      </c>
      <c r="F41" s="762">
        <f>Input!$HW$16</f>
        <v>-4133</v>
      </c>
      <c r="G41" s="762">
        <f>Input!$HX$16</f>
        <v>0</v>
      </c>
      <c r="H41" s="762">
        <f>Input!$HY$16</f>
        <v>0</v>
      </c>
      <c r="I41" s="762">
        <f>Input!$HZ$16</f>
        <v>0</v>
      </c>
      <c r="J41" s="762">
        <f>Input!$IA$16</f>
        <v>0</v>
      </c>
      <c r="K41" s="762">
        <f>Input!$IB$16</f>
        <v>0</v>
      </c>
      <c r="L41" s="762">
        <f>Input!$IC$16</f>
        <v>0</v>
      </c>
      <c r="M41" s="650">
        <f t="shared" si="6"/>
        <v>-4133</v>
      </c>
      <c r="U41" s="776" t="s">
        <v>639</v>
      </c>
      <c r="X41" s="492">
        <f>(M21+M34)*-1</f>
        <v>0</v>
      </c>
      <c r="Y41" s="777"/>
    </row>
    <row r="42" spans="1:28" s="320" customFormat="1">
      <c r="A42" s="322"/>
      <c r="B42" s="795" t="s">
        <v>166</v>
      </c>
      <c r="C42" s="784"/>
      <c r="D42" s="769">
        <f t="shared" ref="D42:L42" si="7">SUM(D36:D41)</f>
        <v>13196</v>
      </c>
      <c r="E42" s="769">
        <f t="shared" si="7"/>
        <v>831798</v>
      </c>
      <c r="F42" s="769">
        <f t="shared" si="7"/>
        <v>194886</v>
      </c>
      <c r="G42" s="769">
        <f t="shared" si="7"/>
        <v>0</v>
      </c>
      <c r="H42" s="769">
        <f t="shared" si="7"/>
        <v>0</v>
      </c>
      <c r="I42" s="769">
        <f t="shared" si="7"/>
        <v>0</v>
      </c>
      <c r="J42" s="769">
        <f t="shared" si="7"/>
        <v>0</v>
      </c>
      <c r="K42" s="769">
        <f t="shared" si="7"/>
        <v>0</v>
      </c>
      <c r="L42" s="769">
        <f t="shared" si="7"/>
        <v>0</v>
      </c>
      <c r="M42" s="769">
        <f t="shared" si="6"/>
        <v>1039880</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1467996</v>
      </c>
      <c r="E44" s="769">
        <f t="shared" si="8"/>
        <v>3180803</v>
      </c>
      <c r="F44" s="769">
        <f t="shared" si="8"/>
        <v>194886</v>
      </c>
      <c r="G44" s="769">
        <f t="shared" si="8"/>
        <v>0</v>
      </c>
      <c r="H44" s="769">
        <f t="shared" si="8"/>
        <v>0</v>
      </c>
      <c r="I44" s="769">
        <f t="shared" si="8"/>
        <v>0</v>
      </c>
      <c r="J44" s="769">
        <f t="shared" si="8"/>
        <v>0</v>
      </c>
      <c r="K44" s="769">
        <f t="shared" si="8"/>
        <v>0</v>
      </c>
      <c r="L44" s="769">
        <f t="shared" si="8"/>
        <v>0</v>
      </c>
      <c r="M44" s="769">
        <f>D44+E44+F44+G44+H44+I44+J44+K44+L44</f>
        <v>4843685</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Input!$ID$16</f>
        <v>0</v>
      </c>
      <c r="E47" s="815">
        <f>Input!$IE$16</f>
        <v>0</v>
      </c>
      <c r="F47" s="815">
        <f>Input!$IF$16</f>
        <v>0</v>
      </c>
      <c r="G47" s="815">
        <f>Input!$IG$16</f>
        <v>7981482</v>
      </c>
      <c r="H47" s="815">
        <f>Input!$IH$16</f>
        <v>0</v>
      </c>
      <c r="I47" s="815">
        <f>Input!$II$16</f>
        <v>0</v>
      </c>
      <c r="J47" s="815">
        <f>Input!$IJ$16</f>
        <v>0</v>
      </c>
      <c r="K47" s="815">
        <f>Input!$IK$16</f>
        <v>0</v>
      </c>
      <c r="L47" s="815">
        <f>Input!$IL$16</f>
        <v>0</v>
      </c>
      <c r="M47" s="769">
        <f>D47+E47+F47+G47+H47+I47+J47+K47+L47</f>
        <v>7981482</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5008979</v>
      </c>
      <c r="Z49" s="320"/>
      <c r="AA49" s="320"/>
      <c r="AB49" s="320"/>
    </row>
    <row r="50" spans="1:28" s="752" customFormat="1">
      <c r="A50" s="460">
        <v>33</v>
      </c>
      <c r="B50" s="768" t="s">
        <v>200</v>
      </c>
      <c r="C50" s="768"/>
      <c r="D50" s="815">
        <f>Input!$IM$16</f>
        <v>0</v>
      </c>
      <c r="E50" s="815">
        <f>Input!$IN$16</f>
        <v>19204472</v>
      </c>
      <c r="F50" s="815">
        <f>Input!$IO$16</f>
        <v>0</v>
      </c>
      <c r="G50" s="815">
        <f>Input!$IP$16</f>
        <v>0</v>
      </c>
      <c r="H50" s="815">
        <f>Input!$IQ$16</f>
        <v>0</v>
      </c>
      <c r="I50" s="815">
        <f>Input!$IR$16</f>
        <v>0</v>
      </c>
      <c r="J50" s="815">
        <f>Input!$IS$16</f>
        <v>0</v>
      </c>
      <c r="K50" s="815">
        <f>Input!$IT$16</f>
        <v>0</v>
      </c>
      <c r="L50" s="815">
        <f>Input!$IU$16</f>
        <v>0</v>
      </c>
      <c r="M50" s="769">
        <f>D50+E50+F50+G50+H50+I50+J50+K50+L50</f>
        <v>19204472</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Input!$IV$16</f>
        <v>0</v>
      </c>
      <c r="E53" s="815">
        <f>Input!$IW$16</f>
        <v>0</v>
      </c>
      <c r="F53" s="815">
        <f>Input!$IX$16</f>
        <v>0</v>
      </c>
      <c r="G53" s="815">
        <f>Input!$IY$16</f>
        <v>0</v>
      </c>
      <c r="H53" s="815">
        <f>Input!$IZ$16</f>
        <v>0</v>
      </c>
      <c r="I53" s="815">
        <f>Input!$JA$16</f>
        <v>0</v>
      </c>
      <c r="J53" s="815">
        <f>Input!$JB$16</f>
        <v>0</v>
      </c>
      <c r="K53" s="815">
        <f>Input!$JC$16</f>
        <v>0</v>
      </c>
      <c r="L53" s="815">
        <f>Input!$JD$16</f>
        <v>0</v>
      </c>
      <c r="M53" s="769">
        <f>D53+E53+F53+G53+H53+I53+J53+K53+L53</f>
        <v>0</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Input!$JE$16</f>
        <v>0</v>
      </c>
      <c r="E56" s="762">
        <f>Input!$JF$16</f>
        <v>1162353</v>
      </c>
      <c r="F56" s="762">
        <f>Input!$JG$16</f>
        <v>0</v>
      </c>
      <c r="G56" s="762">
        <f>Input!$JH$16</f>
        <v>224457</v>
      </c>
      <c r="H56" s="762">
        <f>Input!$JI$16</f>
        <v>0</v>
      </c>
      <c r="I56" s="762">
        <f>Input!$JJ$16</f>
        <v>1048</v>
      </c>
      <c r="J56" s="762">
        <f>Input!$JK$16</f>
        <v>0</v>
      </c>
      <c r="K56" s="762">
        <f>Input!$JL$16</f>
        <v>0</v>
      </c>
      <c r="L56" s="762">
        <f>Input!$JM$16</f>
        <v>0</v>
      </c>
      <c r="M56" s="723">
        <f t="shared" ref="M56:M62" si="9">D56+E56+F56+G56+H56+I56+J56+K56+L56</f>
        <v>1387858</v>
      </c>
      <c r="O56" s="320"/>
      <c r="P56" s="320"/>
      <c r="Q56" s="320"/>
      <c r="R56" s="320"/>
      <c r="S56" s="320"/>
      <c r="T56" s="320"/>
      <c r="U56" s="320"/>
      <c r="V56" s="320"/>
      <c r="W56" s="320"/>
      <c r="X56" s="322"/>
      <c r="Y56" s="320"/>
      <c r="Z56" s="320"/>
      <c r="AA56" s="320"/>
      <c r="AB56" s="320"/>
    </row>
    <row r="57" spans="1:28" s="752" customFormat="1">
      <c r="A57" s="460">
        <v>40</v>
      </c>
      <c r="B57" s="752" t="s">
        <v>173</v>
      </c>
      <c r="D57" s="762">
        <f>Input!$JN$16</f>
        <v>0</v>
      </c>
      <c r="E57" s="762">
        <f>Input!$JO$16</f>
        <v>32007401</v>
      </c>
      <c r="F57" s="762">
        <f>Input!$JP$16</f>
        <v>0</v>
      </c>
      <c r="G57" s="762">
        <f>Input!$JQ$16</f>
        <v>0</v>
      </c>
      <c r="H57" s="762">
        <f>Input!$JR$16</f>
        <v>0</v>
      </c>
      <c r="I57" s="762">
        <f>Input!$JS$16</f>
        <v>0</v>
      </c>
      <c r="J57" s="762">
        <f>Input!$JT$16</f>
        <v>0</v>
      </c>
      <c r="K57" s="762">
        <f>Input!$JU$16</f>
        <v>0</v>
      </c>
      <c r="L57" s="762">
        <f>Input!$JV$16</f>
        <v>0</v>
      </c>
      <c r="M57" s="723">
        <f t="shared" si="9"/>
        <v>32007401</v>
      </c>
      <c r="O57" s="320"/>
      <c r="P57" s="819"/>
      <c r="Q57" s="320"/>
      <c r="R57" s="320"/>
      <c r="S57" s="320"/>
      <c r="T57" s="320"/>
      <c r="U57" s="320"/>
      <c r="V57" s="320"/>
      <c r="W57" s="320"/>
      <c r="X57" s="320"/>
      <c r="Y57" s="320"/>
      <c r="Z57" s="320"/>
      <c r="AA57" s="320"/>
      <c r="AB57" s="320"/>
    </row>
    <row r="58" spans="1:28" s="752" customFormat="1">
      <c r="A58" s="460">
        <v>41</v>
      </c>
      <c r="B58" s="752" t="s">
        <v>174</v>
      </c>
      <c r="D58" s="762">
        <f>Input!$JW$16</f>
        <v>0</v>
      </c>
      <c r="E58" s="762">
        <f>Input!$JX$16</f>
        <v>47230</v>
      </c>
      <c r="F58" s="762">
        <f>Input!$JY$16</f>
        <v>0</v>
      </c>
      <c r="G58" s="762">
        <f>Input!$JZ$16</f>
        <v>9895594</v>
      </c>
      <c r="H58" s="762">
        <f>Input!$KA$16</f>
        <v>0</v>
      </c>
      <c r="I58" s="762">
        <f>Input!$KB$16</f>
        <v>0</v>
      </c>
      <c r="J58" s="762">
        <f>Input!$KC$16</f>
        <v>0</v>
      </c>
      <c r="K58" s="762">
        <f>Input!$KD$16</f>
        <v>0</v>
      </c>
      <c r="L58" s="762">
        <f>Input!$KE$16</f>
        <v>0</v>
      </c>
      <c r="M58" s="723">
        <f t="shared" si="9"/>
        <v>9942824</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Input!$KF$16</f>
        <v>0</v>
      </c>
      <c r="E59" s="762">
        <f>Input!$KG$16</f>
        <v>60067</v>
      </c>
      <c r="F59" s="762">
        <f>Input!$KH$16</f>
        <v>0</v>
      </c>
      <c r="G59" s="762">
        <f>Input!$KI$16</f>
        <v>1464636</v>
      </c>
      <c r="H59" s="762">
        <f>Input!$KJ$16</f>
        <v>0</v>
      </c>
      <c r="I59" s="762">
        <f>Input!$KK$16</f>
        <v>0</v>
      </c>
      <c r="J59" s="762">
        <f>Input!$KL$16</f>
        <v>0</v>
      </c>
      <c r="K59" s="762">
        <f>Input!$KM$16</f>
        <v>0</v>
      </c>
      <c r="L59" s="762">
        <f>Input!$KN$16</f>
        <v>0</v>
      </c>
      <c r="M59" s="723">
        <f t="shared" si="9"/>
        <v>1524703</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Input!$KO$16</f>
        <v>0</v>
      </c>
      <c r="E60" s="762">
        <f>Input!$KP$16</f>
        <v>0</v>
      </c>
      <c r="F60" s="762">
        <f>Input!$KQ$16</f>
        <v>108437</v>
      </c>
      <c r="G60" s="762">
        <f>Input!$KR$16</f>
        <v>0</v>
      </c>
      <c r="H60" s="762">
        <f>Input!$KS$16</f>
        <v>0</v>
      </c>
      <c r="I60" s="762">
        <f>Input!$KT$16</f>
        <v>0</v>
      </c>
      <c r="J60" s="762">
        <f>Input!$KU$16</f>
        <v>0</v>
      </c>
      <c r="K60" s="762">
        <f>Input!$KV$16</f>
        <v>0</v>
      </c>
      <c r="L60" s="762">
        <f>Input!$KW$16</f>
        <v>0</v>
      </c>
      <c r="M60" s="723">
        <f t="shared" si="9"/>
        <v>108437</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Input!$KX$16</f>
        <v>49278</v>
      </c>
      <c r="E61" s="762">
        <f>Input!$KY$16</f>
        <v>15853092</v>
      </c>
      <c r="F61" s="762">
        <f>Input!$KZ$16</f>
        <v>0</v>
      </c>
      <c r="G61" s="762">
        <f>Input!$LA$16</f>
        <v>0</v>
      </c>
      <c r="H61" s="762">
        <f>Input!$LB$16</f>
        <v>0</v>
      </c>
      <c r="I61" s="762">
        <f>Input!$LC$16</f>
        <v>0</v>
      </c>
      <c r="J61" s="762">
        <f>Input!$LD$16</f>
        <v>0</v>
      </c>
      <c r="K61" s="762">
        <f>Input!$LE$16</f>
        <v>0</v>
      </c>
      <c r="L61" s="762">
        <f>Input!$LF$16</f>
        <v>0</v>
      </c>
      <c r="M61" s="723">
        <f t="shared" si="9"/>
        <v>15902370</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49278</v>
      </c>
      <c r="E62" s="769">
        <f t="shared" si="10"/>
        <v>49130143</v>
      </c>
      <c r="F62" s="769">
        <f t="shared" si="10"/>
        <v>108437</v>
      </c>
      <c r="G62" s="769">
        <f t="shared" si="10"/>
        <v>11584687</v>
      </c>
      <c r="H62" s="769">
        <f t="shared" si="10"/>
        <v>0</v>
      </c>
      <c r="I62" s="769">
        <f t="shared" si="10"/>
        <v>1048</v>
      </c>
      <c r="J62" s="769">
        <f t="shared" si="10"/>
        <v>0</v>
      </c>
      <c r="K62" s="769">
        <f t="shared" si="10"/>
        <v>0</v>
      </c>
      <c r="L62" s="769">
        <f t="shared" si="10"/>
        <v>0</v>
      </c>
      <c r="M62" s="769">
        <f t="shared" si="9"/>
        <v>60873593</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50460056</v>
      </c>
      <c r="E63" s="769">
        <f t="shared" ref="E63:M63" si="11">E15+E44+E47+E50+E53+E62</f>
        <v>71515418</v>
      </c>
      <c r="F63" s="769">
        <f t="shared" si="11"/>
        <v>303323</v>
      </c>
      <c r="G63" s="769">
        <f t="shared" si="11"/>
        <v>20097942</v>
      </c>
      <c r="H63" s="769">
        <f t="shared" si="11"/>
        <v>0</v>
      </c>
      <c r="I63" s="769">
        <f t="shared" si="11"/>
        <v>1048</v>
      </c>
      <c r="J63" s="769">
        <f t="shared" si="11"/>
        <v>0</v>
      </c>
      <c r="K63" s="769">
        <f t="shared" si="11"/>
        <v>0</v>
      </c>
      <c r="L63" s="769">
        <f t="shared" si="11"/>
        <v>0</v>
      </c>
      <c r="M63" s="769">
        <f t="shared" si="11"/>
        <v>142377787</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Input!$LG$16</f>
        <v>25899574</v>
      </c>
      <c r="E65" s="762">
        <f>Input!$LH$16</f>
        <v>18645037</v>
      </c>
      <c r="F65" s="762">
        <f>Input!$LI$16</f>
        <v>0</v>
      </c>
      <c r="G65" s="762">
        <f>Input!$LJ$16</f>
        <v>794227</v>
      </c>
      <c r="H65" s="762">
        <f>Input!$LK$16</f>
        <v>0</v>
      </c>
      <c r="I65" s="762">
        <f>Input!$LL$16</f>
        <v>0</v>
      </c>
      <c r="J65" s="762">
        <f>Input!$LM$16</f>
        <v>0</v>
      </c>
      <c r="K65" s="762">
        <f>Input!$LN$16</f>
        <v>0</v>
      </c>
      <c r="L65" s="762">
        <f>Input!$LO$16</f>
        <v>0</v>
      </c>
      <c r="M65" s="723">
        <f t="shared" ref="M65:M77" si="12">D65+E65+F65+G65+H65+I65+J65+K65+L65</f>
        <v>45338838</v>
      </c>
      <c r="O65" s="824">
        <f>D65+E65+G65</f>
        <v>45338838</v>
      </c>
      <c r="P65" s="825">
        <f>Input!$TK$16</f>
        <v>18218</v>
      </c>
      <c r="Q65" s="825">
        <f>Input!$TU$16</f>
        <v>0</v>
      </c>
      <c r="R65" s="825">
        <f>Input!$UD$16</f>
        <v>0</v>
      </c>
      <c r="S65" s="826">
        <f>O65+P65-Q65-R65</f>
        <v>45357056</v>
      </c>
      <c r="T65" s="492"/>
      <c r="U65" s="827">
        <f>D65+E65+F65+G65+J65</f>
        <v>45338838</v>
      </c>
      <c r="V65" s="492"/>
      <c r="W65" s="828" t="s">
        <v>92</v>
      </c>
      <c r="X65" s="829">
        <f>Input!$UO$16</f>
        <v>45338838</v>
      </c>
      <c r="Y65" s="830">
        <f t="shared" ref="Y65:Y74" si="13">X65-M65</f>
        <v>0</v>
      </c>
      <c r="Z65" s="492"/>
      <c r="AA65" s="492"/>
      <c r="AB65" s="492"/>
    </row>
    <row r="66" spans="1:28" s="752" customFormat="1" ht="14.4" thickTop="1" thickBot="1">
      <c r="A66" s="460">
        <v>49</v>
      </c>
      <c r="B66" s="823" t="s">
        <v>179</v>
      </c>
      <c r="C66" s="823"/>
      <c r="D66" s="762">
        <f>Input!$LP$16</f>
        <v>3714246</v>
      </c>
      <c r="E66" s="762">
        <f>Input!$LQ$16</f>
        <v>1880099</v>
      </c>
      <c r="F66" s="762">
        <f>Input!$LR$16</f>
        <v>0</v>
      </c>
      <c r="G66" s="762">
        <f>Input!$LS$16</f>
        <v>9144407</v>
      </c>
      <c r="H66" s="762">
        <f>Input!$LT$16</f>
        <v>0</v>
      </c>
      <c r="I66" s="762">
        <f>Input!$LU$16</f>
        <v>0</v>
      </c>
      <c r="J66" s="762">
        <f>Input!$LV$16</f>
        <v>0</v>
      </c>
      <c r="K66" s="762">
        <f>Input!$LW$16</f>
        <v>0</v>
      </c>
      <c r="L66" s="762">
        <f>Input!$LX$16</f>
        <v>0</v>
      </c>
      <c r="M66" s="723">
        <f t="shared" si="12"/>
        <v>14738752</v>
      </c>
      <c r="O66" s="831">
        <f t="shared" ref="O66:O72" si="14">D66+E66+G66</f>
        <v>14738752</v>
      </c>
      <c r="P66" s="832">
        <f>Input!$TL$16</f>
        <v>4885107</v>
      </c>
      <c r="Q66" s="832">
        <f>Input!$TV$16</f>
        <v>388336</v>
      </c>
      <c r="R66" s="832">
        <f>Input!$UE$16</f>
        <v>0</v>
      </c>
      <c r="S66" s="833">
        <f>O66+P66-Q66-R66</f>
        <v>19235523</v>
      </c>
      <c r="T66" s="492"/>
      <c r="U66" s="834">
        <f t="shared" ref="U66:U76" si="15">D66+E66+F66+G66+J66</f>
        <v>14738752</v>
      </c>
      <c r="V66" s="492"/>
      <c r="W66" s="828" t="s">
        <v>179</v>
      </c>
      <c r="X66" s="835">
        <f>Input!$UP$16</f>
        <v>14738752</v>
      </c>
      <c r="Y66" s="836">
        <f t="shared" si="13"/>
        <v>0</v>
      </c>
      <c r="Z66" s="723"/>
      <c r="AA66" s="723"/>
      <c r="AB66" s="723"/>
    </row>
    <row r="67" spans="1:28" s="752" customFormat="1" ht="13.8" thickTop="1">
      <c r="A67" s="460">
        <v>50</v>
      </c>
      <c r="B67" s="823" t="s">
        <v>180</v>
      </c>
      <c r="C67" s="823"/>
      <c r="D67" s="762">
        <f>Input!$LY$16</f>
        <v>359155</v>
      </c>
      <c r="E67" s="762">
        <f>Input!$LZ$16</f>
        <v>43526</v>
      </c>
      <c r="F67" s="762">
        <f>Input!$MA$16</f>
        <v>0</v>
      </c>
      <c r="G67" s="762">
        <f>Input!$MB$16</f>
        <v>3034672</v>
      </c>
      <c r="H67" s="762">
        <f>Input!$MC$16</f>
        <v>0</v>
      </c>
      <c r="I67" s="762">
        <f>Input!$MD$16</f>
        <v>0</v>
      </c>
      <c r="J67" s="762">
        <f>Input!$ME$16</f>
        <v>0</v>
      </c>
      <c r="K67" s="762">
        <f>Input!$MF$16</f>
        <v>0</v>
      </c>
      <c r="L67" s="762">
        <f>Input!$MG$16</f>
        <v>0</v>
      </c>
      <c r="M67" s="723">
        <f t="shared" si="12"/>
        <v>3437353</v>
      </c>
      <c r="O67" s="831">
        <f t="shared" si="14"/>
        <v>3437353</v>
      </c>
      <c r="P67" s="832">
        <f>Input!$TM$16</f>
        <v>104393</v>
      </c>
      <c r="Q67" s="832">
        <f>Input!$TW$16</f>
        <v>0</v>
      </c>
      <c r="R67" s="832">
        <f>Input!$UF$16</f>
        <v>0</v>
      </c>
      <c r="S67" s="837">
        <f t="shared" ref="S67:S72" si="16">O67+P67-Q67-R67</f>
        <v>3541746</v>
      </c>
      <c r="T67" s="723"/>
      <c r="U67" s="834">
        <f t="shared" si="15"/>
        <v>3437353</v>
      </c>
      <c r="V67" s="723"/>
      <c r="W67" s="828" t="s">
        <v>180</v>
      </c>
      <c r="X67" s="835">
        <f>Input!$UQ$16</f>
        <v>3437353</v>
      </c>
      <c r="Y67" s="836">
        <f t="shared" si="13"/>
        <v>0</v>
      </c>
      <c r="Z67" s="723"/>
      <c r="AA67" s="723"/>
      <c r="AB67" s="723"/>
    </row>
    <row r="68" spans="1:28" s="752" customFormat="1">
      <c r="A68" s="460">
        <v>51</v>
      </c>
      <c r="B68" s="823" t="s">
        <v>164</v>
      </c>
      <c r="C68" s="823"/>
      <c r="D68" s="762">
        <f>Input!$MH$16</f>
        <v>10592797</v>
      </c>
      <c r="E68" s="762">
        <f>Input!$MI$16</f>
        <v>33292110</v>
      </c>
      <c r="F68" s="762">
        <f>Input!$MJ$16</f>
        <v>0</v>
      </c>
      <c r="G68" s="762">
        <f>Input!$MK$16</f>
        <v>35967</v>
      </c>
      <c r="H68" s="762">
        <f>Input!$ML$16</f>
        <v>0</v>
      </c>
      <c r="I68" s="762">
        <f>Input!$MM$16</f>
        <v>0</v>
      </c>
      <c r="J68" s="762">
        <f>Input!$MN$16</f>
        <v>0</v>
      </c>
      <c r="K68" s="762">
        <f>Input!$MO$16</f>
        <v>0</v>
      </c>
      <c r="L68" s="762">
        <f>Input!$MP$16</f>
        <v>0</v>
      </c>
      <c r="M68" s="723">
        <f t="shared" si="12"/>
        <v>43920874</v>
      </c>
      <c r="O68" s="831">
        <f t="shared" si="14"/>
        <v>43920874</v>
      </c>
      <c r="P68" s="832">
        <f>Input!$TN$16</f>
        <v>127029</v>
      </c>
      <c r="Q68" s="832">
        <f>Input!$TX$16</f>
        <v>0</v>
      </c>
      <c r="R68" s="832">
        <f>Input!$UG$16</f>
        <v>0</v>
      </c>
      <c r="S68" s="837">
        <f t="shared" si="16"/>
        <v>44047903</v>
      </c>
      <c r="T68" s="723"/>
      <c r="U68" s="834">
        <f t="shared" si="15"/>
        <v>43920874</v>
      </c>
      <c r="V68" s="723"/>
      <c r="W68" s="828" t="s">
        <v>164</v>
      </c>
      <c r="X68" s="835">
        <f>Input!$UR$16</f>
        <v>43920874</v>
      </c>
      <c r="Y68" s="836">
        <f t="shared" si="13"/>
        <v>0</v>
      </c>
      <c r="Z68" s="723"/>
      <c r="AA68" s="723"/>
      <c r="AB68" s="723"/>
    </row>
    <row r="69" spans="1:28" s="752" customFormat="1">
      <c r="A69" s="460">
        <v>52</v>
      </c>
      <c r="B69" s="823" t="s">
        <v>181</v>
      </c>
      <c r="C69" s="823"/>
      <c r="D69" s="762">
        <f>Input!$MQ$16</f>
        <v>11725560</v>
      </c>
      <c r="E69" s="762">
        <f>Input!$MR$16</f>
        <v>6619353</v>
      </c>
      <c r="F69" s="762">
        <f>Input!$MS$16</f>
        <v>0</v>
      </c>
      <c r="G69" s="762">
        <f>Input!$MT$16</f>
        <v>3063203</v>
      </c>
      <c r="H69" s="762">
        <f>Input!$MU$16</f>
        <v>0</v>
      </c>
      <c r="I69" s="762">
        <f>Input!$MV$16</f>
        <v>0</v>
      </c>
      <c r="J69" s="762">
        <f>Input!$MW$16</f>
        <v>0</v>
      </c>
      <c r="K69" s="762">
        <f>Input!$MX$16</f>
        <v>0</v>
      </c>
      <c r="L69" s="762">
        <f>Input!$MY$16</f>
        <v>0</v>
      </c>
      <c r="M69" s="723">
        <f t="shared" si="12"/>
        <v>21408116</v>
      </c>
      <c r="O69" s="831">
        <f t="shared" si="14"/>
        <v>21408116</v>
      </c>
      <c r="P69" s="832">
        <f>Input!$TO$16</f>
        <v>399244</v>
      </c>
      <c r="Q69" s="832">
        <f>Input!$TY$16</f>
        <v>0</v>
      </c>
      <c r="R69" s="832">
        <f>Input!$UH$16</f>
        <v>0</v>
      </c>
      <c r="S69" s="837">
        <f t="shared" si="16"/>
        <v>21807360</v>
      </c>
      <c r="T69" s="723"/>
      <c r="U69" s="834">
        <f t="shared" si="15"/>
        <v>21408116</v>
      </c>
      <c r="V69" s="723"/>
      <c r="W69" s="828" t="s">
        <v>181</v>
      </c>
      <c r="X69" s="835">
        <f>Input!$US$16</f>
        <v>21408116</v>
      </c>
      <c r="Y69" s="836">
        <f t="shared" si="13"/>
        <v>0</v>
      </c>
      <c r="Z69" s="723"/>
      <c r="AA69" s="723"/>
      <c r="AB69" s="723"/>
    </row>
    <row r="70" spans="1:28" s="752" customFormat="1">
      <c r="A70" s="460">
        <v>53</v>
      </c>
      <c r="B70" s="823" t="s">
        <v>182</v>
      </c>
      <c r="C70" s="823"/>
      <c r="D70" s="762">
        <f>Input!$MZ$16</f>
        <v>2560886</v>
      </c>
      <c r="E70" s="762">
        <f>Input!$NA$16</f>
        <v>974048</v>
      </c>
      <c r="F70" s="762">
        <f>Input!$NB$16</f>
        <v>0</v>
      </c>
      <c r="G70" s="762">
        <f>Input!$NC$16</f>
        <v>107955</v>
      </c>
      <c r="H70" s="762">
        <f>Input!$ND$16</f>
        <v>0</v>
      </c>
      <c r="I70" s="762">
        <f>Input!$NE$16</f>
        <v>0</v>
      </c>
      <c r="J70" s="762">
        <f>Input!$NF$16</f>
        <v>0</v>
      </c>
      <c r="K70" s="762">
        <f>Input!$NG$16</f>
        <v>0</v>
      </c>
      <c r="L70" s="762">
        <f>Input!$NH$16</f>
        <v>0</v>
      </c>
      <c r="M70" s="723">
        <f t="shared" si="12"/>
        <v>3642889</v>
      </c>
      <c r="O70" s="831">
        <f t="shared" si="14"/>
        <v>3642889</v>
      </c>
      <c r="P70" s="832">
        <f>Input!$TP$16</f>
        <v>5472</v>
      </c>
      <c r="Q70" s="832">
        <f>Input!$TZ$16</f>
        <v>0</v>
      </c>
      <c r="R70" s="832">
        <f>Input!$UI$16</f>
        <v>0</v>
      </c>
      <c r="S70" s="837">
        <f t="shared" si="16"/>
        <v>3648361</v>
      </c>
      <c r="T70" s="723"/>
      <c r="U70" s="834">
        <f t="shared" si="15"/>
        <v>3642889</v>
      </c>
      <c r="V70" s="723"/>
      <c r="W70" s="828" t="s">
        <v>182</v>
      </c>
      <c r="X70" s="835">
        <f>Input!$UT$16</f>
        <v>3642889</v>
      </c>
      <c r="Y70" s="836">
        <f t="shared" si="13"/>
        <v>0</v>
      </c>
      <c r="Z70" s="723"/>
      <c r="AA70" s="723"/>
      <c r="AB70" s="723"/>
    </row>
    <row r="71" spans="1:28" s="752" customFormat="1">
      <c r="A71" s="460">
        <v>54</v>
      </c>
      <c r="B71" s="823" t="s">
        <v>183</v>
      </c>
      <c r="C71" s="823"/>
      <c r="D71" s="762">
        <f>Input!$NI$16</f>
        <v>0</v>
      </c>
      <c r="E71" s="762">
        <f>Input!$NJ$16</f>
        <v>0</v>
      </c>
      <c r="F71" s="762">
        <f>Input!$NK$16</f>
        <v>0</v>
      </c>
      <c r="G71" s="762">
        <f>Input!$NL$16</f>
        <v>20958</v>
      </c>
      <c r="H71" s="762">
        <f>Input!$NM$16</f>
        <v>0</v>
      </c>
      <c r="I71" s="762">
        <f>Input!$NN$16</f>
        <v>0</v>
      </c>
      <c r="J71" s="762">
        <f>Input!$NO$16</f>
        <v>0</v>
      </c>
      <c r="K71" s="762">
        <f>Input!$NP$16</f>
        <v>0</v>
      </c>
      <c r="L71" s="762">
        <f>Input!$NQ$16</f>
        <v>0</v>
      </c>
      <c r="M71" s="723">
        <f t="shared" si="12"/>
        <v>20958</v>
      </c>
      <c r="O71" s="831">
        <f t="shared" si="14"/>
        <v>20958</v>
      </c>
      <c r="P71" s="832">
        <f>Input!$TQ$16</f>
        <v>89325</v>
      </c>
      <c r="Q71" s="832">
        <f>Input!$UA$16</f>
        <v>0</v>
      </c>
      <c r="R71" s="832">
        <f>Input!$UJ$16</f>
        <v>0</v>
      </c>
      <c r="S71" s="837">
        <f t="shared" si="16"/>
        <v>110283</v>
      </c>
      <c r="T71" s="723"/>
      <c r="U71" s="834">
        <f t="shared" si="15"/>
        <v>20958</v>
      </c>
      <c r="V71" s="723"/>
      <c r="W71" s="828" t="s">
        <v>183</v>
      </c>
      <c r="X71" s="835">
        <f>Input!$UU$16</f>
        <v>20958</v>
      </c>
      <c r="Y71" s="836">
        <f t="shared" si="13"/>
        <v>0</v>
      </c>
      <c r="Z71" s="723"/>
      <c r="AA71" s="723"/>
      <c r="AB71" s="723"/>
    </row>
    <row r="72" spans="1:28" s="752" customFormat="1">
      <c r="A72" s="460">
        <v>55</v>
      </c>
      <c r="B72" s="823" t="s">
        <v>184</v>
      </c>
      <c r="C72" s="823"/>
      <c r="D72" s="762">
        <f>Input!$NR$16</f>
        <v>1486172</v>
      </c>
      <c r="E72" s="762">
        <f>Input!$NS$16</f>
        <v>1318172</v>
      </c>
      <c r="F72" s="762">
        <f>Input!$NT$16</f>
        <v>0</v>
      </c>
      <c r="G72" s="762">
        <f>Input!$NU$16</f>
        <v>0</v>
      </c>
      <c r="H72" s="762">
        <f>Input!$NV$16</f>
        <v>0</v>
      </c>
      <c r="I72" s="762">
        <f>Input!$NW$16</f>
        <v>0</v>
      </c>
      <c r="J72" s="762">
        <f>Input!$NX$16</f>
        <v>823147</v>
      </c>
      <c r="K72" s="762">
        <f>Input!$NY$16</f>
        <v>0</v>
      </c>
      <c r="L72" s="762">
        <f>Input!$NZ$16</f>
        <v>0</v>
      </c>
      <c r="M72" s="723">
        <f t="shared" si="12"/>
        <v>3627491</v>
      </c>
      <c r="O72" s="831">
        <f t="shared" si="14"/>
        <v>2804344</v>
      </c>
      <c r="P72" s="832">
        <f>Input!$TR$16</f>
        <v>0</v>
      </c>
      <c r="Q72" s="832">
        <f>Input!$UB$16</f>
        <v>0</v>
      </c>
      <c r="R72" s="832">
        <f>Input!$UK$16</f>
        <v>0</v>
      </c>
      <c r="S72" s="837">
        <f t="shared" si="16"/>
        <v>2804344</v>
      </c>
      <c r="T72" s="723"/>
      <c r="U72" s="834">
        <f t="shared" si="15"/>
        <v>3627491</v>
      </c>
      <c r="V72" s="723"/>
      <c r="W72" s="828" t="s">
        <v>671</v>
      </c>
      <c r="X72" s="835">
        <f>Input!$UV$16</f>
        <v>3627491</v>
      </c>
      <c r="Y72" s="836">
        <f t="shared" si="13"/>
        <v>0</v>
      </c>
      <c r="Z72" s="723"/>
      <c r="AA72" s="723"/>
      <c r="AB72" s="723"/>
    </row>
    <row r="73" spans="1:28" s="752" customFormat="1" ht="13.8" thickBot="1">
      <c r="A73" s="460">
        <v>56</v>
      </c>
      <c r="B73" s="823" t="s">
        <v>185</v>
      </c>
      <c r="C73" s="823"/>
      <c r="D73" s="762">
        <f>Input!$OA$16</f>
        <v>74881</v>
      </c>
      <c r="E73" s="762">
        <f>Input!$OB$16</f>
        <v>308973</v>
      </c>
      <c r="F73" s="762">
        <f>Input!$OC$16</f>
        <v>0</v>
      </c>
      <c r="G73" s="762">
        <f>Input!$OD$16</f>
        <v>889152</v>
      </c>
      <c r="H73" s="762">
        <f>Input!$OE$16</f>
        <v>0</v>
      </c>
      <c r="I73" s="762">
        <f>Input!$OF$16</f>
        <v>0</v>
      </c>
      <c r="J73" s="762">
        <f>Input!$OG$16</f>
        <v>0</v>
      </c>
      <c r="K73" s="762">
        <f>Input!$OH$16</f>
        <v>0</v>
      </c>
      <c r="L73" s="762">
        <f>Input!$OI$16</f>
        <v>0</v>
      </c>
      <c r="M73" s="723">
        <f t="shared" si="12"/>
        <v>1273006</v>
      </c>
      <c r="O73" s="838">
        <f>D73+E73+G73</f>
        <v>1273006</v>
      </c>
      <c r="P73" s="832">
        <f>Input!$TS$16</f>
        <v>0</v>
      </c>
      <c r="Q73" s="839">
        <f>Input!$UC$16</f>
        <v>0</v>
      </c>
      <c r="R73" s="839">
        <f>Input!$UL$16</f>
        <v>0</v>
      </c>
      <c r="S73" s="840">
        <f>O73+P73-Q73-R73</f>
        <v>1273006</v>
      </c>
      <c r="T73" s="841"/>
      <c r="U73" s="834">
        <f t="shared" si="15"/>
        <v>1273006</v>
      </c>
      <c r="V73" s="841"/>
      <c r="W73" s="828" t="s">
        <v>185</v>
      </c>
      <c r="X73" s="835">
        <f>Input!$UW$16</f>
        <v>1273006</v>
      </c>
      <c r="Y73" s="836">
        <f t="shared" si="13"/>
        <v>0</v>
      </c>
      <c r="Z73" s="723"/>
      <c r="AA73" s="723"/>
      <c r="AB73" s="723"/>
    </row>
    <row r="74" spans="1:28" s="752" customFormat="1" ht="13.8" thickTop="1">
      <c r="A74" s="460">
        <v>57</v>
      </c>
      <c r="B74" s="823" t="s">
        <v>472</v>
      </c>
      <c r="C74" s="823"/>
      <c r="D74" s="762">
        <f>Input!$OJ$16</f>
        <v>0</v>
      </c>
      <c r="E74" s="762">
        <f>Input!$OK$16</f>
        <v>0</v>
      </c>
      <c r="F74" s="762">
        <f>Input!$OL$16</f>
        <v>1836493</v>
      </c>
      <c r="G74" s="762">
        <f>Input!$OM$16</f>
        <v>0</v>
      </c>
      <c r="H74" s="762">
        <f>Input!$ON$16</f>
        <v>0</v>
      </c>
      <c r="I74" s="762">
        <f>Input!$OO$16</f>
        <v>0</v>
      </c>
      <c r="J74" s="762">
        <f>Input!$OP$16</f>
        <v>0</v>
      </c>
      <c r="K74" s="762">
        <f>Input!$OQ$16</f>
        <v>0</v>
      </c>
      <c r="L74" s="762">
        <f>Input!$OR$16</f>
        <v>0</v>
      </c>
      <c r="M74" s="723">
        <f t="shared" si="12"/>
        <v>1836493</v>
      </c>
      <c r="O74" s="492"/>
      <c r="P74" s="842">
        <f>Input!$TT$16</f>
        <v>0</v>
      </c>
      <c r="Q74" s="843"/>
      <c r="R74" s="844"/>
      <c r="S74" s="845">
        <f>SUM(S65:S73)</f>
        <v>141825582</v>
      </c>
      <c r="T74" s="844"/>
      <c r="U74" s="834">
        <f t="shared" si="15"/>
        <v>1836493</v>
      </c>
      <c r="V74" s="844"/>
      <c r="W74" s="828" t="s">
        <v>186</v>
      </c>
      <c r="X74" s="835">
        <f>Input!$UX$16</f>
        <v>1836493</v>
      </c>
      <c r="Y74" s="836">
        <f t="shared" si="13"/>
        <v>0</v>
      </c>
      <c r="Z74" s="723"/>
      <c r="AA74" s="723"/>
      <c r="AB74" s="723"/>
    </row>
    <row r="75" spans="1:28" s="752" customFormat="1">
      <c r="A75" s="460">
        <v>58</v>
      </c>
      <c r="B75" s="846" t="s">
        <v>602</v>
      </c>
      <c r="C75" s="846"/>
      <c r="D75" s="762">
        <f>Input!$OS$16</f>
        <v>73961</v>
      </c>
      <c r="E75" s="762">
        <f>Input!$OT$16</f>
        <v>1297003</v>
      </c>
      <c r="F75" s="762">
        <f>Input!$OU$16</f>
        <v>5472</v>
      </c>
      <c r="G75" s="762">
        <f>Input!$OV$16</f>
        <v>4252352</v>
      </c>
      <c r="H75" s="762">
        <f>Input!$OW$16</f>
        <v>0</v>
      </c>
      <c r="I75" s="762">
        <f>Input!$OX$16</f>
        <v>0</v>
      </c>
      <c r="J75" s="762">
        <f>Input!$OY$16</f>
        <v>0</v>
      </c>
      <c r="K75" s="762">
        <f>Input!$OZ$16</f>
        <v>0</v>
      </c>
      <c r="L75" s="762">
        <f>Input!$PA$16</f>
        <v>0</v>
      </c>
      <c r="M75" s="723">
        <f t="shared" si="12"/>
        <v>5628788</v>
      </c>
      <c r="O75" s="492"/>
      <c r="P75" s="492">
        <f>SUM(P65:P74)</f>
        <v>5628788</v>
      </c>
      <c r="Q75" s="843" t="s">
        <v>672</v>
      </c>
      <c r="R75" s="844"/>
      <c r="S75" s="847"/>
      <c r="T75" s="844"/>
      <c r="U75" s="834">
        <f t="shared" si="15"/>
        <v>5628788</v>
      </c>
      <c r="V75" s="844"/>
      <c r="W75" s="828" t="s">
        <v>673</v>
      </c>
      <c r="X75" s="848">
        <f>M93*-1</f>
        <v>13112732</v>
      </c>
      <c r="Y75" s="836">
        <f>X75+M93</f>
        <v>0</v>
      </c>
      <c r="Z75" s="849"/>
      <c r="AA75" s="849"/>
      <c r="AB75" s="849"/>
    </row>
    <row r="76" spans="1:28" s="752" customFormat="1" ht="13.8" thickBot="1">
      <c r="A76" s="460">
        <v>59</v>
      </c>
      <c r="B76" s="850" t="s">
        <v>603</v>
      </c>
      <c r="C76" s="850"/>
      <c r="D76" s="851">
        <f>Input!$PB$16</f>
        <v>685</v>
      </c>
      <c r="E76" s="851">
        <f>Input!$PC$16</f>
        <v>137157</v>
      </c>
      <c r="F76" s="851">
        <f>Input!$PD$16</f>
        <v>0</v>
      </c>
      <c r="G76" s="851">
        <f>Input!$PE$16</f>
        <v>0</v>
      </c>
      <c r="H76" s="851">
        <f>Input!$PF$16</f>
        <v>0</v>
      </c>
      <c r="I76" s="851">
        <f>Input!$PG$16</f>
        <v>0</v>
      </c>
      <c r="J76" s="851">
        <f>Input!$PH$16</f>
        <v>0</v>
      </c>
      <c r="K76" s="851">
        <f>Input!$PI$16</f>
        <v>0</v>
      </c>
      <c r="L76" s="851">
        <f>Input!$PJ$16</f>
        <v>0</v>
      </c>
      <c r="M76" s="723">
        <f t="shared" si="12"/>
        <v>137842</v>
      </c>
      <c r="O76" s="492"/>
      <c r="P76" s="852" t="str">
        <f>IF(P75&lt;&gt;M75,"Out of Balance","Balanced")</f>
        <v>Balanced</v>
      </c>
      <c r="Q76" s="1213" t="s">
        <v>674</v>
      </c>
      <c r="R76" s="1214"/>
      <c r="S76" s="853">
        <f>Input!$UM$16</f>
        <v>0</v>
      </c>
      <c r="T76" s="492"/>
      <c r="U76" s="854">
        <f t="shared" si="15"/>
        <v>137842</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56487917</v>
      </c>
      <c r="E77" s="769">
        <f t="shared" si="17"/>
        <v>64515478</v>
      </c>
      <c r="F77" s="769">
        <f t="shared" si="17"/>
        <v>1841965</v>
      </c>
      <c r="G77" s="769">
        <f t="shared" si="17"/>
        <v>21342893</v>
      </c>
      <c r="H77" s="769">
        <f t="shared" si="17"/>
        <v>0</v>
      </c>
      <c r="I77" s="769">
        <f t="shared" si="17"/>
        <v>0</v>
      </c>
      <c r="J77" s="769">
        <f t="shared" si="17"/>
        <v>823147</v>
      </c>
      <c r="K77" s="769">
        <f t="shared" si="17"/>
        <v>0</v>
      </c>
      <c r="L77" s="769">
        <f t="shared" si="17"/>
        <v>0</v>
      </c>
      <c r="M77" s="769">
        <f t="shared" si="12"/>
        <v>145011400</v>
      </c>
      <c r="O77" s="320"/>
      <c r="P77" s="492"/>
      <c r="Q77" s="859" t="s">
        <v>676</v>
      </c>
      <c r="R77" s="860"/>
      <c r="S77" s="861">
        <f>Input!$UN$16</f>
        <v>0</v>
      </c>
      <c r="T77" s="320"/>
      <c r="U77" s="862">
        <f>SUM(U65:U76)</f>
        <v>145011400</v>
      </c>
      <c r="V77" s="320"/>
      <c r="W77" s="320"/>
      <c r="X77" s="863">
        <f>SUM(X65:X76)</f>
        <v>152357502</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141825582</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Input!$PK$16</f>
        <v>0</v>
      </c>
      <c r="E80" s="762">
        <f>Input!$PL$16</f>
        <v>0</v>
      </c>
      <c r="F80" s="762">
        <f>Input!$PM$16</f>
        <v>0</v>
      </c>
      <c r="G80" s="762">
        <f>Input!$PN$16</f>
        <v>0</v>
      </c>
      <c r="H80" s="762">
        <f>Input!$PO$16</f>
        <v>0</v>
      </c>
      <c r="I80" s="762">
        <f>Input!$PP$16</f>
        <v>0</v>
      </c>
      <c r="J80" s="762">
        <f>Input!$PQ$16</f>
        <v>-18868727</v>
      </c>
      <c r="K80" s="762">
        <f>Input!$PR$16</f>
        <v>0</v>
      </c>
      <c r="L80" s="762">
        <f>Input!$PS$16</f>
        <v>0</v>
      </c>
      <c r="M80" s="723">
        <f>D80+E80+F80+G80+H80+I80+J80+K80+L80</f>
        <v>-18868727</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Input!$PT$16</f>
        <v>4629480</v>
      </c>
      <c r="E81" s="762">
        <f>Input!$PU$16</f>
        <v>1927138</v>
      </c>
      <c r="F81" s="762">
        <f>Input!$PV$16</f>
        <v>1783940</v>
      </c>
      <c r="G81" s="762">
        <f>Input!$PW$16</f>
        <v>-622062</v>
      </c>
      <c r="H81" s="762">
        <f>Input!$PX$16</f>
        <v>0</v>
      </c>
      <c r="I81" s="762">
        <f>Input!$PY$16</f>
        <v>2625</v>
      </c>
      <c r="J81" s="762">
        <f>Input!$PZ$16</f>
        <v>136671</v>
      </c>
      <c r="K81" s="762">
        <f>Input!$QA$16</f>
        <v>0</v>
      </c>
      <c r="L81" s="762">
        <f>Input!$QB$16</f>
        <v>2934775</v>
      </c>
      <c r="M81" s="723">
        <f>D81+E81+F81+G81+H81+I81+J81+K81+L81</f>
        <v>10792567</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Input!$QC$16</f>
        <v>0</v>
      </c>
      <c r="E82" s="762">
        <f>Input!$QD$16</f>
        <v>0</v>
      </c>
      <c r="F82" s="762">
        <f>Input!$QE$16</f>
        <v>0</v>
      </c>
      <c r="G82" s="762">
        <f>Input!$QF$16</f>
        <v>0</v>
      </c>
      <c r="H82" s="762">
        <f>Input!$QG$16</f>
        <v>0</v>
      </c>
      <c r="I82" s="762">
        <f>Input!$QH$16</f>
        <v>0</v>
      </c>
      <c r="J82" s="762">
        <f>Input!$QI$16</f>
        <v>13389282</v>
      </c>
      <c r="K82" s="762">
        <f>Input!$QJ$16</f>
        <v>0</v>
      </c>
      <c r="L82" s="762">
        <f>Input!$QK$16</f>
        <v>0</v>
      </c>
      <c r="M82" s="723">
        <f>D82+E82+F82+G82+H82+I82+J82+K82+L82</f>
        <v>13389282</v>
      </c>
      <c r="O82" s="492"/>
      <c r="P82" s="1218" t="str">
        <f>IF(M91&lt;0,"Footnote 11 is N/A - No Data Entry Required","Footnote 11")</f>
        <v>Footnote 11</v>
      </c>
      <c r="Q82" s="1219"/>
      <c r="R82" s="1219"/>
      <c r="S82" s="1220"/>
      <c r="T82" s="443"/>
      <c r="U82" s="443"/>
      <c r="V82" s="320"/>
      <c r="W82" s="320"/>
      <c r="X82" s="320"/>
      <c r="Y82" s="320"/>
      <c r="Z82" s="320"/>
      <c r="AA82" s="320"/>
      <c r="AB82" s="320"/>
    </row>
    <row r="83" spans="1:28" s="752" customFormat="1" ht="13.8" thickTop="1">
      <c r="A83" s="460">
        <v>66</v>
      </c>
      <c r="B83" s="752" t="s">
        <v>477</v>
      </c>
      <c r="D83" s="762">
        <f>Input!$QL$16</f>
        <v>0</v>
      </c>
      <c r="E83" s="762">
        <f>Input!$QM$16</f>
        <v>0</v>
      </c>
      <c r="F83" s="762">
        <f>Input!$QN$16</f>
        <v>-89000</v>
      </c>
      <c r="G83" s="762">
        <f>Input!$QO$16</f>
        <v>0</v>
      </c>
      <c r="H83" s="762">
        <f>Input!$QP$16</f>
        <v>0</v>
      </c>
      <c r="I83" s="762">
        <f>Input!$QQ$16</f>
        <v>0</v>
      </c>
      <c r="J83" s="762">
        <f>Input!$QR$16</f>
        <v>0</v>
      </c>
      <c r="K83" s="762">
        <f>Input!$QS$16</f>
        <v>0</v>
      </c>
      <c r="L83" s="762">
        <f>Input!$QT$16</f>
        <v>0</v>
      </c>
      <c r="M83" s="723">
        <f>D83+E83+F83+G83+H83+I83+J83+K83+L83</f>
        <v>-89000</v>
      </c>
      <c r="O83" s="723"/>
      <c r="P83" s="869" t="s">
        <v>678</v>
      </c>
      <c r="Q83" s="870"/>
      <c r="R83" s="871"/>
      <c r="S83" s="872">
        <f>IF(M91&lt;0,"N/A",M91)</f>
        <v>2894609</v>
      </c>
      <c r="T83" s="492"/>
      <c r="U83" s="443"/>
      <c r="V83" s="320"/>
      <c r="W83" s="320"/>
      <c r="X83" s="443"/>
      <c r="Y83" s="443"/>
      <c r="Z83" s="320"/>
      <c r="AA83" s="320"/>
      <c r="AB83" s="320"/>
    </row>
    <row r="84" spans="1:28" s="752" customFormat="1">
      <c r="A84" s="460">
        <v>67</v>
      </c>
      <c r="B84" s="858" t="s">
        <v>155</v>
      </c>
      <c r="C84" s="858"/>
      <c r="D84" s="769">
        <f t="shared" ref="D84:L84" si="18">SUM(D80:D83)</f>
        <v>4629480</v>
      </c>
      <c r="E84" s="769">
        <f t="shared" si="18"/>
        <v>1927138</v>
      </c>
      <c r="F84" s="769">
        <f t="shared" si="18"/>
        <v>1694940</v>
      </c>
      <c r="G84" s="769">
        <f t="shared" si="18"/>
        <v>-622062</v>
      </c>
      <c r="H84" s="769">
        <f t="shared" si="18"/>
        <v>0</v>
      </c>
      <c r="I84" s="769">
        <f t="shared" si="18"/>
        <v>2625</v>
      </c>
      <c r="J84" s="769">
        <f t="shared" si="18"/>
        <v>-5342774</v>
      </c>
      <c r="K84" s="769">
        <f t="shared" si="18"/>
        <v>0</v>
      </c>
      <c r="L84" s="769">
        <f t="shared" si="18"/>
        <v>2934775</v>
      </c>
      <c r="M84" s="769">
        <f>D84+E84+F84+G84+H84+I84+J84+K84+L84</f>
        <v>5224122</v>
      </c>
      <c r="O84" s="723"/>
      <c r="P84" s="873" t="s">
        <v>679</v>
      </c>
      <c r="Q84" s="492"/>
      <c r="R84" s="492"/>
      <c r="S84" s="874">
        <f>Input!$UY$16</f>
        <v>2590509</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f>IF(M91&lt;0,"",S83-S84)</f>
        <v>304100</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Input!$QU$16</f>
        <v>0</v>
      </c>
      <c r="E87" s="762">
        <f>Input!$QV$16</f>
        <v>0</v>
      </c>
      <c r="F87" s="762">
        <f>Input!$QW$16</f>
        <v>0</v>
      </c>
      <c r="G87" s="762">
        <f>Input!$QX$16</f>
        <v>0</v>
      </c>
      <c r="H87" s="762">
        <f>Input!$QY$16</f>
        <v>0</v>
      </c>
      <c r="I87" s="762">
        <f>Input!$QZ$16</f>
        <v>-657730</v>
      </c>
      <c r="J87" s="762">
        <f>Input!$RA$16</f>
        <v>0</v>
      </c>
      <c r="K87" s="762">
        <f>Input!$RB$16</f>
        <v>0</v>
      </c>
      <c r="L87" s="762">
        <f>Input!$RC$16</f>
        <v>0</v>
      </c>
      <c r="M87" s="723">
        <f>D87+E87+F87+G87+H87+I87+J87+K87+L87</f>
        <v>-657730</v>
      </c>
      <c r="O87" s="320"/>
      <c r="P87" s="873" t="s">
        <v>681</v>
      </c>
      <c r="Q87" s="320"/>
      <c r="R87" s="492"/>
      <c r="S87" s="878">
        <f>Input!$UZ$16</f>
        <v>-657730</v>
      </c>
      <c r="T87" s="320"/>
      <c r="U87" s="320"/>
      <c r="V87" s="320"/>
      <c r="W87" s="320"/>
      <c r="X87" s="443"/>
      <c r="Y87" s="443"/>
      <c r="Z87" s="320"/>
      <c r="AA87" s="320"/>
      <c r="AB87" s="320"/>
    </row>
    <row r="88" spans="1:28" s="752" customFormat="1">
      <c r="A88" s="460">
        <v>71</v>
      </c>
      <c r="B88" s="752" t="s">
        <v>480</v>
      </c>
      <c r="D88" s="762">
        <f>Input!$RD$16</f>
        <v>0</v>
      </c>
      <c r="E88" s="762">
        <f>Input!$RE$16</f>
        <v>0</v>
      </c>
      <c r="F88" s="762">
        <f>Input!$RF$16</f>
        <v>0</v>
      </c>
      <c r="G88" s="762">
        <f>Input!$RG$16</f>
        <v>0</v>
      </c>
      <c r="H88" s="762">
        <f>Input!$RH$16</f>
        <v>0</v>
      </c>
      <c r="I88" s="762">
        <f>Input!$RI$16</f>
        <v>961830</v>
      </c>
      <c r="J88" s="762">
        <f>Input!$RJ$16</f>
        <v>0</v>
      </c>
      <c r="K88" s="762">
        <f>Input!$RK$16</f>
        <v>0</v>
      </c>
      <c r="L88" s="762">
        <f>Input!$RL$16</f>
        <v>0</v>
      </c>
      <c r="M88" s="723">
        <f>D88+E88+F88+G88+H88+I88+J88+K88+L88</f>
        <v>961830</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0</v>
      </c>
      <c r="E89" s="769">
        <f t="shared" si="19"/>
        <v>0</v>
      </c>
      <c r="F89" s="769">
        <f t="shared" si="19"/>
        <v>0</v>
      </c>
      <c r="G89" s="769">
        <f t="shared" si="19"/>
        <v>0</v>
      </c>
      <c r="H89" s="769">
        <f t="shared" si="19"/>
        <v>0</v>
      </c>
      <c r="I89" s="769">
        <f t="shared" si="19"/>
        <v>304100</v>
      </c>
      <c r="J89" s="769">
        <f t="shared" si="19"/>
        <v>0</v>
      </c>
      <c r="K89" s="769">
        <f t="shared" si="19"/>
        <v>0</v>
      </c>
      <c r="L89" s="769">
        <f t="shared" si="19"/>
        <v>0</v>
      </c>
      <c r="M89" s="769">
        <f>D89+E89+F89+G89+H89+I89+J89+K89+L89</f>
        <v>304100</v>
      </c>
      <c r="O89" s="320"/>
      <c r="P89" s="873" t="s">
        <v>683</v>
      </c>
      <c r="Q89" s="320"/>
      <c r="R89" s="320"/>
      <c r="S89" s="875">
        <f>IFERROR(S85-S87,"")</f>
        <v>961830</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-1398381</v>
      </c>
      <c r="E91" s="769">
        <f t="shared" si="20"/>
        <v>8927078</v>
      </c>
      <c r="F91" s="769">
        <f t="shared" si="20"/>
        <v>156298</v>
      </c>
      <c r="G91" s="769">
        <f t="shared" si="20"/>
        <v>-1867013</v>
      </c>
      <c r="H91" s="769">
        <f t="shared" si="20"/>
        <v>0</v>
      </c>
      <c r="I91" s="769">
        <f t="shared" si="20"/>
        <v>307773</v>
      </c>
      <c r="J91" s="769">
        <f t="shared" si="20"/>
        <v>-6165921</v>
      </c>
      <c r="K91" s="769">
        <f t="shared" si="20"/>
        <v>0</v>
      </c>
      <c r="L91" s="769">
        <f>L63-L77+L84+L89</f>
        <v>2934775</v>
      </c>
      <c r="M91" s="769">
        <f>D91+E91+F91+G91+H91+I91+J91+K91+L91</f>
        <v>2894609</v>
      </c>
      <c r="O91" s="320"/>
      <c r="P91" s="881" t="s">
        <v>684</v>
      </c>
      <c r="Q91" s="882"/>
      <c r="R91" s="882"/>
      <c r="S91" s="883">
        <f>IFERROR((S89+S87)-S85,"")</f>
        <v>0</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Input!$RM$16</f>
        <v>0</v>
      </c>
      <c r="E93" s="762">
        <f>Input!$RN$16</f>
        <v>0</v>
      </c>
      <c r="F93" s="762">
        <f>Input!$RO$16</f>
        <v>0</v>
      </c>
      <c r="G93" s="762">
        <f>Input!$RP$16</f>
        <v>0</v>
      </c>
      <c r="H93" s="762">
        <f>Input!$RQ$16</f>
        <v>0</v>
      </c>
      <c r="I93" s="762">
        <f>Input!$RR$16</f>
        <v>0</v>
      </c>
      <c r="J93" s="762">
        <f>Input!$RS$16</f>
        <v>0</v>
      </c>
      <c r="K93" s="762">
        <f>Input!$RT$16</f>
        <v>0</v>
      </c>
      <c r="L93" s="762">
        <f>Input!$RU$16</f>
        <v>-13112732</v>
      </c>
      <c r="M93" s="723">
        <f>D93+E93+F93+G93+H93+I93+J93+K93+L93</f>
        <v>-13112732</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Input!$RV$16</f>
        <v>0</v>
      </c>
      <c r="E94" s="762">
        <f>Input!$RW$16</f>
        <v>0</v>
      </c>
      <c r="F94" s="762">
        <f>Input!$RX$16</f>
        <v>0</v>
      </c>
      <c r="G94" s="762">
        <f>Input!$RY$16</f>
        <v>0</v>
      </c>
      <c r="H94" s="762">
        <f>Input!$RZ$16</f>
        <v>0</v>
      </c>
      <c r="I94" s="762">
        <f>Input!$SA$16</f>
        <v>0</v>
      </c>
      <c r="J94" s="762">
        <f>Input!$SB$16</f>
        <v>0</v>
      </c>
      <c r="K94" s="762">
        <f>Input!$SC$16</f>
        <v>0</v>
      </c>
      <c r="L94" s="762">
        <f>Input!$SD$16</f>
        <v>0</v>
      </c>
      <c r="M94" s="723">
        <f>D94+E94+F94+G94+H94+I94+J94+K94+L94</f>
        <v>0</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Input!$SE$16</f>
        <v>0</v>
      </c>
      <c r="E95" s="762">
        <f>Input!$SF$16</f>
        <v>0</v>
      </c>
      <c r="F95" s="762">
        <f>Input!$SG$16</f>
        <v>0</v>
      </c>
      <c r="G95" s="762">
        <f>Input!$SH$16</f>
        <v>0</v>
      </c>
      <c r="H95" s="762">
        <f>Input!$SI$16</f>
        <v>0</v>
      </c>
      <c r="I95" s="762">
        <f>Input!$SJ$16</f>
        <v>0</v>
      </c>
      <c r="J95" s="762">
        <f>Input!$SK$16</f>
        <v>0</v>
      </c>
      <c r="K95" s="762">
        <f>Input!$SL$16</f>
        <v>0</v>
      </c>
      <c r="L95" s="762">
        <f>Input!$SM$16</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Input!$SN$16</f>
        <v>0</v>
      </c>
      <c r="E96" s="762">
        <f>Input!$SO$16</f>
        <v>0</v>
      </c>
      <c r="F96" s="762">
        <f>Input!$SP$16</f>
        <v>0</v>
      </c>
      <c r="G96" s="762">
        <f>Input!$SQ$16</f>
        <v>0</v>
      </c>
      <c r="H96" s="762">
        <f>Input!$SR$16</f>
        <v>0</v>
      </c>
      <c r="I96" s="762">
        <f>Input!$SS$16</f>
        <v>0</v>
      </c>
      <c r="J96" s="762">
        <f>Input!$ST$16</f>
        <v>1000000</v>
      </c>
      <c r="K96" s="762">
        <f>Input!$SU$16</f>
        <v>0</v>
      </c>
      <c r="L96" s="762">
        <f>Input!$SV$16</f>
        <v>0</v>
      </c>
      <c r="M96" s="723">
        <f>D96+E96+F96+G96+H96+I96+J96+K96+L96</f>
        <v>1000000</v>
      </c>
      <c r="O96" s="884"/>
      <c r="P96" s="320"/>
      <c r="Q96" s="320"/>
      <c r="R96" s="320"/>
      <c r="S96" s="320"/>
      <c r="Y96" s="320"/>
      <c r="Z96" s="320"/>
      <c r="AA96" s="320"/>
      <c r="AB96" s="320"/>
    </row>
    <row r="97" spans="1:28" s="752" customFormat="1">
      <c r="A97" s="460">
        <v>79</v>
      </c>
      <c r="B97" s="320" t="s">
        <v>486</v>
      </c>
      <c r="C97" s="320"/>
      <c r="D97" s="762">
        <f>Input!$SW$16</f>
        <v>0</v>
      </c>
      <c r="E97" s="762">
        <f>Input!$SX$16</f>
        <v>0</v>
      </c>
      <c r="F97" s="762">
        <f>Input!$SY$16</f>
        <v>0</v>
      </c>
      <c r="G97" s="762">
        <f>Input!$SZ$16</f>
        <v>0</v>
      </c>
      <c r="H97" s="762">
        <f>Input!$TA$16</f>
        <v>0</v>
      </c>
      <c r="I97" s="762">
        <f>Input!$TB$16</f>
        <v>0</v>
      </c>
      <c r="J97" s="762">
        <f>Input!$TC$16</f>
        <v>0</v>
      </c>
      <c r="K97" s="762">
        <f>Input!$TD$16</f>
        <v>0</v>
      </c>
      <c r="L97" s="762">
        <f>Input!$TE$16</f>
        <v>24497514</v>
      </c>
      <c r="M97" s="723">
        <f>D97+E97+F97+G97+H97+I97+J97+K97+L97</f>
        <v>24497514</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-1398381</v>
      </c>
      <c r="E98" s="886">
        <f t="shared" si="21"/>
        <v>8927078</v>
      </c>
      <c r="F98" s="886">
        <f t="shared" si="21"/>
        <v>156298</v>
      </c>
      <c r="G98" s="886">
        <f t="shared" si="21"/>
        <v>-1867013</v>
      </c>
      <c r="H98" s="886">
        <f t="shared" si="21"/>
        <v>0</v>
      </c>
      <c r="I98" s="886">
        <f t="shared" si="21"/>
        <v>307773</v>
      </c>
      <c r="J98" s="886">
        <f t="shared" si="21"/>
        <v>-5165921</v>
      </c>
      <c r="K98" s="886">
        <f t="shared" si="21"/>
        <v>0</v>
      </c>
      <c r="L98" s="886">
        <f t="shared" si="21"/>
        <v>14319557</v>
      </c>
      <c r="M98" s="886">
        <f>SUM(M91:M97)</f>
        <v>15279391</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9" t="str">
        <f>Input!$VC$16</f>
        <v>Lilia M. St. Clair</v>
      </c>
      <c r="Q103" s="1225"/>
      <c r="R103" s="1224" t="str">
        <f>Input!$VD$16</f>
        <v>956-665-7906</v>
      </c>
      <c r="S103" s="1225"/>
      <c r="T103" s="320"/>
      <c r="U103" s="1226" t="str">
        <f>HYPERLINK("Mailto:"&amp;Input!$VE$16,Input!$VE$16)</f>
        <v>lilia.stclair@utrgv.edu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Input!$TF$16</f>
        <v>15279391</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IF($L$123&lt;&gt;Input!$F$16,"Out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111513394</v>
      </c>
      <c r="E110" s="723">
        <f>SUM($E$10:$E$14)+SUM($E$19:$E$28)+SUM($E$50)+$E$53+SUM($E$56:$E$61)+SUM($E$65:$E$76)+SUM($E$80:$E$83)+SUM($E$87:$E$88)+SUM($E$93:$E$97)+SUM($E$32:$E$41)+$E$47</f>
        <v>137958034</v>
      </c>
      <c r="F110" s="723">
        <f>SUM($F$10:$F$14)+SUM($F$19:$F$28)+SUM($F$50)+$F$53+SUM($F$56:$F$61)+SUM($F$65:$F$76)+SUM($F$80:$F$83)+SUM($F$87:$F$88)+SUM($F$93:$F$97)+SUM($F$32:$F$41)+$F$47</f>
        <v>3840228</v>
      </c>
      <c r="G110" s="723">
        <f>SUM($G$10:$G$14)+SUM($G$19:$G$28)+SUM($G$50)+$G$53+SUM($G$56:$G$61)+SUM($G$65:$G$76)+SUM($G$80:$G$83)+SUM($G$87:$G$88)+SUM($G$93:$G$97)+SUM($G$32:$G$41)+$G$47</f>
        <v>40818773</v>
      </c>
      <c r="H110" s="723">
        <f>SUM($H$10:$H$14)+SUM($H$19:$H$28)+SUM($H$50)+$H$53+SUM($H$56:$H$61)+SUM($H$65:$H$76)+SUM($H$80:$H$83)+SUM($H$87:$H$88)+SUM($H$93:$H$97)+SUM($H$32:$H$41)+$H$47</f>
        <v>0</v>
      </c>
      <c r="I110" s="723">
        <f>SUM($I$10:$I$14)+SUM($I$19:$I$28)+SUM($I$50)+$I$53+SUM($I$56:$I$61)+SUM($I$65:$I$76)+SUM($I$80:$I$83)+SUM($I$87:$I$88)+SUM($I$93:$I$97)+SUM($I$32:$I$41)+$I$47</f>
        <v>307773</v>
      </c>
      <c r="J110" s="723">
        <f>SUM($J$10:$J$14)+SUM($J$19:$J$28)+SUM($J$50)+$J$53+SUM($J$56:$J$61)+SUM($J$65:$J$76)+SUM($J$80:$J$83)+SUM($J$87:$J$88)+SUM($J$93:$J$97)+SUM($J$32:$J$41)+$J$47</f>
        <v>-3519627</v>
      </c>
      <c r="K110" s="723">
        <f>SUM($K$10:$K$14)+SUM($K$19:$K$28)+SUM($K$50)+$K$53+SUM($K$56:$K$61)+SUM($K$65:$K$76)+SUM($K$80:$K$83)+SUM($K$87:$K$88)+SUM($K$93:$K$97)+SUM($K$32:$K$41)+$K$47</f>
        <v>0</v>
      </c>
      <c r="L110" s="723">
        <f>SUM($L$10:$L$14)+SUM($L$19:$L$28)+SUM($L$50)+$L$53+SUM($L$56:$L$61)+SUM($L$65:$L$76)+SUM($L$80:$L$83)+SUM($L$87:$L$88)+SUM($L$93:$L$97)+SUM($L$32:$L$41)+$L$47</f>
        <v>14319557</v>
      </c>
    </row>
    <row r="111" spans="1:28" s="320" customFormat="1">
      <c r="A111" s="322"/>
      <c r="L111" s="723">
        <f>SUM($D$110:$L$110)</f>
        <v>305238132</v>
      </c>
    </row>
    <row r="112" spans="1:28" s="320" customFormat="1">
      <c r="A112" s="322"/>
      <c r="J112" s="320" t="s">
        <v>690</v>
      </c>
      <c r="L112" s="723">
        <f>$M$105</f>
        <v>15279391</v>
      </c>
    </row>
    <row r="113" spans="1:12" s="320" customFormat="1">
      <c r="A113" s="322"/>
      <c r="J113" s="320" t="s">
        <v>691</v>
      </c>
      <c r="L113" s="492">
        <f>$Q$32</f>
        <v>4944920</v>
      </c>
    </row>
    <row r="114" spans="1:12" s="320" customFormat="1">
      <c r="A114" s="322"/>
      <c r="J114" s="320" t="s">
        <v>691</v>
      </c>
      <c r="L114" s="492">
        <f>$R$34</f>
        <v>-101235</v>
      </c>
    </row>
    <row r="115" spans="1:12" s="320" customFormat="1">
      <c r="A115" s="322"/>
      <c r="J115" s="320" t="s">
        <v>521</v>
      </c>
      <c r="L115" s="492">
        <f>SUM($P$65:$P$74)</f>
        <v>5628788</v>
      </c>
    </row>
    <row r="116" spans="1:12" s="320" customFormat="1">
      <c r="A116" s="322"/>
      <c r="J116" s="320" t="s">
        <v>692</v>
      </c>
      <c r="L116" s="492">
        <f>$S$76+$S$77</f>
        <v>0</v>
      </c>
    </row>
    <row r="117" spans="1:12" s="320" customFormat="1">
      <c r="A117" s="322"/>
      <c r="J117" s="320" t="s">
        <v>693</v>
      </c>
      <c r="L117" s="492">
        <f>SUM($Q$65:$Q$73)</f>
        <v>388336</v>
      </c>
    </row>
    <row r="118" spans="1:12" s="320" customFormat="1">
      <c r="A118" s="322"/>
      <c r="J118" s="320" t="s">
        <v>694</v>
      </c>
      <c r="L118" s="492">
        <f>SUM($R$65:$R$73)</f>
        <v>0</v>
      </c>
    </row>
    <row r="119" spans="1:12" s="320" customFormat="1">
      <c r="A119" s="322"/>
      <c r="J119" s="320" t="s">
        <v>695</v>
      </c>
      <c r="L119" s="492">
        <f>SUM($X$65:$X$74)</f>
        <v>139244770</v>
      </c>
    </row>
    <row r="120" spans="1:12" s="320" customFormat="1">
      <c r="A120" s="322"/>
      <c r="J120" s="320" t="s">
        <v>696</v>
      </c>
      <c r="L120" s="492">
        <f>$S$84</f>
        <v>2590509</v>
      </c>
    </row>
    <row r="121" spans="1:12" s="320" customFormat="1">
      <c r="A121" s="322"/>
      <c r="J121" s="320" t="s">
        <v>696</v>
      </c>
      <c r="L121" s="492">
        <f>$S$87</f>
        <v>-657730</v>
      </c>
    </row>
    <row r="122" spans="1:12" s="320" customFormat="1">
      <c r="A122" s="322"/>
      <c r="J122" s="320" t="s">
        <v>697</v>
      </c>
      <c r="L122" s="443">
        <f>VLOOKUP(B2,Names!$B$10:$C$96,2,FALSE)</f>
        <v>203599</v>
      </c>
    </row>
    <row r="123" spans="1:12" s="320" customFormat="1">
      <c r="A123" s="322"/>
      <c r="L123" s="898">
        <f>SUM($L$111:$L$122)</f>
        <v>472759480</v>
      </c>
    </row>
    <row r="128" spans="1:12">
      <c r="L128" s="724"/>
    </row>
  </sheetData>
  <mergeCells count="27">
    <mergeCell ref="B2:F2"/>
    <mergeCell ref="B3:F3"/>
    <mergeCell ref="B4:F4"/>
    <mergeCell ref="P4:Q4"/>
    <mergeCell ref="B6:M6"/>
    <mergeCell ref="O19:S19"/>
    <mergeCell ref="U19:Y19"/>
    <mergeCell ref="O60:S60"/>
    <mergeCell ref="W60:Y60"/>
    <mergeCell ref="P10:P11"/>
    <mergeCell ref="P82:S82"/>
    <mergeCell ref="O61:O64"/>
    <mergeCell ref="P61:P64"/>
    <mergeCell ref="Q61:Q64"/>
    <mergeCell ref="R61:R64"/>
    <mergeCell ref="S61:S64"/>
    <mergeCell ref="W61:W64"/>
    <mergeCell ref="X61:X64"/>
    <mergeCell ref="Y61:Y64"/>
    <mergeCell ref="G64:K64"/>
    <mergeCell ref="Q76:R76"/>
    <mergeCell ref="U61:U64"/>
    <mergeCell ref="P100:V100"/>
    <mergeCell ref="P103:Q103"/>
    <mergeCell ref="R103:S103"/>
    <mergeCell ref="U103:V103"/>
    <mergeCell ref="P105:V106"/>
  </mergeCells>
  <conditionalFormatting sqref="D98:L98">
    <cfRule type="cellIs" dxfId="134" priority="15" stopIfTrue="1" operator="notEqual">
      <formula>#REF!</formula>
    </cfRule>
  </conditionalFormatting>
  <conditionalFormatting sqref="D99:M99">
    <cfRule type="cellIs" dxfId="133" priority="21" stopIfTrue="1" operator="notEqual">
      <formula>#REF!</formula>
    </cfRule>
  </conditionalFormatting>
  <conditionalFormatting sqref="G64:K64">
    <cfRule type="expression" dxfId="132" priority="14">
      <formula>$R$98&lt;&gt;0</formula>
    </cfRule>
    <cfRule type="expression" dxfId="131" priority="37">
      <formula>$T$93&gt;0</formula>
    </cfRule>
  </conditionalFormatting>
  <conditionalFormatting sqref="M15">
    <cfRule type="cellIs" dxfId="130" priority="16" stopIfTrue="1" operator="notEqual">
      <formula>SUM($M$10:$M$14)</formula>
    </cfRule>
  </conditionalFormatting>
  <conditionalFormatting sqref="M62">
    <cfRule type="cellIs" dxfId="129" priority="17" stopIfTrue="1" operator="notEqual">
      <formula>SUM($M$56:$M$61)</formula>
    </cfRule>
  </conditionalFormatting>
  <conditionalFormatting sqref="M77">
    <cfRule type="cellIs" dxfId="128" priority="20" stopIfTrue="1" operator="notEqual">
      <formula>SUM($M$65:$M$76)</formula>
    </cfRule>
  </conditionalFormatting>
  <conditionalFormatting sqref="M84">
    <cfRule type="cellIs" dxfId="127" priority="18" stopIfTrue="1" operator="notEqual">
      <formula>SUM($M$80:$M$83)</formula>
    </cfRule>
  </conditionalFormatting>
  <conditionalFormatting sqref="M89">
    <cfRule type="cellIs" dxfId="126" priority="19" stopIfTrue="1" operator="notEqual">
      <formula>SUM($M$87:$M$88)</formula>
    </cfRule>
  </conditionalFormatting>
  <conditionalFormatting sqref="O12">
    <cfRule type="expression" dxfId="125" priority="11">
      <formula>$Q$12&lt;&gt;$N$12</formula>
    </cfRule>
    <cfRule type="expression" dxfId="124" priority="56">
      <formula>$P$12&lt;&gt;$M$12</formula>
    </cfRule>
  </conditionalFormatting>
  <conditionalFormatting sqref="O13">
    <cfRule type="expression" dxfId="123" priority="12">
      <formula>$Q$13&lt;&gt;$N$13</formula>
    </cfRule>
    <cfRule type="expression" dxfId="122" priority="57">
      <formula>$P$13&lt;&gt;$M$13</formula>
    </cfRule>
  </conditionalFormatting>
  <conditionalFormatting sqref="O11:P11">
    <cfRule type="expression" dxfId="121" priority="13">
      <formula>#REF!&lt;&gt;$N$11</formula>
    </cfRule>
  </conditionalFormatting>
  <conditionalFormatting sqref="P76">
    <cfRule type="expression" dxfId="120" priority="5">
      <formula>$P$75&lt;&gt;$M$75</formula>
    </cfRule>
  </conditionalFormatting>
  <conditionalFormatting sqref="P94:P101 Q100:R100 U100:V100 S100:T102 U101 R102 S105:U106">
    <cfRule type="cellIs" dxfId="119" priority="6" stopIfTrue="1" operator="notEqual">
      <formula>#REF!</formula>
    </cfRule>
  </conditionalFormatting>
  <conditionalFormatting sqref="Q35">
    <cfRule type="expression" dxfId="118" priority="1">
      <formula>#REF!&lt;&gt;0</formula>
    </cfRule>
  </conditionalFormatting>
  <conditionalFormatting sqref="Q93:Q100 U93:W100 T95:T102 R99:S102 O93:O100 R95:R97 S95:S98 X95:AB102">
    <cfRule type="cellIs" dxfId="117" priority="38" stopIfTrue="1" operator="notEqual">
      <formula>#REF!</formula>
    </cfRule>
  </conditionalFormatting>
  <conditionalFormatting sqref="Q36:R36">
    <cfRule type="expression" dxfId="116" priority="3">
      <formula>#REF!&lt;&gt;#REF!</formula>
    </cfRule>
  </conditionalFormatting>
  <conditionalFormatting sqref="R35">
    <cfRule type="expression" dxfId="115" priority="2">
      <formula>#REF!&lt;&gt;0</formula>
    </cfRule>
  </conditionalFormatting>
  <conditionalFormatting sqref="S84 S87">
    <cfRule type="expression" dxfId="114" priority="7" stopIfTrue="1">
      <formula>$M$91&gt;=0</formula>
    </cfRule>
    <cfRule type="expression" priority="8">
      <formula>$M$91&lt;0</formula>
    </cfRule>
    <cfRule type="expression" dxfId="113" priority="29" stopIfTrue="1">
      <formula>$M$91&gt;=0</formula>
    </cfRule>
    <cfRule type="expression" priority="30">
      <formula>$M$91&lt;0</formula>
    </cfRule>
    <cfRule type="expression" dxfId="112" priority="52" stopIfTrue="1">
      <formula>$N$91&gt;=0</formula>
    </cfRule>
    <cfRule type="expression" priority="53">
      <formula>$N$91&lt;0</formula>
    </cfRule>
  </conditionalFormatting>
  <conditionalFormatting sqref="S91">
    <cfRule type="expression" priority="9" stopIfTrue="1">
      <formula>$N$91&lt;0</formula>
    </cfRule>
    <cfRule type="expression" dxfId="111" priority="10">
      <formula>$T$91&lt;&gt;0</formula>
    </cfRule>
    <cfRule type="expression" priority="31" stopIfTrue="1">
      <formula>$N$91&lt;0</formula>
    </cfRule>
    <cfRule type="expression" dxfId="110" priority="32">
      <formula>$T$91&lt;&gt;0</formula>
    </cfRule>
    <cfRule type="expression" priority="54" stopIfTrue="1">
      <formula>$N$91&lt;0</formula>
    </cfRule>
    <cfRule type="expression" dxfId="109" priority="55">
      <formula>$T$91&lt;&gt;0</formula>
    </cfRule>
  </conditionalFormatting>
  <conditionalFormatting sqref="Y78">
    <cfRule type="expression" dxfId="108" priority="4">
      <formula>$Y$77&lt;&gt;0</formula>
    </cfRule>
  </conditionalFormatting>
  <hyperlinks>
    <hyperlink ref="O2" location="Index!A1" display="Return to Index" xr:uid="{00000000-0004-0000-44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2.109375" style="277" customWidth="1"/>
    <col min="11" max="16384" width="9.109375" style="277"/>
  </cols>
  <sheetData>
    <row r="1" spans="1:6">
      <c r="B1" s="742" t="str">
        <f>'RGVM Chts'!$A$1</f>
        <v>The University of Texas Rio Grande Valley Medical School (M)</v>
      </c>
      <c r="D1" s="321" t="s">
        <v>51</v>
      </c>
    </row>
    <row r="2" spans="1:6">
      <c r="B2" s="742" t="str">
        <f>'Smmy Chts'!$A$2</f>
        <v>For the Year Ended August 31, 2022</v>
      </c>
    </row>
    <row r="3" spans="1:6">
      <c r="B3" s="742" t="str">
        <f>'Smmy Chts'!$A$3</f>
        <v>Source: FY 2022 Annual Financial Report</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str">
        <f>IF('RGVM FGD'!$S$83="N/A","FN11.  N/A",$B$14&amp;$B$15&amp;$B$16&amp;$B$17&amp;$B$18&amp;$B$19&amp;$B$20&amp;$B$21&amp;$B$22&amp;$B$23&amp;$B$24)</f>
        <v>FN11: Of the net increase of $2,894,609 approximately $2.6 million represents revenues received but not year expended. This income is fully committed to program expenditures and capital disbursements. The remaining $304 thousand represents non-expendable funds from unrealized gains and additions to permanent endowments of approximately $(658) thousand and $962 thousand respectively. Unrealized gains and additions to permanent endowments do not contribute to the availability of the institution's operating cash as discussed in FN6 and FN7.</v>
      </c>
      <c r="E9" s="669"/>
    </row>
    <row r="14" spans="1:6">
      <c r="B14" s="277" t="s">
        <v>698</v>
      </c>
    </row>
    <row r="15" spans="1:6">
      <c r="A15" s="277">
        <v>75</v>
      </c>
      <c r="B15" s="669" t="str">
        <f>TEXT(IF('RGVM FGD'!$M$91&lt;0,"N/A",'RGVM FGD'!$M$91),"$* #,##0;$* (#,##0)")</f>
        <v>$2,894,609</v>
      </c>
      <c r="C15" s="282"/>
      <c r="F15" s="282"/>
    </row>
    <row r="16" spans="1:6">
      <c r="B16" s="277" t="s">
        <v>699</v>
      </c>
    </row>
    <row r="17" spans="1:6">
      <c r="A17" s="277">
        <v>68</v>
      </c>
      <c r="B17" s="748" t="str">
        <f>IF(ABS('RGVM FGD'!$S$84)&gt;=1000000,TEXT('RGVM FGD'!$S$84/1000000,"$* #,##0.0;$* (#,##0.0)")&amp;" million",IF(ABS('RGVM FGD'!$S$84)&lt;1000,TEXT('RGVM FGD'!$S$84,"$* #,##0;$* (#,##0)"),TEXT('RGVM FGD'!$S$84/1000,"$* #,##0;$* (#,##0)")&amp;" thousand"))</f>
        <v>$2.6 million</v>
      </c>
      <c r="C17" s="748"/>
      <c r="F17" s="748"/>
    </row>
    <row r="18" spans="1:6">
      <c r="B18" s="277" t="s">
        <v>700</v>
      </c>
    </row>
    <row r="19" spans="1:6">
      <c r="A19" s="277">
        <v>69</v>
      </c>
      <c r="B19" s="277" t="str">
        <f>IF(ABS('RGVM FGD'!$S$85)&gt;=1000000,TEXT('RGVM FGD'!$S$85/1000000,"$* #,##0.0;$* (#,##0.0)")&amp;" million",IF(ABS('RGVM FGD'!$S$85)&lt;1000,TEXT('RGVM FGD'!$S$85,"$* #,##0;$* (#,##0)"),TEXT('RGVM FGD'!$S$85/1000,"$* #,##0;$* (#,##0)")&amp;" thousand"))</f>
        <v>$304 thousand</v>
      </c>
    </row>
    <row r="20" spans="1:6">
      <c r="B20" s="277" t="s">
        <v>701</v>
      </c>
    </row>
    <row r="21" spans="1:6">
      <c r="A21" s="277">
        <v>71</v>
      </c>
      <c r="B21" s="277" t="str">
        <f>IF(ABS('RGVM FGD'!$S$87)&gt;=1000000,TEXT('RGVM FGD'!$S$87/1000000,"$* #,##0.0;$* (#,##0.0)")&amp;" million",IF(ABS('RGVM FGD'!$S$87)&lt;1000,TEXT('RGVM FGD'!$S$87,"$* #,##0;$* (#,##0)"),TEXT('RGVM FGD'!$S$87/1000,"$* #,##0;$* (#,##0)")&amp;" thousand"))</f>
        <v>$(658) thousand</v>
      </c>
    </row>
    <row r="22" spans="1:6">
      <c r="B22" s="277" t="s">
        <v>702</v>
      </c>
    </row>
    <row r="23" spans="1:6">
      <c r="A23" s="277">
        <v>73</v>
      </c>
      <c r="B23" s="277" t="str">
        <f>IF(ABS('RGVM FGD'!$S$89)&gt;=1000000,TEXT('RGVM FGD'!$S$89/1000000,"$* #,##0.0;$* (#,##0.0)")&amp;" million",IF(ABS('RGVM FGD'!$S$89)&lt;1000,TEXT('RGVM FGD'!$S$89,"$* #,##0;$* (#,##0)"),TEXT('RGVM FGD'!$S$89/1000,"$* #,##0;$* (#,##0)")&amp;" thousand"))</f>
        <v>$962 thousand</v>
      </c>
    </row>
    <row r="24" spans="1:6">
      <c r="B24" s="277" t="s">
        <v>703</v>
      </c>
    </row>
  </sheetData>
  <hyperlinks>
    <hyperlink ref="D1" location="Index!A1" display="Return to Index" xr:uid="{00000000-0004-0000-4500-000000000000}"/>
  </hyperlinks>
  <pageMargins left="0.25" right="0.25" top="0.5" bottom="0.25" header="0.5" footer="0.5"/>
  <pageSetup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13.5546875" style="277" customWidth="1"/>
    <col min="3" max="3" width="55" style="277" customWidth="1"/>
    <col min="4" max="4" width="20.109375" style="277" customWidth="1"/>
    <col min="5" max="16384" width="9.109375" style="277"/>
  </cols>
  <sheetData>
    <row r="1" spans="1:5" ht="27.75" customHeight="1">
      <c r="A1" s="989" t="s">
        <v>31</v>
      </c>
      <c r="C1" s="321" t="s">
        <v>51</v>
      </c>
    </row>
    <row r="2" spans="1:5" ht="27.75" customHeight="1">
      <c r="A2" s="990" t="str">
        <f>'Smmy Chts'!$A$2</f>
        <v>For the Year Ended August 31, 2022</v>
      </c>
    </row>
    <row r="3" spans="1:5" ht="27" customHeight="1">
      <c r="A3" s="990" t="str">
        <f>'Smmy Chts'!$A$3</f>
        <v>Source: FY 2022 Annual Financial Report</v>
      </c>
      <c r="C3" s="991" t="s">
        <v>493</v>
      </c>
    </row>
    <row r="4" spans="1:5" ht="12.9" customHeight="1">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'UHM Sum'!A9</f>
        <v>State of Texas</v>
      </c>
      <c r="D11" s="994">
        <f>'UHM Sum'!B15</f>
        <v>14940263</v>
      </c>
      <c r="E11" s="995">
        <f>ROUND(D11/$D$17,3)</f>
        <v>0.67400000000000004</v>
      </c>
    </row>
    <row r="12" spans="1:5" ht="12.9" customHeight="1">
      <c r="C12" s="993" t="str">
        <f>'UHM Sum'!A17</f>
        <v>Student &amp; Parent</v>
      </c>
      <c r="D12" s="994">
        <f>'UHM Sum'!B20</f>
        <v>1092675</v>
      </c>
      <c r="E12" s="995">
        <f t="shared" ref="E12:E15" si="0">ROUND(D12/$D$17,3)</f>
        <v>4.9000000000000002E-2</v>
      </c>
    </row>
    <row r="13" spans="1:5" ht="12.9" customHeight="1">
      <c r="C13" s="993" t="str">
        <f>'UHM Sum'!A22</f>
        <v>Federal Government</v>
      </c>
      <c r="D13" s="994">
        <f>'UHM Sum'!B23</f>
        <v>531356</v>
      </c>
      <c r="E13" s="995">
        <f t="shared" si="0"/>
        <v>2.4E-2</v>
      </c>
    </row>
    <row r="14" spans="1:5" ht="12.9" customHeight="1">
      <c r="C14" s="993" t="str">
        <f>'UHM Sum'!A31</f>
        <v>Institutional Resources</v>
      </c>
      <c r="D14" s="994">
        <f>'UHM Sum'!B38</f>
        <v>5609376</v>
      </c>
      <c r="E14" s="995">
        <f t="shared" si="0"/>
        <v>0.253</v>
      </c>
    </row>
    <row r="15" spans="1:5" ht="12.9" customHeight="1">
      <c r="C15" s="996" t="s">
        <v>497</v>
      </c>
      <c r="D15" s="994">
        <f>'UHM Sum'!B29+'UHM Sum'!B26</f>
        <v>0</v>
      </c>
      <c r="E15" s="995">
        <f t="shared" si="0"/>
        <v>0</v>
      </c>
    </row>
    <row r="16" spans="1:5" ht="12.9" customHeight="1">
      <c r="C16" s="991"/>
      <c r="D16" s="992"/>
    </row>
    <row r="17" spans="3:5" ht="12.9" customHeight="1">
      <c r="C17" s="997" t="s">
        <v>201</v>
      </c>
      <c r="D17" s="998">
        <f>SUM(D11:D16)</f>
        <v>22173670</v>
      </c>
      <c r="E17" s="999">
        <f>SUM(E11:E15)</f>
        <v>1</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$22,173,670</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5" customHeight="1">
      <c r="C53" s="993" t="s">
        <v>101</v>
      </c>
      <c r="D53" s="994">
        <f>'UHM Sum'!B10</f>
        <v>14889291</v>
      </c>
      <c r="E53" s="995">
        <f>ROUND(D53/$D$68,3)</f>
        <v>0.67100000000000004</v>
      </c>
    </row>
    <row r="54" spans="3:5" ht="15" customHeight="1">
      <c r="C54" s="993" t="s">
        <v>510</v>
      </c>
      <c r="D54" s="994">
        <f>'UHM Sum'!B11</f>
        <v>50972</v>
      </c>
      <c r="E54" s="995">
        <f t="shared" ref="E54:E67" si="1">ROUND(D54/$D$68,3)</f>
        <v>2E-3</v>
      </c>
    </row>
    <row r="55" spans="3:5" ht="12.9" customHeight="1">
      <c r="C55" s="1001"/>
      <c r="D55" s="994"/>
      <c r="E55" s="995"/>
    </row>
    <row r="56" spans="3:5" ht="16.5" customHeight="1">
      <c r="C56" s="993" t="str">
        <f>'UHM Sum'!A13</f>
        <v>Higher Education Fund</v>
      </c>
      <c r="D56" s="994">
        <f>'UHM Sum'!B13</f>
        <v>0</v>
      </c>
      <c r="E56" s="995">
        <f t="shared" si="1"/>
        <v>0</v>
      </c>
    </row>
    <row r="57" spans="3:5" ht="16.5" customHeight="1">
      <c r="C57" s="1001" t="s">
        <v>511</v>
      </c>
      <c r="D57" s="994">
        <f>'UHM Sum'!B14</f>
        <v>0</v>
      </c>
      <c r="E57" s="995">
        <f t="shared" si="1"/>
        <v>0</v>
      </c>
    </row>
    <row r="58" spans="3:5" ht="12.9" customHeight="1">
      <c r="C58" s="993" t="s">
        <v>460</v>
      </c>
      <c r="D58" s="994">
        <f>'UHM Sum'!B20</f>
        <v>1092675</v>
      </c>
      <c r="E58" s="995">
        <f t="shared" si="1"/>
        <v>4.9000000000000002E-2</v>
      </c>
    </row>
    <row r="59" spans="3:5" ht="12.9" customHeight="1">
      <c r="C59" s="993" t="s">
        <v>512</v>
      </c>
      <c r="D59" s="994">
        <f>'UHM Sum'!B23</f>
        <v>531356</v>
      </c>
      <c r="E59" s="995">
        <f t="shared" si="1"/>
        <v>2.4E-2</v>
      </c>
    </row>
    <row r="60" spans="3:5" ht="12.9" customHeight="1">
      <c r="C60" s="993" t="s">
        <v>513</v>
      </c>
      <c r="D60" s="994">
        <f>'UHM Sum'!B32</f>
        <v>0</v>
      </c>
      <c r="E60" s="995">
        <f t="shared" si="1"/>
        <v>0</v>
      </c>
    </row>
    <row r="61" spans="3:5" ht="12.9" customHeight="1">
      <c r="C61" s="993" t="s">
        <v>514</v>
      </c>
      <c r="D61" s="994">
        <f>'UHM Sum'!B33</f>
        <v>236857</v>
      </c>
      <c r="E61" s="995">
        <f t="shared" si="1"/>
        <v>1.0999999999999999E-2</v>
      </c>
    </row>
    <row r="62" spans="3:5" ht="12.9" customHeight="1">
      <c r="C62" s="993" t="s">
        <v>515</v>
      </c>
      <c r="D62" s="994">
        <f>'UHM Sum'!B34</f>
        <v>3204713</v>
      </c>
      <c r="E62" s="995">
        <f t="shared" si="1"/>
        <v>0.14499999999999999</v>
      </c>
    </row>
    <row r="63" spans="3:5" ht="12.9" customHeight="1">
      <c r="C63" s="993" t="s">
        <v>516</v>
      </c>
      <c r="D63" s="994">
        <f>'UHM Sum'!B35</f>
        <v>1102623</v>
      </c>
      <c r="E63" s="995">
        <f t="shared" si="1"/>
        <v>0.05</v>
      </c>
    </row>
    <row r="64" spans="3:5" ht="12.9" customHeight="1">
      <c r="C64" s="993" t="s">
        <v>176</v>
      </c>
      <c r="D64" s="994">
        <f>'UHM Sum'!B36</f>
        <v>0</v>
      </c>
      <c r="E64" s="995">
        <f t="shared" si="1"/>
        <v>0</v>
      </c>
    </row>
    <row r="65" spans="3:5" ht="12.9" customHeight="1">
      <c r="C65" s="993" t="s">
        <v>517</v>
      </c>
      <c r="D65" s="994">
        <f>'UHM Sum'!B37</f>
        <v>1065183</v>
      </c>
      <c r="E65" s="995">
        <f t="shared" si="1"/>
        <v>4.8000000000000001E-2</v>
      </c>
    </row>
    <row r="66" spans="3:5" ht="12.9" customHeight="1">
      <c r="C66" s="993" t="s">
        <v>163</v>
      </c>
      <c r="D66" s="994">
        <f>'UHM Sum'!B26</f>
        <v>0</v>
      </c>
      <c r="E66" s="995">
        <f t="shared" si="1"/>
        <v>0</v>
      </c>
    </row>
    <row r="67" spans="3:5" ht="12.9" customHeight="1">
      <c r="C67" s="1002" t="s">
        <v>497</v>
      </c>
      <c r="D67" s="994">
        <f>'UHM Sum'!B29</f>
        <v>0</v>
      </c>
      <c r="E67" s="995">
        <f t="shared" si="1"/>
        <v>0</v>
      </c>
    </row>
    <row r="68" spans="3:5" ht="12.9" customHeight="1">
      <c r="C68" s="997" t="s">
        <v>201</v>
      </c>
      <c r="D68" s="998">
        <f>SUM(D53:D67)</f>
        <v>22173670</v>
      </c>
      <c r="E68" s="999">
        <f>SUM(E53:E67)</f>
        <v>1.0000000000000002</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$22,173,670</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'UHM Sum'!B42</f>
        <v>8581741</v>
      </c>
      <c r="E102" s="995">
        <f>ROUND(D102/$D$115,3)</f>
        <v>0.38800000000000001</v>
      </c>
    </row>
    <row r="103" spans="1:5" ht="12.9" customHeight="1">
      <c r="C103" s="1004" t="s">
        <v>179</v>
      </c>
      <c r="D103" s="994">
        <f>'UHM Sum'!B43</f>
        <v>795202</v>
      </c>
      <c r="E103" s="995">
        <f t="shared" ref="E103:E113" si="2">ROUND(D103/$D$115,3)</f>
        <v>3.5999999999999997E-2</v>
      </c>
    </row>
    <row r="104" spans="1:5" ht="12.9" customHeight="1">
      <c r="C104" s="1004" t="s">
        <v>180</v>
      </c>
      <c r="D104" s="994">
        <f>'UHM Sum'!B44</f>
        <v>2036680</v>
      </c>
      <c r="E104" s="995">
        <f t="shared" si="2"/>
        <v>9.1999999999999998E-2</v>
      </c>
    </row>
    <row r="105" spans="1:5" ht="12.9" customHeight="1">
      <c r="C105" s="1004" t="s">
        <v>181</v>
      </c>
      <c r="D105" s="994">
        <f>'UHM Sum'!B46</f>
        <v>9169986</v>
      </c>
      <c r="E105" s="995">
        <f t="shared" si="2"/>
        <v>0.41499999999999998</v>
      </c>
    </row>
    <row r="106" spans="1:5" ht="12.9" customHeight="1">
      <c r="C106" s="1004" t="s">
        <v>182</v>
      </c>
      <c r="D106" s="994">
        <f>'UHM Sum'!B47</f>
        <v>0</v>
      </c>
      <c r="E106" s="995">
        <f t="shared" si="2"/>
        <v>0</v>
      </c>
    </row>
    <row r="107" spans="1:5" ht="12.9" customHeight="1">
      <c r="C107" s="1004" t="s">
        <v>183</v>
      </c>
      <c r="D107" s="994">
        <f>'UHM Sum'!B48</f>
        <v>353323</v>
      </c>
      <c r="E107" s="995">
        <f t="shared" si="2"/>
        <v>1.6E-2</v>
      </c>
    </row>
    <row r="108" spans="1:5" ht="12.9" customHeight="1">
      <c r="C108" s="1004" t="s">
        <v>519</v>
      </c>
      <c r="D108" s="994">
        <f>'UHM Sum'!B49</f>
        <v>230281</v>
      </c>
      <c r="E108" s="995">
        <f t="shared" si="2"/>
        <v>0.01</v>
      </c>
    </row>
    <row r="109" spans="1:5" ht="12.9" customHeight="1">
      <c r="C109" s="1004" t="s">
        <v>520</v>
      </c>
      <c r="D109" s="994">
        <f>'UHM Sum'!B50</f>
        <v>933229</v>
      </c>
      <c r="E109" s="995">
        <f t="shared" si="2"/>
        <v>4.2000000000000003E-2</v>
      </c>
    </row>
    <row r="110" spans="1:5" ht="12.9" customHeight="1">
      <c r="C110" s="1004" t="s">
        <v>186</v>
      </c>
      <c r="D110" s="994">
        <f>'UHM Sum'!B51</f>
        <v>0</v>
      </c>
      <c r="E110" s="995">
        <f t="shared" si="2"/>
        <v>0</v>
      </c>
    </row>
    <row r="111" spans="1:5" ht="12.9" customHeight="1">
      <c r="C111" s="1004" t="s">
        <v>521</v>
      </c>
      <c r="D111" s="994">
        <f>'UHM Sum'!B52</f>
        <v>0</v>
      </c>
      <c r="E111" s="995">
        <f t="shared" si="2"/>
        <v>0</v>
      </c>
    </row>
    <row r="112" spans="1:5" ht="12.9" customHeight="1">
      <c r="C112" s="993" t="s">
        <v>522</v>
      </c>
      <c r="D112" s="994">
        <f>'UHM Sum'!B53</f>
        <v>0</v>
      </c>
      <c r="E112" s="995">
        <f t="shared" si="2"/>
        <v>0</v>
      </c>
    </row>
    <row r="113" spans="3:5" ht="12.9" customHeight="1">
      <c r="C113" s="996" t="s">
        <v>523</v>
      </c>
      <c r="D113" s="994">
        <f>'UHM Sum'!B45</f>
        <v>0</v>
      </c>
      <c r="E113" s="995">
        <f t="shared" si="2"/>
        <v>0</v>
      </c>
    </row>
    <row r="114" spans="3:5" ht="12.9" customHeight="1">
      <c r="C114" s="991"/>
      <c r="D114" s="991"/>
      <c r="E114" s="999"/>
    </row>
    <row r="115" spans="3:5" ht="12.9" customHeight="1">
      <c r="C115" s="1005" t="s">
        <v>189</v>
      </c>
      <c r="D115" s="998">
        <f>SUM(D102:D114)</f>
        <v>22100442</v>
      </c>
      <c r="E115" s="999">
        <f>SUM(E102:E113)</f>
        <v>0.99900000000000011</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$22,100,442</v>
      </c>
    </row>
    <row r="137" spans="1:1" ht="12.9" customHeight="1">
      <c r="A137" s="1136"/>
    </row>
    <row r="138" spans="1:1" ht="12.9" customHeight="1"/>
    <row r="139" spans="1:1" ht="12.9" customHeight="1">
      <c r="A139" s="1006" t="s">
        <v>524</v>
      </c>
    </row>
    <row r="140" spans="1:1" ht="12.75"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A136:A137"/>
    <mergeCell ref="C9:D9"/>
    <mergeCell ref="A47:A48"/>
    <mergeCell ref="A92:A93"/>
    <mergeCell ref="C100:D100"/>
    <mergeCell ref="C101:D101"/>
  </mergeCells>
  <hyperlinks>
    <hyperlink ref="C1" location="Index!A1" display="Return to Index" xr:uid="{00000000-0004-0000-4600-000000000000}"/>
  </hyperlinks>
  <printOptions horizontalCentered="1"/>
  <pageMargins left="0.5" right="0.5" top="0.25" bottom="0.25" header="0.25" footer="0.25"/>
  <pageSetup scale="41" orientation="portrait" r:id="rId1"/>
  <headerFooter alignWithMargins="0"/>
  <drawing r:id="rId2"/>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ransitionEvaluation="1" transitionEntry="1">
    <tabColor indexed="13"/>
  </sheetPr>
  <dimension ref="A1:AD83"/>
  <sheetViews>
    <sheetView showGridLines="0" zoomScale="85" zoomScaleNormal="85"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3.33203125" style="277" customWidth="1"/>
    <col min="16" max="16384" width="9.109375" style="277"/>
  </cols>
  <sheetData>
    <row r="1" spans="1:15" ht="16.8" thickTop="1" thickBot="1">
      <c r="A1" s="899" t="str">
        <f>'UHM Chts'!$A$1</f>
        <v>University of Houston Medical School (M)</v>
      </c>
      <c r="B1" s="754"/>
      <c r="C1" s="754"/>
      <c r="D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320">
        <f>VLOOKUP(A1,NamesLU,2,FALSE)</f>
        <v>203652</v>
      </c>
      <c r="J2" s="901"/>
      <c r="K2" s="901"/>
      <c r="L2" s="901"/>
      <c r="M2" s="901"/>
      <c r="O2" s="320"/>
    </row>
    <row r="3" spans="1:15" ht="15.75" customHeight="1">
      <c r="A3" s="900" t="str">
        <f>'Smmy Chts'!$A$3</f>
        <v>Source: FY 2022 Annual Financial Report</v>
      </c>
      <c r="B3" s="754"/>
      <c r="C3" s="754"/>
      <c r="O3" s="320"/>
    </row>
    <row r="4" spans="1:15" ht="13.5" customHeight="1">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909"/>
      <c r="C6" s="427">
        <f>VLOOKUP($G$2,FTSELU,10,FALSE)</f>
        <v>60</v>
      </c>
      <c r="J6" s="910"/>
      <c r="O6" s="320"/>
    </row>
    <row r="7" spans="1:15">
      <c r="B7" s="909"/>
      <c r="C7" s="909"/>
      <c r="I7" s="446" t="s">
        <v>533</v>
      </c>
      <c r="J7" s="911"/>
      <c r="O7" s="320"/>
    </row>
    <row r="8" spans="1:15">
      <c r="A8" s="912" t="s">
        <v>151</v>
      </c>
      <c r="B8" s="912"/>
      <c r="C8" s="913"/>
      <c r="I8" s="914">
        <f>VLOOKUP($G$2,FTSELU,11,FALSE)</f>
        <v>93.2</v>
      </c>
      <c r="J8" s="910"/>
      <c r="O8" s="320"/>
    </row>
    <row r="9" spans="1:15" ht="12.75" customHeight="1" thickBot="1">
      <c r="A9" s="279" t="s">
        <v>152</v>
      </c>
      <c r="B9" s="915"/>
      <c r="C9" s="915"/>
      <c r="J9" s="910"/>
      <c r="O9" s="320"/>
    </row>
    <row r="10" spans="1:15" ht="12.75" customHeight="1" thickTop="1">
      <c r="A10" s="277" t="s">
        <v>535</v>
      </c>
      <c r="B10" s="501">
        <f>'UHM FGD'!M10</f>
        <v>14889291</v>
      </c>
      <c r="C10" s="501"/>
      <c r="D10" s="492">
        <f>'UHM FGD'!F10</f>
        <v>0</v>
      </c>
      <c r="E10" s="492"/>
      <c r="F10" s="916">
        <f>B10-(SUM(D10:E10))</f>
        <v>14889291</v>
      </c>
      <c r="G10" s="917" t="s">
        <v>101</v>
      </c>
      <c r="H10" s="918"/>
      <c r="I10" s="919" t="s">
        <v>536</v>
      </c>
      <c r="J10" s="920">
        <f>IFERROR(ROUND(F10/$C$6,0),"")</f>
        <v>248155</v>
      </c>
      <c r="O10" s="320"/>
    </row>
    <row r="11" spans="1:15" ht="12.75" customHeight="1" thickBot="1">
      <c r="A11" s="277" t="s">
        <v>134</v>
      </c>
      <c r="B11" s="669">
        <f>'UHM FGD'!M11</f>
        <v>50972</v>
      </c>
      <c r="C11" s="669"/>
      <c r="D11" s="921">
        <f>'UHM FGD'!F11</f>
        <v>0</v>
      </c>
      <c r="E11" s="754"/>
      <c r="F11" s="922">
        <f t="shared" ref="F11:F14" si="0">B11-(SUM(D11:E11))</f>
        <v>50972</v>
      </c>
      <c r="G11" s="923">
        <f>SUM(F10:F11)</f>
        <v>14940263</v>
      </c>
      <c r="H11" s="924"/>
      <c r="I11" s="925">
        <f>IFERROR(ROUND($G$11/$C$6,0),"")</f>
        <v>249004</v>
      </c>
      <c r="J11" s="926">
        <f>IFERROR(ROUND(F11/$C$6,0),"")</f>
        <v>850</v>
      </c>
      <c r="O11" s="320"/>
    </row>
    <row r="12" spans="1:15" ht="12.75" hidden="1" customHeight="1" thickTop="1" thickBot="1">
      <c r="A12" s="277" t="s">
        <v>537</v>
      </c>
      <c r="B12" s="669"/>
      <c r="C12" s="669"/>
      <c r="D12" s="921"/>
      <c r="E12" s="754"/>
      <c r="F12" s="927"/>
      <c r="J12" s="926"/>
      <c r="O12" s="928"/>
    </row>
    <row r="13" spans="1:15" ht="12.75" customHeight="1" thickTop="1">
      <c r="A13" s="277" t="s">
        <v>468</v>
      </c>
      <c r="B13" s="669">
        <f>'UHM FGD'!M13</f>
        <v>0</v>
      </c>
      <c r="C13" s="669"/>
      <c r="D13" s="921">
        <f>'UHM FGD'!F13</f>
        <v>0</v>
      </c>
      <c r="E13" s="754"/>
      <c r="F13" s="929">
        <f t="shared" si="0"/>
        <v>0</v>
      </c>
      <c r="G13" s="930" t="s">
        <v>102</v>
      </c>
      <c r="H13" s="931"/>
      <c r="I13" s="417" t="s">
        <v>538</v>
      </c>
      <c r="J13" s="926">
        <f>IFERROR(ROUND(F13/$C$6,0),"")</f>
        <v>0</v>
      </c>
      <c r="O13" s="320"/>
    </row>
    <row r="14" spans="1:15" ht="12.75" customHeight="1" thickBot="1">
      <c r="A14" s="277" t="s">
        <v>135</v>
      </c>
      <c r="B14" s="669">
        <f>'UHM FGD'!M14</f>
        <v>0</v>
      </c>
      <c r="C14" s="669"/>
      <c r="D14" s="921">
        <f>'UHM FGD'!F14</f>
        <v>0</v>
      </c>
      <c r="E14" s="754"/>
      <c r="F14" s="927">
        <f t="shared" si="0"/>
        <v>0</v>
      </c>
      <c r="G14" s="932">
        <f>SUM(F13:F14)</f>
        <v>0</v>
      </c>
      <c r="H14" s="933"/>
      <c r="I14" s="934">
        <f>IFERROR(ROUND($G$11/$I$8,0),"")</f>
        <v>160303</v>
      </c>
      <c r="J14" s="935">
        <f>IFERROR(ROUND(F14/$C$6,0),"")</f>
        <v>0</v>
      </c>
      <c r="O14" s="320"/>
    </row>
    <row r="15" spans="1:15" ht="12.75" customHeight="1" thickTop="1">
      <c r="A15" s="936" t="s">
        <v>155</v>
      </c>
      <c r="B15" s="937">
        <f>SUM(B10:B14)</f>
        <v>14940263</v>
      </c>
      <c r="C15" s="937">
        <f>SUM(C10:C14)</f>
        <v>0</v>
      </c>
      <c r="D15" s="937">
        <f>SUM(D10:D14)</f>
        <v>0</v>
      </c>
      <c r="E15" s="937">
        <f>SUM(E10:E14)</f>
        <v>0</v>
      </c>
      <c r="F15" s="938">
        <f>SUM(F10:F14)</f>
        <v>14940263</v>
      </c>
      <c r="I15" s="345"/>
      <c r="J15" s="939">
        <f>SUM(J10:J14)</f>
        <v>249005</v>
      </c>
      <c r="O15" s="320"/>
    </row>
    <row r="16" spans="1:15">
      <c r="C16" s="277"/>
      <c r="J16" s="910"/>
      <c r="O16" s="320"/>
    </row>
    <row r="17" spans="1:15" ht="12.75" customHeight="1">
      <c r="A17" s="279" t="s">
        <v>161</v>
      </c>
      <c r="C17" s="277"/>
      <c r="J17" s="910"/>
      <c r="O17" s="320"/>
    </row>
    <row r="18" spans="1:15">
      <c r="A18" s="277" t="s">
        <v>165</v>
      </c>
      <c r="B18" s="501">
        <f>'UHM FGD'!M29</f>
        <v>783683</v>
      </c>
      <c r="C18" s="501"/>
      <c r="D18" s="492">
        <f>'UHM FGD'!$F$29</f>
        <v>0</v>
      </c>
      <c r="E18" s="492"/>
      <c r="F18" s="492">
        <f t="shared" ref="F18:F19" si="1">B18-(SUM(D18:E18))</f>
        <v>783683</v>
      </c>
      <c r="J18" s="920">
        <f>IFERROR(ROUND(F18/$C$6,0),"")</f>
        <v>13061</v>
      </c>
      <c r="O18" s="320"/>
    </row>
    <row r="19" spans="1:15" ht="13.8" thickBot="1">
      <c r="A19" s="277" t="s">
        <v>166</v>
      </c>
      <c r="B19" s="669">
        <f>'UHM FGD'!M42</f>
        <v>308992</v>
      </c>
      <c r="C19" s="669"/>
      <c r="D19" s="754">
        <f>'UHM FGD'!$F$42</f>
        <v>50940</v>
      </c>
      <c r="E19" s="754"/>
      <c r="F19" s="754">
        <f t="shared" si="1"/>
        <v>258052</v>
      </c>
      <c r="J19" s="926">
        <f>IFERROR(ROUND(F19/$C$6,0),"")</f>
        <v>4301</v>
      </c>
      <c r="O19" s="320"/>
    </row>
    <row r="20" spans="1:15" ht="14.4" thickTop="1" thickBot="1">
      <c r="A20" s="936" t="s">
        <v>167</v>
      </c>
      <c r="B20" s="937">
        <f>SUM(B18:B19)</f>
        <v>1092675</v>
      </c>
      <c r="C20" s="937">
        <f>SUM(C18:C19)</f>
        <v>0</v>
      </c>
      <c r="D20" s="798">
        <f>SUM(D18:D19)</f>
        <v>50940</v>
      </c>
      <c r="E20" s="940">
        <f>SUM(E18:E19)</f>
        <v>0</v>
      </c>
      <c r="F20" s="941">
        <f>SUM(F18:F19)</f>
        <v>1041735</v>
      </c>
      <c r="G20" s="942" t="s">
        <v>539</v>
      </c>
      <c r="H20" s="943"/>
      <c r="J20" s="944">
        <f>SUM(J18:J19)</f>
        <v>17362</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'UHM FGD'!M47</f>
        <v>531356</v>
      </c>
      <c r="C23" s="937"/>
      <c r="D23" s="798">
        <f>'UHM FGD'!F47</f>
        <v>0</v>
      </c>
      <c r="E23" s="940"/>
      <c r="F23" s="941">
        <f>B23-(SUM(D23:E23))</f>
        <v>531356</v>
      </c>
      <c r="G23" s="946" t="s">
        <v>540</v>
      </c>
      <c r="H23" s="943"/>
      <c r="J23" s="947">
        <f>IFERROR(ROUND(F23/$C$6,0),"")</f>
        <v>8856</v>
      </c>
      <c r="O23" s="320"/>
    </row>
    <row r="24" spans="1:15" ht="13.8" thickTop="1">
      <c r="C24" s="277"/>
      <c r="J24" s="910"/>
      <c r="O24" s="320"/>
    </row>
    <row r="25" spans="1:15">
      <c r="A25" s="279" t="s">
        <v>163</v>
      </c>
      <c r="C25" s="277"/>
      <c r="D25" s="754"/>
      <c r="J25" s="910"/>
      <c r="O25" s="320"/>
    </row>
    <row r="26" spans="1:15">
      <c r="A26" s="936" t="s">
        <v>200</v>
      </c>
      <c r="B26" s="937">
        <f>'UHM FGD'!M50</f>
        <v>0</v>
      </c>
      <c r="C26" s="937"/>
      <c r="D26" s="937">
        <f>'UHM FGD'!F50</f>
        <v>0</v>
      </c>
      <c r="E26" s="937">
        <f>B26-D26</f>
        <v>0</v>
      </c>
      <c r="F26" s="937">
        <f t="shared" ref="F26" si="2">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'UHM FGD'!M53</f>
        <v>0</v>
      </c>
      <c r="C29" s="937"/>
      <c r="D29" s="937">
        <f>'UHM FGD'!F53</f>
        <v>0</v>
      </c>
      <c r="E29" s="937">
        <f>B29-D29</f>
        <v>0</v>
      </c>
      <c r="F29" s="937">
        <f t="shared" ref="F29" si="3">B29-(SUM(D29:E29))</f>
        <v>0</v>
      </c>
      <c r="J29" s="926"/>
      <c r="O29" s="320"/>
    </row>
    <row r="30" spans="1:15">
      <c r="C30" s="277"/>
      <c r="E30" s="754"/>
      <c r="F30" s="754"/>
      <c r="J30" s="926"/>
      <c r="O30" s="320"/>
    </row>
    <row r="31" spans="1:15">
      <c r="A31" s="279" t="s">
        <v>171</v>
      </c>
      <c r="C31" s="277"/>
      <c r="E31" s="754"/>
      <c r="F31" s="754"/>
      <c r="G31" s="400"/>
      <c r="H31" s="400"/>
      <c r="I31" s="400"/>
      <c r="J31" s="926"/>
      <c r="O31" s="320"/>
    </row>
    <row r="32" spans="1:15">
      <c r="A32" s="277" t="s">
        <v>172</v>
      </c>
      <c r="B32" s="501">
        <f>'UHM FGD'!M56</f>
        <v>0</v>
      </c>
      <c r="C32" s="501"/>
      <c r="D32" s="492">
        <f>'UHM FGD'!F56</f>
        <v>0</v>
      </c>
      <c r="E32" s="492"/>
      <c r="F32" s="492">
        <f t="shared" ref="F32:F37" si="4">B32-(SUM(D32:E32))</f>
        <v>0</v>
      </c>
      <c r="J32" s="920">
        <f t="shared" ref="J32:J37" si="5">IFERROR(ROUND(F32/$C$6,0),"")</f>
        <v>0</v>
      </c>
      <c r="O32" s="320"/>
    </row>
    <row r="33" spans="1:30">
      <c r="A33" s="277" t="s">
        <v>173</v>
      </c>
      <c r="B33" s="669">
        <f>'UHM FGD'!M57</f>
        <v>236857</v>
      </c>
      <c r="C33" s="669"/>
      <c r="D33" s="921">
        <f>'UHM FGD'!F57</f>
        <v>0</v>
      </c>
      <c r="E33" s="754"/>
      <c r="F33" s="754">
        <f t="shared" si="4"/>
        <v>236857</v>
      </c>
      <c r="J33" s="926">
        <f t="shared" si="5"/>
        <v>3948</v>
      </c>
      <c r="O33" s="320"/>
    </row>
    <row r="34" spans="1:30" ht="13.8" thickBot="1">
      <c r="A34" s="277" t="s">
        <v>174</v>
      </c>
      <c r="B34" s="669">
        <f>'UHM FGD'!M58</f>
        <v>3204713</v>
      </c>
      <c r="C34" s="669"/>
      <c r="D34" s="921">
        <f>'UHM FGD'!F58</f>
        <v>0</v>
      </c>
      <c r="E34" s="754"/>
      <c r="F34" s="754">
        <f t="shared" si="4"/>
        <v>3204713</v>
      </c>
      <c r="J34" s="926">
        <f t="shared" si="5"/>
        <v>53412</v>
      </c>
      <c r="O34" s="320"/>
    </row>
    <row r="35" spans="1:30" ht="13.8" thickBot="1">
      <c r="A35" s="277" t="s">
        <v>175</v>
      </c>
      <c r="B35" s="669">
        <f>'UHM FGD'!M59</f>
        <v>1102623</v>
      </c>
      <c r="C35" s="669"/>
      <c r="D35" s="921">
        <f>'UHM FGD'!F59</f>
        <v>0</v>
      </c>
      <c r="E35" s="754"/>
      <c r="F35" s="754">
        <f t="shared" si="4"/>
        <v>1102623</v>
      </c>
      <c r="J35" s="926">
        <f t="shared" si="5"/>
        <v>18377</v>
      </c>
      <c r="K35" s="1157"/>
      <c r="L35" s="1140"/>
      <c r="M35" s="1140"/>
      <c r="N35" s="1140"/>
      <c r="O35" s="1141"/>
    </row>
    <row r="36" spans="1:30" ht="13.8" thickBot="1">
      <c r="A36" s="277" t="s">
        <v>471</v>
      </c>
      <c r="B36" s="669">
        <f>'UHM FGD'!M60</f>
        <v>0</v>
      </c>
      <c r="C36" s="669"/>
      <c r="D36" s="921">
        <f>'UHM FGD'!F60</f>
        <v>0</v>
      </c>
      <c r="E36" s="754"/>
      <c r="F36" s="754">
        <f t="shared" si="4"/>
        <v>0</v>
      </c>
      <c r="J36" s="926">
        <f t="shared" si="5"/>
        <v>0</v>
      </c>
      <c r="K36" s="1157" t="s">
        <v>268</v>
      </c>
      <c r="L36" s="1140"/>
      <c r="M36" s="1140"/>
      <c r="N36" s="1140"/>
      <c r="O36" s="1141"/>
    </row>
    <row r="37" spans="1:30" ht="13.5" customHeight="1" thickBot="1">
      <c r="A37" s="538" t="s">
        <v>177</v>
      </c>
      <c r="B37" s="669">
        <f>'UHM FGD'!M61</f>
        <v>1065183</v>
      </c>
      <c r="C37" s="669"/>
      <c r="D37" s="921">
        <f>'UHM FGD'!F61</f>
        <v>0</v>
      </c>
      <c r="E37" s="754"/>
      <c r="F37" s="754">
        <f t="shared" si="4"/>
        <v>1065183</v>
      </c>
      <c r="G37" s="400"/>
      <c r="H37" s="400"/>
      <c r="I37" s="400"/>
      <c r="J37" s="926">
        <f t="shared" si="5"/>
        <v>17753</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5609376</v>
      </c>
      <c r="C38" s="937"/>
      <c r="D38" s="949">
        <f>SUM(D32:D37)</f>
        <v>0</v>
      </c>
      <c r="E38" s="949">
        <f>SUM(E32:E37)</f>
        <v>0</v>
      </c>
      <c r="F38" s="950">
        <f>SUM(F32:F37)</f>
        <v>5609376</v>
      </c>
      <c r="G38" s="1154" t="s">
        <v>171</v>
      </c>
      <c r="H38" s="1155"/>
      <c r="I38" s="951" t="s">
        <v>542</v>
      </c>
      <c r="J38" s="952">
        <f>SUM(J32:J37)</f>
        <v>93490</v>
      </c>
      <c r="K38" s="1159"/>
      <c r="L38" s="1159"/>
      <c r="M38" s="1159"/>
      <c r="N38" s="1159" t="s">
        <v>543</v>
      </c>
      <c r="O38" s="1159" t="s">
        <v>280</v>
      </c>
    </row>
    <row r="39" spans="1:30" ht="13.8" thickTop="1">
      <c r="A39" s="953" t="s">
        <v>201</v>
      </c>
      <c r="B39" s="954">
        <f>B15+B20+B23+B26+B29+B38</f>
        <v>22173670</v>
      </c>
      <c r="C39" s="955"/>
      <c r="D39" s="954">
        <f>D15+D20+D23+D26+D29+D38</f>
        <v>50940</v>
      </c>
      <c r="E39" s="954">
        <f>E15+E20+E23+E26+E29+E38</f>
        <v>0</v>
      </c>
      <c r="F39" s="956">
        <f>F38+F23+F20+F15</f>
        <v>22122730</v>
      </c>
      <c r="G39" s="1156" t="s">
        <v>271</v>
      </c>
      <c r="H39" s="1156"/>
      <c r="I39" s="957">
        <f>IFERROR(ROUND($G$41/$C$6,0),"")</f>
        <v>368712</v>
      </c>
      <c r="J39" s="958">
        <f>J15+J20+J23+J38</f>
        <v>368713</v>
      </c>
      <c r="K39" s="1159"/>
      <c r="L39" s="1159"/>
      <c r="M39" s="1159"/>
      <c r="N39" s="1159"/>
      <c r="O39" s="1159"/>
    </row>
    <row r="40" spans="1:30" ht="13.8" thickBot="1">
      <c r="C40" s="277"/>
      <c r="F40" s="320" t="s">
        <v>577</v>
      </c>
      <c r="G40" s="959">
        <f>G14*-1</f>
        <v>0</v>
      </c>
      <c r="I40" s="951" t="s">
        <v>545</v>
      </c>
      <c r="J40" s="960"/>
      <c r="K40" s="1160"/>
      <c r="L40" s="1160"/>
      <c r="M40" s="1160"/>
      <c r="N40" s="1160"/>
      <c r="O40" s="1160"/>
    </row>
    <row r="41" spans="1:30" ht="14.4" thickTop="1" thickBot="1">
      <c r="A41" s="912" t="s">
        <v>178</v>
      </c>
      <c r="B41" s="912"/>
      <c r="C41" s="912"/>
      <c r="D41" s="344"/>
      <c r="E41" s="344"/>
      <c r="F41" s="961" t="s">
        <v>546</v>
      </c>
      <c r="G41" s="962">
        <f>F39+G40</f>
        <v>22122730</v>
      </c>
      <c r="I41" s="963">
        <f>IFERROR(ROUND($G$41/$I$8,0),"")</f>
        <v>237368</v>
      </c>
      <c r="K41" s="964"/>
      <c r="L41" s="964"/>
      <c r="M41" s="964"/>
      <c r="N41" s="964"/>
      <c r="O41" s="964"/>
    </row>
    <row r="42" spans="1:30" ht="13.8" thickTop="1">
      <c r="A42" s="490" t="s">
        <v>92</v>
      </c>
      <c r="B42" s="501">
        <f>'UHM FGD'!M65</f>
        <v>8581741</v>
      </c>
      <c r="C42" s="501"/>
      <c r="D42" s="492">
        <f>'UHM FGD'!F65</f>
        <v>0</v>
      </c>
      <c r="E42" s="492"/>
      <c r="F42" s="492">
        <f t="shared" ref="F42" si="6">B42-(SUM(D42:E42))</f>
        <v>8581741</v>
      </c>
      <c r="H42" s="965" t="s">
        <v>547</v>
      </c>
      <c r="I42" s="966">
        <f>IFERROR(ROUND(F42/$C$6,0),"")</f>
        <v>143029</v>
      </c>
      <c r="J42" s="320" t="s">
        <v>548</v>
      </c>
      <c r="K42" s="492">
        <f>F42</f>
        <v>8581741</v>
      </c>
      <c r="L42" s="492">
        <f>K42</f>
        <v>8581741</v>
      </c>
      <c r="M42" s="492"/>
      <c r="N42" s="492"/>
      <c r="O42" s="492"/>
    </row>
    <row r="43" spans="1:30">
      <c r="A43" s="490" t="s">
        <v>179</v>
      </c>
      <c r="B43" s="669">
        <f>'UHM FGD'!M66</f>
        <v>795202</v>
      </c>
      <c r="C43" s="669"/>
      <c r="D43" s="723">
        <f>'UHM FGD'!F66</f>
        <v>0</v>
      </c>
      <c r="E43" s="754"/>
      <c r="F43" s="754">
        <f t="shared" ref="F43:F44" si="7">B43-(SUM(D43:E43))</f>
        <v>795202</v>
      </c>
      <c r="J43" s="320" t="s">
        <v>549</v>
      </c>
      <c r="K43" s="723">
        <f>F43</f>
        <v>795202</v>
      </c>
      <c r="L43" s="723">
        <f>K43</f>
        <v>795202</v>
      </c>
      <c r="M43" s="723"/>
      <c r="N43" s="723"/>
      <c r="O43" s="723"/>
    </row>
    <row r="44" spans="1:30">
      <c r="A44" s="490" t="s">
        <v>180</v>
      </c>
      <c r="B44" s="669">
        <f>'UHM FGD'!M67</f>
        <v>2036680</v>
      </c>
      <c r="C44" s="669"/>
      <c r="D44" s="723">
        <f>'UHM FGD'!F67</f>
        <v>0</v>
      </c>
      <c r="E44" s="921">
        <f>B44-D44</f>
        <v>2036680</v>
      </c>
      <c r="F44" s="754">
        <f t="shared" si="7"/>
        <v>0</v>
      </c>
      <c r="J44" s="320" t="s">
        <v>550</v>
      </c>
      <c r="K44" s="967"/>
      <c r="L44" s="769"/>
      <c r="M44" s="769" t="s">
        <v>551</v>
      </c>
      <c r="N44" s="769"/>
      <c r="O44" s="968"/>
    </row>
    <row r="45" spans="1:30">
      <c r="A45" s="300" t="s">
        <v>164</v>
      </c>
      <c r="B45" s="669">
        <f>'UHM FGD'!M68</f>
        <v>0</v>
      </c>
      <c r="C45" s="669"/>
      <c r="D45" s="723">
        <f>'UHM FGD'!F68</f>
        <v>0</v>
      </c>
      <c r="E45" s="921">
        <f>B45-D45</f>
        <v>0</v>
      </c>
      <c r="F45" s="754">
        <f t="shared" ref="F45:F53" si="8">B45-(SUM(D45:E45))</f>
        <v>0</v>
      </c>
      <c r="G45" s="492"/>
      <c r="J45" s="320" t="s">
        <v>552</v>
      </c>
      <c r="K45" s="1161" t="s">
        <v>551</v>
      </c>
      <c r="L45" s="1162"/>
      <c r="M45" s="1162"/>
      <c r="N45" s="1162"/>
      <c r="O45" s="1163"/>
    </row>
    <row r="46" spans="1:30">
      <c r="A46" s="490" t="s">
        <v>181</v>
      </c>
      <c r="B46" s="669">
        <f>'UHM FGD'!M69</f>
        <v>9169986</v>
      </c>
      <c r="C46" s="669"/>
      <c r="D46" s="723">
        <f>'UHM FGD'!F69</f>
        <v>0</v>
      </c>
      <c r="E46" s="754"/>
      <c r="F46" s="754">
        <f t="shared" si="8"/>
        <v>9169986</v>
      </c>
      <c r="H46" s="965" t="s">
        <v>553</v>
      </c>
      <c r="I46" s="966">
        <f>IFERROR(ROUND(F46/$C$6,0),"")</f>
        <v>152833</v>
      </c>
      <c r="J46" s="320" t="s">
        <v>554</v>
      </c>
      <c r="K46" s="723">
        <f t="shared" ref="K46:K50" si="9">F46</f>
        <v>9169986</v>
      </c>
      <c r="L46" s="723">
        <f>K46</f>
        <v>9169986</v>
      </c>
      <c r="M46" s="723"/>
      <c r="N46" s="723"/>
      <c r="O46" s="723"/>
    </row>
    <row r="47" spans="1:30">
      <c r="A47" s="490" t="s">
        <v>182</v>
      </c>
      <c r="B47" s="669">
        <f>'UHM FGD'!M70</f>
        <v>0</v>
      </c>
      <c r="C47" s="669"/>
      <c r="D47" s="723">
        <f>'UHM FGD'!F70</f>
        <v>0</v>
      </c>
      <c r="E47" s="754"/>
      <c r="F47" s="754">
        <f t="shared" si="8"/>
        <v>0</v>
      </c>
      <c r="J47" s="320" t="s">
        <v>555</v>
      </c>
      <c r="K47" s="723">
        <f t="shared" si="9"/>
        <v>0</v>
      </c>
      <c r="L47" s="723"/>
      <c r="M47" s="723">
        <f>K47</f>
        <v>0</v>
      </c>
      <c r="N47" s="723"/>
      <c r="O47" s="723"/>
    </row>
    <row r="48" spans="1:30">
      <c r="A48" s="490" t="s">
        <v>183</v>
      </c>
      <c r="B48" s="669">
        <f>'UHM FGD'!M71</f>
        <v>353323</v>
      </c>
      <c r="C48" s="669"/>
      <c r="D48" s="723">
        <f>'UHM FGD'!F71</f>
        <v>0</v>
      </c>
      <c r="E48" s="754"/>
      <c r="F48" s="754">
        <f t="shared" si="8"/>
        <v>353323</v>
      </c>
      <c r="H48" s="965" t="s">
        <v>556</v>
      </c>
      <c r="I48" s="966">
        <f>IFERROR(ROUND(F48/$C$6,0),"")</f>
        <v>5889</v>
      </c>
      <c r="J48" s="320" t="s">
        <v>557</v>
      </c>
      <c r="K48" s="723">
        <f t="shared" si="9"/>
        <v>353323</v>
      </c>
      <c r="L48" s="723"/>
      <c r="M48" s="723"/>
      <c r="N48" s="723">
        <f>K48</f>
        <v>353323</v>
      </c>
      <c r="O48" s="723"/>
    </row>
    <row r="49" spans="1:30">
      <c r="A49" s="490" t="s">
        <v>184</v>
      </c>
      <c r="B49" s="669">
        <f>'UHM FGD'!M72</f>
        <v>230281</v>
      </c>
      <c r="C49" s="669"/>
      <c r="D49" s="723">
        <f>'UHM FGD'!F72</f>
        <v>0</v>
      </c>
      <c r="E49" s="754"/>
      <c r="F49" s="754">
        <f t="shared" si="8"/>
        <v>230281</v>
      </c>
      <c r="J49" s="320" t="s">
        <v>558</v>
      </c>
      <c r="K49" s="723">
        <f t="shared" si="9"/>
        <v>230281</v>
      </c>
      <c r="L49" s="723"/>
      <c r="M49" s="723"/>
      <c r="N49" s="723">
        <f>K49</f>
        <v>230281</v>
      </c>
      <c r="O49" s="723"/>
    </row>
    <row r="50" spans="1:30">
      <c r="A50" s="490" t="s">
        <v>185</v>
      </c>
      <c r="B50" s="669">
        <f>'UHM FGD'!M73</f>
        <v>933229</v>
      </c>
      <c r="C50" s="669"/>
      <c r="D50" s="723">
        <f>'UHM FGD'!F73</f>
        <v>0</v>
      </c>
      <c r="E50" s="754"/>
      <c r="F50" s="754">
        <f t="shared" si="8"/>
        <v>933229</v>
      </c>
      <c r="J50" s="320" t="s">
        <v>559</v>
      </c>
      <c r="K50" s="723">
        <f t="shared" si="9"/>
        <v>933229</v>
      </c>
      <c r="L50" s="723"/>
      <c r="M50" s="723">
        <f>K50</f>
        <v>933229</v>
      </c>
      <c r="N50" s="723"/>
      <c r="O50" s="723"/>
    </row>
    <row r="51" spans="1:30">
      <c r="A51" s="490" t="s">
        <v>472</v>
      </c>
      <c r="B51" s="669">
        <f>'UHM FGD'!M74</f>
        <v>0</v>
      </c>
      <c r="C51" s="669"/>
      <c r="D51" s="969">
        <f>B51</f>
        <v>0</v>
      </c>
      <c r="E51" s="754"/>
      <c r="F51" s="754">
        <f t="shared" si="8"/>
        <v>0</v>
      </c>
      <c r="J51" s="320" t="s">
        <v>560</v>
      </c>
      <c r="K51" s="967"/>
      <c r="L51" s="769"/>
      <c r="M51" s="769" t="s">
        <v>551</v>
      </c>
      <c r="N51" s="769"/>
      <c r="O51" s="968"/>
    </row>
    <row r="52" spans="1:30">
      <c r="A52" s="490" t="s">
        <v>187</v>
      </c>
      <c r="B52" s="669">
        <f>'UHM FGD'!M75</f>
        <v>0</v>
      </c>
      <c r="C52" s="669"/>
      <c r="D52" s="723">
        <f>'UHM FGD'!F75</f>
        <v>0</v>
      </c>
      <c r="E52" s="754"/>
      <c r="F52" s="754">
        <f t="shared" si="8"/>
        <v>0</v>
      </c>
      <c r="J52" s="320" t="s">
        <v>561</v>
      </c>
      <c r="K52" s="723">
        <f t="shared" ref="K52:K53" si="10">F52</f>
        <v>0</v>
      </c>
      <c r="L52" s="723"/>
      <c r="M52" s="723"/>
      <c r="N52" s="723"/>
      <c r="O52" s="723">
        <f>K52</f>
        <v>0</v>
      </c>
    </row>
    <row r="53" spans="1:30" ht="13.8" thickBot="1">
      <c r="A53" s="277" t="s">
        <v>1713</v>
      </c>
      <c r="B53" s="669">
        <f>'UHM FGD'!M76</f>
        <v>0</v>
      </c>
      <c r="C53" s="669"/>
      <c r="D53" s="723">
        <f>'UHM FGD'!F76</f>
        <v>0</v>
      </c>
      <c r="E53" s="754"/>
      <c r="F53" s="754">
        <f t="shared" si="8"/>
        <v>0</v>
      </c>
      <c r="G53" s="400"/>
      <c r="H53" s="965" t="s">
        <v>562</v>
      </c>
      <c r="I53" s="966">
        <f>IFERROR(ROUND(SUM(F43+F47+F49+F50+F52+F53)/$C$6,0),"")</f>
        <v>32645</v>
      </c>
      <c r="J53" s="400" t="s">
        <v>280</v>
      </c>
      <c r="K53" s="723">
        <f t="shared" si="10"/>
        <v>0</v>
      </c>
      <c r="L53" s="970"/>
      <c r="M53" s="970"/>
      <c r="N53" s="970"/>
      <c r="O53" s="723">
        <f>K53</f>
        <v>0</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22100442</v>
      </c>
      <c r="C54" s="972">
        <f>SUM(C42:C53)</f>
        <v>0</v>
      </c>
      <c r="D54" s="972">
        <f>SUM(D42:D53)</f>
        <v>0</v>
      </c>
      <c r="E54" s="973">
        <f>SUM(E43:E53)</f>
        <v>2036680</v>
      </c>
      <c r="F54" s="974">
        <f>SUM(F42:F53)</f>
        <v>20063762</v>
      </c>
      <c r="G54" s="1174" t="s">
        <v>563</v>
      </c>
      <c r="H54" s="1175"/>
      <c r="I54" s="975" t="s">
        <v>623</v>
      </c>
      <c r="J54" s="400" t="s">
        <v>564</v>
      </c>
      <c r="K54" s="976">
        <f>SUM(K42:K53)</f>
        <v>20063762</v>
      </c>
      <c r="L54" s="976">
        <f t="shared" ref="L54:O54" si="11">SUM(L42:L53)</f>
        <v>18546929</v>
      </c>
      <c r="M54" s="976">
        <f t="shared" si="11"/>
        <v>933229</v>
      </c>
      <c r="N54" s="976">
        <f t="shared" si="11"/>
        <v>583604</v>
      </c>
      <c r="O54" s="976">
        <f t="shared" si="11"/>
        <v>0</v>
      </c>
    </row>
    <row r="55" spans="1:30" ht="14.25" customHeight="1" thickTop="1" thickBot="1">
      <c r="C55" s="277"/>
      <c r="F55" s="931"/>
      <c r="G55" s="1176"/>
      <c r="H55" s="1177"/>
      <c r="I55" s="977">
        <f>IFERROR(ROUND(F54/C6,0),"")</f>
        <v>334396</v>
      </c>
      <c r="J55" s="1153" t="s">
        <v>565</v>
      </c>
      <c r="K55" s="970"/>
      <c r="L55" s="970"/>
      <c r="M55" s="970"/>
      <c r="N55" s="970"/>
      <c r="O55" s="970"/>
    </row>
    <row r="56" spans="1:30" ht="16.5" customHeight="1" thickBot="1">
      <c r="A56" s="279" t="s">
        <v>473</v>
      </c>
      <c r="C56" s="277"/>
      <c r="F56" s="978"/>
      <c r="G56" s="1178"/>
      <c r="H56" s="1179"/>
      <c r="I56" s="951" t="s">
        <v>624</v>
      </c>
      <c r="J56" s="1153"/>
      <c r="K56" s="979"/>
      <c r="L56" s="979"/>
      <c r="M56" s="979"/>
      <c r="N56" s="979"/>
      <c r="O56" s="979"/>
      <c r="P56" s="333"/>
      <c r="Q56" s="333"/>
      <c r="R56" s="333"/>
      <c r="S56" s="333"/>
      <c r="T56" s="333"/>
      <c r="U56" s="333"/>
      <c r="V56" s="333"/>
      <c r="W56" s="333"/>
      <c r="X56" s="333"/>
      <c r="Y56" s="333"/>
      <c r="Z56" s="333"/>
      <c r="AA56" s="333"/>
      <c r="AB56" s="333"/>
      <c r="AC56" s="333"/>
      <c r="AD56" s="333"/>
    </row>
    <row r="57" spans="1:30" ht="13.8" thickTop="1">
      <c r="A57" s="277" t="s">
        <v>474</v>
      </c>
      <c r="B57" s="669">
        <f>'UHM FGD'!M80</f>
        <v>0</v>
      </c>
      <c r="C57" s="669"/>
      <c r="D57" s="492">
        <f>'UHM FGD'!F80</f>
        <v>0</v>
      </c>
      <c r="E57" s="492"/>
      <c r="F57" s="980">
        <f t="shared" ref="F57:F60" si="12">B57-(SUM(D57:E57))</f>
        <v>0</v>
      </c>
      <c r="G57" s="930"/>
      <c r="I57" s="981">
        <f>IFERROR(ROUND($F$54/$I$8,0),"")</f>
        <v>215276</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'UHM FGD'!M81</f>
        <v>279911</v>
      </c>
      <c r="C58" s="669"/>
      <c r="D58" s="982">
        <f>'UHM FGD'!F81</f>
        <v>0</v>
      </c>
      <c r="E58" s="915"/>
      <c r="F58" s="754">
        <f t="shared" si="12"/>
        <v>279911</v>
      </c>
      <c r="K58" s="980"/>
      <c r="L58" s="980"/>
      <c r="M58" s="980"/>
      <c r="N58" s="980"/>
      <c r="O58" s="980"/>
    </row>
    <row r="59" spans="1:30">
      <c r="A59" s="983" t="s">
        <v>567</v>
      </c>
      <c r="B59" s="669">
        <f>'UHM FGD'!M82</f>
        <v>0</v>
      </c>
      <c r="C59" s="669"/>
      <c r="D59" s="982">
        <f>'UHM FGD'!F82</f>
        <v>0</v>
      </c>
      <c r="E59" s="915"/>
      <c r="F59" s="754">
        <f t="shared" si="12"/>
        <v>0</v>
      </c>
      <c r="G59" s="400"/>
      <c r="J59" s="400"/>
      <c r="K59" s="400"/>
      <c r="L59" s="400"/>
      <c r="M59" s="400"/>
      <c r="N59" s="400"/>
      <c r="O59" s="400"/>
    </row>
    <row r="60" spans="1:30" ht="12" customHeight="1">
      <c r="A60" s="277" t="s">
        <v>477</v>
      </c>
      <c r="B60" s="669">
        <f>'UHM FGD'!M83</f>
        <v>0</v>
      </c>
      <c r="C60" s="669"/>
      <c r="D60" s="982">
        <f>'UHM FGD'!F83</f>
        <v>0</v>
      </c>
      <c r="E60" s="915"/>
      <c r="F60" s="754">
        <f t="shared" si="12"/>
        <v>0</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279911</v>
      </c>
      <c r="C61" s="937"/>
      <c r="D61" s="937">
        <f>SUM(D57:D60)</f>
        <v>0</v>
      </c>
      <c r="E61" s="937">
        <f>SUM(E57:E60)</f>
        <v>0</v>
      </c>
      <c r="F61" s="984">
        <f>SUM(F57:F60)</f>
        <v>279911</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'UHM FGD'!M87</f>
        <v>0</v>
      </c>
      <c r="C64" s="669"/>
      <c r="D64" s="492">
        <f>'UHM FGD'!F87</f>
        <v>0</v>
      </c>
      <c r="E64" s="492"/>
      <c r="F64" s="492">
        <f t="shared" ref="F64:F65" si="13">B64-(SUM(D64:E64))</f>
        <v>0</v>
      </c>
      <c r="O64" s="320"/>
    </row>
    <row r="65" spans="1:30">
      <c r="A65" s="277" t="s">
        <v>480</v>
      </c>
      <c r="B65" s="669">
        <f>'UHM FGD'!M88</f>
        <v>0</v>
      </c>
      <c r="C65" s="669"/>
      <c r="D65" s="982">
        <f>'UHM FGD'!F88</f>
        <v>0</v>
      </c>
      <c r="E65" s="915"/>
      <c r="F65" s="754">
        <f t="shared" si="13"/>
        <v>0</v>
      </c>
      <c r="O65" s="320"/>
      <c r="P65" s="333"/>
      <c r="Q65" s="333"/>
      <c r="R65" s="333"/>
      <c r="S65" s="333"/>
      <c r="T65" s="333"/>
      <c r="U65" s="333"/>
      <c r="V65" s="333"/>
      <c r="W65" s="333"/>
      <c r="X65" s="333"/>
      <c r="Y65" s="333"/>
      <c r="Z65" s="333"/>
      <c r="AA65" s="333"/>
      <c r="AB65" s="333"/>
      <c r="AC65" s="333"/>
      <c r="AD65" s="333"/>
    </row>
    <row r="66" spans="1:30">
      <c r="A66" s="936" t="s">
        <v>155</v>
      </c>
      <c r="B66" s="937">
        <f>SUM(B64:B65)</f>
        <v>0</v>
      </c>
      <c r="C66" s="937"/>
      <c r="D66" s="937">
        <f>SUM(D64:D65)</f>
        <v>0</v>
      </c>
      <c r="E66" s="937">
        <f>SUM(E64:E65)</f>
        <v>0</v>
      </c>
      <c r="F66" s="937">
        <f>SUM(F64:F65)</f>
        <v>0</v>
      </c>
      <c r="O66" s="320"/>
    </row>
    <row r="67" spans="1:30">
      <c r="C67" s="277"/>
      <c r="O67" s="320"/>
    </row>
    <row r="68" spans="1:30" ht="13.8" thickBot="1">
      <c r="A68" s="985" t="s">
        <v>572</v>
      </c>
      <c r="B68" s="590">
        <f>B39-B54+B61+B66</f>
        <v>353139</v>
      </c>
      <c r="C68" s="590"/>
      <c r="D68" s="590">
        <f>D39-D54+D61+D66</f>
        <v>50940</v>
      </c>
      <c r="E68" s="590">
        <f>E39-E54+E61+E66</f>
        <v>-2036680</v>
      </c>
      <c r="F68" s="590">
        <f>F39-F54+F61+F66</f>
        <v>2338879</v>
      </c>
      <c r="O68" s="320"/>
    </row>
    <row r="69" spans="1:30" ht="13.8" thickTop="1"/>
    <row r="70" spans="1:30">
      <c r="A70" s="320" t="s">
        <v>573</v>
      </c>
      <c r="D70" s="492"/>
    </row>
    <row r="71" spans="1:30">
      <c r="A71" s="277" t="s">
        <v>7</v>
      </c>
    </row>
    <row r="72" spans="1:30">
      <c r="B72" s="986">
        <f>'UHM FGD'!$M$91</f>
        <v>353139</v>
      </c>
      <c r="C72" s="277"/>
      <c r="D72" s="986">
        <f>'UHM FGD'!F91</f>
        <v>50940</v>
      </c>
      <c r="E72" s="986">
        <f>'UHM FGD'!M50</f>
        <v>0</v>
      </c>
      <c r="F72" s="277"/>
    </row>
    <row r="73" spans="1:30">
      <c r="B73" s="986"/>
      <c r="C73" s="277"/>
      <c r="D73" s="986">
        <f>'UHM FGD'!F74</f>
        <v>0</v>
      </c>
      <c r="E73" s="986">
        <f>'UHM FGD'!M53</f>
        <v>0</v>
      </c>
      <c r="F73" s="986"/>
    </row>
    <row r="74" spans="1:30">
      <c r="B74" s="986"/>
      <c r="C74" s="277"/>
      <c r="D74" s="986">
        <f>-'UHM FGD'!M74</f>
        <v>0</v>
      </c>
      <c r="E74" s="986">
        <f>-'UHM FGD'!M68</f>
        <v>0</v>
      </c>
      <c r="F74" s="986"/>
    </row>
    <row r="75" spans="1:30">
      <c r="B75" s="986"/>
      <c r="C75" s="277"/>
      <c r="D75" s="986"/>
      <c r="E75" s="986">
        <f>-'UHM FGD'!M67</f>
        <v>-2036680</v>
      </c>
      <c r="F75" s="986"/>
    </row>
    <row r="76" spans="1:30" ht="12.75" customHeight="1">
      <c r="B76" s="987"/>
      <c r="C76" s="277"/>
      <c r="D76" s="987"/>
      <c r="E76" s="987">
        <f>-D26</f>
        <v>0</v>
      </c>
      <c r="F76" s="986"/>
    </row>
    <row r="77" spans="1:30" ht="12.75" customHeight="1">
      <c r="B77" s="986">
        <f>SUM(B72:B76)</f>
        <v>353139</v>
      </c>
      <c r="C77" s="277"/>
      <c r="D77" s="986">
        <f>SUM(D72:D76)</f>
        <v>50940</v>
      </c>
      <c r="E77" s="986">
        <f>SUM(E72:E76)</f>
        <v>-2036680</v>
      </c>
      <c r="F77" s="986">
        <f>B77-D77-E77</f>
        <v>2338879</v>
      </c>
    </row>
    <row r="78" spans="1:30" ht="12.75" customHeight="1">
      <c r="B78" s="986"/>
      <c r="C78" s="277"/>
      <c r="D78" s="986"/>
      <c r="E78" s="986"/>
      <c r="F78" s="986"/>
    </row>
    <row r="79" spans="1:30" ht="12.75" customHeight="1">
      <c r="B79" s="987"/>
      <c r="C79" s="538"/>
      <c r="D79" s="987"/>
      <c r="E79" s="987"/>
      <c r="F79" s="987"/>
    </row>
    <row r="80" spans="1:30" ht="12.75" customHeight="1">
      <c r="B80" s="986">
        <f>SUM(B77:B79)</f>
        <v>353139</v>
      </c>
      <c r="C80" s="277"/>
      <c r="D80" s="986">
        <f>SUM(D77:D79)</f>
        <v>50940</v>
      </c>
      <c r="E80" s="986">
        <f>SUM(E77:E79)</f>
        <v>-2036680</v>
      </c>
      <c r="F80" s="986">
        <f>SUM(F77:F79)</f>
        <v>2338879</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6">
    <mergeCell ref="K36:O36"/>
    <mergeCell ref="F1:I1"/>
    <mergeCell ref="J1:O1"/>
    <mergeCell ref="D4:D5"/>
    <mergeCell ref="E4:E5"/>
    <mergeCell ref="K35:O35"/>
    <mergeCell ref="K45:O45"/>
    <mergeCell ref="G54:H56"/>
    <mergeCell ref="J55:J56"/>
    <mergeCell ref="K37:K40"/>
    <mergeCell ref="L37:L40"/>
    <mergeCell ref="M37:M40"/>
    <mergeCell ref="N37:N40"/>
    <mergeCell ref="O37:O40"/>
    <mergeCell ref="G38:H38"/>
    <mergeCell ref="G39:H39"/>
  </mergeCells>
  <hyperlinks>
    <hyperlink ref="D1" location="Index!A1" display="Return to Index" xr:uid="{00000000-0004-0000-47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indexed="11"/>
    <pageSetUpPr fitToPage="1"/>
  </sheetPr>
  <dimension ref="A1:AB128"/>
  <sheetViews>
    <sheetView showGridLines="0" zoomScale="75" zoomScaleNormal="75" workbookViewId="0">
      <pane xSplit="2" ySplit="8" topLeftCell="C9"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5.5546875" style="751" customWidth="1"/>
    <col min="13" max="13" width="17" style="751" customWidth="1"/>
    <col min="14" max="14" width="5.44140625" style="751" customWidth="1"/>
    <col min="15" max="15" width="16.664062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N1" s="656">
        <v>12</v>
      </c>
      <c r="O1" s="322"/>
      <c r="P1" s="322"/>
      <c r="Q1" s="322"/>
      <c r="R1" s="322"/>
      <c r="S1" s="322"/>
      <c r="T1" s="322"/>
      <c r="U1" s="322"/>
      <c r="V1" s="322"/>
      <c r="W1" s="322"/>
      <c r="X1" s="322"/>
      <c r="Y1" s="322"/>
      <c r="Z1" s="322"/>
      <c r="AA1" s="322"/>
      <c r="AB1" s="322"/>
    </row>
    <row r="2" spans="1:28" ht="21">
      <c r="A2" s="656">
        <v>1</v>
      </c>
      <c r="B2" s="1168" t="str">
        <f>'UHM Chts'!$A$1</f>
        <v>University of Houston Medical School (M)</v>
      </c>
      <c r="C2" s="1168"/>
      <c r="D2" s="1168"/>
      <c r="E2" s="1168"/>
      <c r="F2" s="1168"/>
      <c r="H2" s="750"/>
      <c r="I2" s="752" t="str">
        <f>IF($B$2&lt;&gt;Input!$H$18,"Name Mismatch","")</f>
        <v/>
      </c>
      <c r="J2" s="750"/>
      <c r="K2" s="750"/>
      <c r="L2" s="750"/>
      <c r="M2" s="672"/>
      <c r="O2" s="321" t="s">
        <v>51</v>
      </c>
      <c r="P2" s="334"/>
    </row>
    <row r="3" spans="1:28" ht="21">
      <c r="A3" s="656">
        <v>2</v>
      </c>
      <c r="B3" s="1168" t="str">
        <f>'Smmy Chts'!$A$2</f>
        <v>For the Year Ended August 31, 2022</v>
      </c>
      <c r="C3" s="1168"/>
      <c r="D3" s="1168"/>
      <c r="E3" s="1168"/>
      <c r="F3" s="1168"/>
      <c r="G3" s="750"/>
      <c r="H3" s="750"/>
      <c r="I3" s="750"/>
      <c r="J3" s="750"/>
      <c r="K3" s="750"/>
      <c r="L3" s="750"/>
      <c r="M3" s="672"/>
      <c r="O3" s="754"/>
    </row>
    <row r="4" spans="1:28" ht="21">
      <c r="A4" s="656">
        <v>3</v>
      </c>
      <c r="B4" s="1168" t="str">
        <f>'Smmy Chts'!$A$3</f>
        <v>Source: FY 2022 Annual Financial Report</v>
      </c>
      <c r="C4" s="1168"/>
      <c r="D4" s="1168"/>
      <c r="E4" s="1168"/>
      <c r="F4" s="1168"/>
      <c r="G4" s="750"/>
      <c r="H4" s="750"/>
      <c r="I4" s="750"/>
      <c r="J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Input!$M$18</f>
        <v>14889291</v>
      </c>
      <c r="E10" s="762">
        <f>Input!$N$18</f>
        <v>0</v>
      </c>
      <c r="F10" s="762">
        <f>Input!$O$18</f>
        <v>0</v>
      </c>
      <c r="G10" s="762">
        <f>Input!$P$18</f>
        <v>0</v>
      </c>
      <c r="H10" s="762">
        <f>Input!$Q$18</f>
        <v>0</v>
      </c>
      <c r="I10" s="762">
        <f>Input!$R$18</f>
        <v>0</v>
      </c>
      <c r="J10" s="762">
        <f>Input!$S$18</f>
        <v>0</v>
      </c>
      <c r="K10" s="762">
        <f>Input!$T$18</f>
        <v>0</v>
      </c>
      <c r="L10" s="762">
        <f>Input!$U$18</f>
        <v>0</v>
      </c>
      <c r="M10" s="723">
        <f t="shared" ref="M10:M15" si="0">D10+E10+F10+G10+H10+I10+J10+K10+L10</f>
        <v>14889291</v>
      </c>
      <c r="O10" s="763"/>
      <c r="P10" s="1200" t="s">
        <v>627</v>
      </c>
      <c r="Q10" s="320"/>
      <c r="R10" s="320"/>
      <c r="S10" s="320"/>
      <c r="V10" s="320"/>
      <c r="W10" s="320"/>
      <c r="X10" s="320"/>
      <c r="Y10" s="320"/>
      <c r="Z10" s="320"/>
      <c r="AA10" s="320"/>
      <c r="AB10" s="320"/>
    </row>
    <row r="11" spans="1:28" s="752" customFormat="1">
      <c r="A11" s="460">
        <v>10</v>
      </c>
      <c r="B11" s="752" t="s">
        <v>134</v>
      </c>
      <c r="D11" s="762">
        <f>Input!$V$18</f>
        <v>0</v>
      </c>
      <c r="E11" s="762">
        <f>Input!$W$18</f>
        <v>0</v>
      </c>
      <c r="F11" s="762">
        <f>Input!$X$18</f>
        <v>0</v>
      </c>
      <c r="G11" s="762">
        <f>Input!$Y$18</f>
        <v>50972</v>
      </c>
      <c r="H11" s="762">
        <f>Input!$Z$18</f>
        <v>0</v>
      </c>
      <c r="I11" s="762">
        <f>Input!$AA$18</f>
        <v>0</v>
      </c>
      <c r="J11" s="762">
        <f>Input!$AB$18</f>
        <v>0</v>
      </c>
      <c r="K11" s="762">
        <f>Input!$AC$18</f>
        <v>0</v>
      </c>
      <c r="L11" s="762">
        <f>Input!$AD$18</f>
        <v>0</v>
      </c>
      <c r="M11" s="723">
        <f t="shared" si="0"/>
        <v>50972</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Input!$AN$18</f>
        <v>0</v>
      </c>
      <c r="E13" s="762">
        <f>Input!$AO$18</f>
        <v>0</v>
      </c>
      <c r="F13" s="762">
        <f>Input!$AP$18</f>
        <v>0</v>
      </c>
      <c r="G13" s="762">
        <f>Input!$AQ$18</f>
        <v>0</v>
      </c>
      <c r="H13" s="762">
        <f>Input!$AR$18</f>
        <v>0</v>
      </c>
      <c r="I13" s="762">
        <f>Input!$AS$18</f>
        <v>0</v>
      </c>
      <c r="J13" s="762">
        <f>Input!$AT$18</f>
        <v>0</v>
      </c>
      <c r="K13" s="762">
        <f>Input!$AU$18</f>
        <v>0</v>
      </c>
      <c r="L13" s="762">
        <f>Input!$AV$18</f>
        <v>0</v>
      </c>
      <c r="M13" s="723">
        <f t="shared" si="0"/>
        <v>0</v>
      </c>
      <c r="O13" s="764" t="str">
        <f>IF(P13&lt;&gt;M13,"Out of Balance","Balanced")</f>
        <v>Balanced</v>
      </c>
      <c r="P13" s="767">
        <f>IFERROR(VLOOKUP($B$2,AMTLU,6,FALSE),0)</f>
        <v>0</v>
      </c>
      <c r="Q13" s="320"/>
      <c r="R13" s="320"/>
      <c r="S13" s="320"/>
      <c r="V13" s="320"/>
      <c r="W13" s="320"/>
      <c r="X13" s="320"/>
      <c r="Y13" s="320"/>
      <c r="Z13" s="320"/>
      <c r="AA13" s="320"/>
      <c r="AB13" s="320"/>
    </row>
    <row r="14" spans="1:28" s="752" customFormat="1" ht="15">
      <c r="A14" s="460">
        <v>13</v>
      </c>
      <c r="B14" s="752" t="s">
        <v>135</v>
      </c>
      <c r="D14" s="762">
        <f>Input!$AW$18</f>
        <v>0</v>
      </c>
      <c r="E14" s="762">
        <f>Input!$AX$18</f>
        <v>0</v>
      </c>
      <c r="F14" s="762">
        <f>Input!$AY$18</f>
        <v>0</v>
      </c>
      <c r="G14" s="762">
        <f>Input!$AZ$18</f>
        <v>0</v>
      </c>
      <c r="H14" s="762">
        <f>Input!$BA$18</f>
        <v>0</v>
      </c>
      <c r="I14" s="762">
        <f>Input!$BB$18</f>
        <v>0</v>
      </c>
      <c r="J14" s="762">
        <f>Input!$BC$18</f>
        <v>0</v>
      </c>
      <c r="K14" s="762">
        <f>Input!$BD$18</f>
        <v>0</v>
      </c>
      <c r="L14" s="762">
        <f>Input!$BE$18</f>
        <v>0</v>
      </c>
      <c r="M14" s="723">
        <f t="shared" si="0"/>
        <v>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14889291</v>
      </c>
      <c r="E15" s="769">
        <f t="shared" ref="E15:L15" si="1">SUM(E10:E14)</f>
        <v>0</v>
      </c>
      <c r="F15" s="769">
        <f t="shared" si="1"/>
        <v>0</v>
      </c>
      <c r="G15" s="769">
        <f t="shared" si="1"/>
        <v>50972</v>
      </c>
      <c r="H15" s="769">
        <f t="shared" si="1"/>
        <v>0</v>
      </c>
      <c r="I15" s="769">
        <f t="shared" si="1"/>
        <v>0</v>
      </c>
      <c r="J15" s="769">
        <f t="shared" si="1"/>
        <v>0</v>
      </c>
      <c r="K15" s="769">
        <f t="shared" si="1"/>
        <v>0</v>
      </c>
      <c r="L15" s="769">
        <f t="shared" si="1"/>
        <v>0</v>
      </c>
      <c r="M15" s="769">
        <f t="shared" si="0"/>
        <v>14940263</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778926</v>
      </c>
      <c r="E18" s="769">
        <f t="shared" si="2"/>
        <v>380551</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1159477</v>
      </c>
      <c r="V18" s="723"/>
      <c r="X18" s="492"/>
    </row>
    <row r="19" spans="1:26" s="320" customFormat="1" ht="12.75" customHeight="1" thickTop="1" thickBot="1">
      <c r="A19" s="322"/>
      <c r="B19" s="320" t="s">
        <v>592</v>
      </c>
      <c r="D19" s="762">
        <f>Input!$BF$18</f>
        <v>0</v>
      </c>
      <c r="E19" s="762">
        <f>Input!$BG$18</f>
        <v>0</v>
      </c>
      <c r="F19" s="762">
        <f>Input!$BH$18</f>
        <v>0</v>
      </c>
      <c r="G19" s="762">
        <f>Input!$BI$18</f>
        <v>0</v>
      </c>
      <c r="H19" s="762">
        <f>Input!$BJ$18</f>
        <v>0</v>
      </c>
      <c r="I19" s="762">
        <f>Input!BK6</f>
        <v>0</v>
      </c>
      <c r="J19" s="762">
        <f>Input!$BL$18</f>
        <v>0</v>
      </c>
      <c r="K19" s="762">
        <f>Input!BM6</f>
        <v>0</v>
      </c>
      <c r="L19" s="762">
        <f>Input!BN6</f>
        <v>0</v>
      </c>
      <c r="M19" s="723">
        <f t="shared" si="3"/>
        <v>0</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Input!$BO$18</f>
        <v>0</v>
      </c>
      <c r="E20" s="762">
        <f>Input!$BP$18</f>
        <v>0</v>
      </c>
      <c r="F20" s="762">
        <f>Input!$BQ$18</f>
        <v>0</v>
      </c>
      <c r="G20" s="762">
        <f>Input!$BR$18</f>
        <v>0</v>
      </c>
      <c r="H20" s="762">
        <f>Input!$BS$18</f>
        <v>0</v>
      </c>
      <c r="I20" s="762">
        <f>Input!$BT$18</f>
        <v>0</v>
      </c>
      <c r="J20" s="762">
        <f>Input!BU6</f>
        <v>0</v>
      </c>
      <c r="K20" s="762">
        <f>Input!BV6</f>
        <v>0</v>
      </c>
      <c r="L20" s="762">
        <f>Input!$BW$18</f>
        <v>0</v>
      </c>
      <c r="M20" s="723">
        <f t="shared" si="3"/>
        <v>0</v>
      </c>
      <c r="O20" s="773" t="s">
        <v>631</v>
      </c>
      <c r="P20" s="774"/>
      <c r="Q20" s="774"/>
      <c r="R20" s="774"/>
      <c r="S20" s="775"/>
      <c r="U20" s="776" t="s">
        <v>252</v>
      </c>
      <c r="Y20" s="777"/>
    </row>
    <row r="21" spans="1:26" s="320" customFormat="1">
      <c r="A21" s="322"/>
      <c r="B21" s="320" t="s">
        <v>594</v>
      </c>
      <c r="D21" s="762">
        <f>Input!$BX$18</f>
        <v>0</v>
      </c>
      <c r="E21" s="762">
        <f>Input!$BY$18</f>
        <v>0</v>
      </c>
      <c r="F21" s="762">
        <f>Input!$BZ$18</f>
        <v>0</v>
      </c>
      <c r="G21" s="762">
        <f>Input!$CA$18</f>
        <v>0</v>
      </c>
      <c r="H21" s="762">
        <f>Input!$CB$18</f>
        <v>0</v>
      </c>
      <c r="I21" s="762">
        <f>Input!$CC$18</f>
        <v>0</v>
      </c>
      <c r="J21" s="762">
        <f>Input!$CD$18</f>
        <v>0</v>
      </c>
      <c r="K21" s="762">
        <f>Input!$CE$18</f>
        <v>0</v>
      </c>
      <c r="L21" s="762">
        <f>Input!$CF$18</f>
        <v>0</v>
      </c>
      <c r="M21" s="723">
        <f t="shared" si="3"/>
        <v>0</v>
      </c>
      <c r="O21" s="778"/>
      <c r="R21" s="492"/>
      <c r="S21" s="779"/>
      <c r="U21" s="780" t="s">
        <v>632</v>
      </c>
      <c r="X21" s="781">
        <f>M44</f>
        <v>1092675</v>
      </c>
      <c r="Y21" s="777"/>
      <c r="Z21" s="492"/>
    </row>
    <row r="22" spans="1:26" s="320" customFormat="1">
      <c r="A22" s="322"/>
      <c r="B22" s="320" t="s">
        <v>595</v>
      </c>
      <c r="D22" s="762">
        <f>Input!$CG$18</f>
        <v>0</v>
      </c>
      <c r="E22" s="762">
        <f>Input!$CH$18</f>
        <v>0</v>
      </c>
      <c r="F22" s="762">
        <f>Input!$CI$18</f>
        <v>0</v>
      </c>
      <c r="G22" s="762">
        <f>Input!$CJ$18</f>
        <v>0</v>
      </c>
      <c r="H22" s="762">
        <f>Input!$CK$18</f>
        <v>0</v>
      </c>
      <c r="I22" s="762">
        <f>Input!$CL$18</f>
        <v>0</v>
      </c>
      <c r="J22" s="762">
        <f>Input!$CM$18</f>
        <v>0</v>
      </c>
      <c r="K22" s="762">
        <f>Input!$CN$18</f>
        <v>0</v>
      </c>
      <c r="L22" s="762">
        <f>Input!$CO$18</f>
        <v>0</v>
      </c>
      <c r="M22" s="723">
        <f t="shared" si="3"/>
        <v>0</v>
      </c>
      <c r="N22" s="406"/>
      <c r="O22" s="778" t="s">
        <v>633</v>
      </c>
      <c r="Q22" s="492">
        <f>M23</f>
        <v>1159477</v>
      </c>
      <c r="S22" s="782"/>
      <c r="U22" s="780" t="s">
        <v>634</v>
      </c>
      <c r="X22" s="783">
        <f>R30*-1</f>
        <v>523964</v>
      </c>
      <c r="Y22" s="777"/>
    </row>
    <row r="23" spans="1:26" s="320" customFormat="1" ht="12.75" customHeight="1">
      <c r="A23" s="322"/>
      <c r="B23" s="772" t="s">
        <v>233</v>
      </c>
      <c r="C23" s="784"/>
      <c r="D23" s="785">
        <f>Input!$CP$18</f>
        <v>778926</v>
      </c>
      <c r="E23" s="785">
        <f>Input!$CQ$18</f>
        <v>380551</v>
      </c>
      <c r="F23" s="785">
        <f>Input!$CR$18</f>
        <v>0</v>
      </c>
      <c r="G23" s="785">
        <f>Input!$CS$18</f>
        <v>0</v>
      </c>
      <c r="H23" s="785">
        <f>Input!$CT$18</f>
        <v>0</v>
      </c>
      <c r="I23" s="785">
        <f>Input!$CU$18</f>
        <v>0</v>
      </c>
      <c r="J23" s="785">
        <f>Input!$CV$18</f>
        <v>0</v>
      </c>
      <c r="K23" s="785">
        <f>Input!$CW$18</f>
        <v>0</v>
      </c>
      <c r="L23" s="785">
        <f>Input!$CX$18</f>
        <v>0</v>
      </c>
      <c r="M23" s="786">
        <f t="shared" si="3"/>
        <v>1159477</v>
      </c>
      <c r="O23" s="778"/>
      <c r="Q23" s="492"/>
      <c r="S23" s="782"/>
      <c r="U23" s="776" t="s">
        <v>635</v>
      </c>
      <c r="Y23" s="777">
        <f>SUM(X21:X22)</f>
        <v>1616639</v>
      </c>
      <c r="Z23" s="492"/>
    </row>
    <row r="24" spans="1:26" s="320" customFormat="1" ht="12.75" customHeight="1">
      <c r="A24" s="322"/>
      <c r="B24" s="320" t="s">
        <v>596</v>
      </c>
      <c r="C24" s="751"/>
      <c r="D24" s="762">
        <f>Input!$CY$18</f>
        <v>0</v>
      </c>
      <c r="E24" s="762">
        <f>Input!$CZ$18</f>
        <v>0</v>
      </c>
      <c r="F24" s="762">
        <f>Input!$DA$18</f>
        <v>0</v>
      </c>
      <c r="G24" s="762">
        <f>Input!$DB$18</f>
        <v>0</v>
      </c>
      <c r="H24" s="762">
        <f>Input!$DC$18</f>
        <v>0</v>
      </c>
      <c r="I24" s="762">
        <f>Input!$DD$18</f>
        <v>0</v>
      </c>
      <c r="J24" s="762">
        <f>Input!$DE$18</f>
        <v>0</v>
      </c>
      <c r="K24" s="762">
        <f>Input!$DF$18</f>
        <v>0</v>
      </c>
      <c r="L24" s="762">
        <f>Input!$DG$18</f>
        <v>0</v>
      </c>
      <c r="M24" s="650">
        <f t="shared" si="3"/>
        <v>0</v>
      </c>
      <c r="O24" s="787" t="s">
        <v>636</v>
      </c>
      <c r="Q24" s="723"/>
      <c r="R24" s="723">
        <f>SUM(M24:M28)</f>
        <v>-375794</v>
      </c>
      <c r="S24" s="782"/>
      <c r="U24" s="776"/>
      <c r="Y24" s="777"/>
      <c r="Z24" s="492"/>
    </row>
    <row r="25" spans="1:26" s="320" customFormat="1" ht="12.75" customHeight="1">
      <c r="A25" s="322"/>
      <c r="B25" s="320" t="s">
        <v>597</v>
      </c>
      <c r="C25" s="751"/>
      <c r="D25" s="762">
        <f>Input!$DH$18</f>
        <v>0</v>
      </c>
      <c r="E25" s="762">
        <f>Input!$DI$18</f>
        <v>0</v>
      </c>
      <c r="F25" s="762">
        <f>Input!$DJ$18</f>
        <v>0</v>
      </c>
      <c r="G25" s="762">
        <f>Input!$DK$18</f>
        <v>0</v>
      </c>
      <c r="H25" s="762">
        <f>Input!$DL$18</f>
        <v>0</v>
      </c>
      <c r="I25" s="762">
        <f>Input!$DM$18</f>
        <v>0</v>
      </c>
      <c r="J25" s="762">
        <f>Input!$DN$18</f>
        <v>0</v>
      </c>
      <c r="K25" s="762">
        <f>Input!$DO$18</f>
        <v>0</v>
      </c>
      <c r="L25" s="762">
        <f>Input!$DP$18</f>
        <v>0</v>
      </c>
      <c r="M25" s="650">
        <f t="shared" si="3"/>
        <v>0</v>
      </c>
      <c r="O25" s="778"/>
      <c r="Q25" s="723"/>
      <c r="R25" s="723"/>
      <c r="S25" s="782"/>
      <c r="U25" s="788" t="s">
        <v>637</v>
      </c>
      <c r="V25" s="789"/>
      <c r="W25" s="789"/>
      <c r="X25" s="790">
        <f>(M26+M39)*-1</f>
        <v>0</v>
      </c>
      <c r="Y25" s="777"/>
      <c r="Z25" s="492"/>
    </row>
    <row r="26" spans="1:26" s="320" customFormat="1" ht="12.75" customHeight="1">
      <c r="A26" s="322"/>
      <c r="B26" s="320" t="s">
        <v>598</v>
      </c>
      <c r="C26" s="751"/>
      <c r="D26" s="762">
        <f>Input!$DQ$18</f>
        <v>0</v>
      </c>
      <c r="E26" s="762">
        <f>Input!$DR$18</f>
        <v>0</v>
      </c>
      <c r="F26" s="762">
        <f>Input!$DS$18</f>
        <v>0</v>
      </c>
      <c r="G26" s="762">
        <f>Input!$DT$18</f>
        <v>0</v>
      </c>
      <c r="H26" s="762">
        <f>Input!$DU$18</f>
        <v>0</v>
      </c>
      <c r="I26" s="762">
        <f>Input!$DV$18</f>
        <v>0</v>
      </c>
      <c r="J26" s="762">
        <f>Input!$DW$18</f>
        <v>0</v>
      </c>
      <c r="K26" s="762">
        <f>Input!$DX$18</f>
        <v>0</v>
      </c>
      <c r="L26" s="762">
        <f>Input!$DY$18</f>
        <v>0</v>
      </c>
      <c r="M26" s="650">
        <f t="shared" si="3"/>
        <v>0</v>
      </c>
      <c r="O26" s="778" t="s">
        <v>638</v>
      </c>
      <c r="Q26" s="723">
        <f>M36</f>
        <v>457162</v>
      </c>
      <c r="R26" s="791"/>
      <c r="S26" s="792"/>
      <c r="U26" s="776" t="s">
        <v>639</v>
      </c>
      <c r="X26" s="793">
        <f>(M21+M34)*-1</f>
        <v>0</v>
      </c>
      <c r="Y26" s="777"/>
      <c r="Z26" s="492"/>
    </row>
    <row r="27" spans="1:26" s="320" customFormat="1">
      <c r="A27" s="322"/>
      <c r="B27" s="320" t="s">
        <v>599</v>
      </c>
      <c r="C27" s="751"/>
      <c r="D27" s="762">
        <f>Input!$DZ$18</f>
        <v>0</v>
      </c>
      <c r="E27" s="762">
        <f>Input!$EA$18</f>
        <v>0</v>
      </c>
      <c r="F27" s="762">
        <f>Input!$EB$18</f>
        <v>0</v>
      </c>
      <c r="G27" s="762">
        <f>Input!$EC$18</f>
        <v>0</v>
      </c>
      <c r="H27" s="762">
        <f>Input!$ED$18</f>
        <v>0</v>
      </c>
      <c r="I27" s="762">
        <f>Input!$EE$18</f>
        <v>0</v>
      </c>
      <c r="J27" s="762">
        <f>Input!$EF$18</f>
        <v>0</v>
      </c>
      <c r="K27" s="762">
        <f>Input!$EG$18</f>
        <v>0</v>
      </c>
      <c r="L27" s="762">
        <f>Input!$EH$18</f>
        <v>0</v>
      </c>
      <c r="M27" s="650">
        <f t="shared" si="3"/>
        <v>0</v>
      </c>
      <c r="O27" s="778"/>
      <c r="Q27" s="723"/>
      <c r="R27" s="791"/>
      <c r="S27" s="792"/>
      <c r="U27" s="780" t="s">
        <v>640</v>
      </c>
      <c r="V27" s="314"/>
      <c r="W27" s="314"/>
      <c r="X27" s="794">
        <f>SUM(X25:X26)</f>
        <v>0</v>
      </c>
      <c r="Y27" s="721"/>
    </row>
    <row r="28" spans="1:26" s="320" customFormat="1">
      <c r="A28" s="322"/>
      <c r="B28" s="320" t="s">
        <v>600</v>
      </c>
      <c r="C28" s="751"/>
      <c r="D28" s="762">
        <f>Input!$EI$18</f>
        <v>-252455</v>
      </c>
      <c r="E28" s="762">
        <f>Input!$EJ$18</f>
        <v>-123339</v>
      </c>
      <c r="F28" s="762">
        <f>Input!$EK$18</f>
        <v>0</v>
      </c>
      <c r="G28" s="762">
        <f>Input!$EL$18</f>
        <v>0</v>
      </c>
      <c r="H28" s="762">
        <f>Input!$EM$18</f>
        <v>0</v>
      </c>
      <c r="I28" s="762">
        <f>Input!$EN$18</f>
        <v>0</v>
      </c>
      <c r="J28" s="762">
        <f>Input!$EO$18</f>
        <v>0</v>
      </c>
      <c r="K28" s="762">
        <f>Input!$EP$18</f>
        <v>0</v>
      </c>
      <c r="L28" s="762">
        <f>Input!$EQ$18</f>
        <v>0</v>
      </c>
      <c r="M28" s="650">
        <f t="shared" si="3"/>
        <v>-375794</v>
      </c>
      <c r="O28" s="787" t="s">
        <v>641</v>
      </c>
      <c r="Q28" s="723"/>
      <c r="R28" s="723">
        <f>SUM(M37:M41)</f>
        <v>-148170</v>
      </c>
      <c r="S28" s="782"/>
      <c r="U28" s="776" t="s">
        <v>642</v>
      </c>
      <c r="X28" s="777">
        <f>(M27+M40)*-1</f>
        <v>0</v>
      </c>
      <c r="Y28" s="721"/>
      <c r="Z28" s="492"/>
    </row>
    <row r="29" spans="1:26" s="320" customFormat="1" ht="12" customHeight="1">
      <c r="A29" s="322"/>
      <c r="B29" s="795" t="s">
        <v>165</v>
      </c>
      <c r="C29" s="784"/>
      <c r="D29" s="769">
        <f t="shared" ref="D29:L29" si="4">SUM(D23:D28)</f>
        <v>526471</v>
      </c>
      <c r="E29" s="769">
        <f t="shared" si="4"/>
        <v>257212</v>
      </c>
      <c r="F29" s="769">
        <f t="shared" si="4"/>
        <v>0</v>
      </c>
      <c r="G29" s="769">
        <f t="shared" si="4"/>
        <v>0</v>
      </c>
      <c r="H29" s="769">
        <f t="shared" si="4"/>
        <v>0</v>
      </c>
      <c r="I29" s="769">
        <f t="shared" si="4"/>
        <v>0</v>
      </c>
      <c r="J29" s="769">
        <f t="shared" si="4"/>
        <v>0</v>
      </c>
      <c r="K29" s="769">
        <f t="shared" si="4"/>
        <v>0</v>
      </c>
      <c r="L29" s="769">
        <f t="shared" si="4"/>
        <v>0</v>
      </c>
      <c r="M29" s="769">
        <f t="shared" si="3"/>
        <v>783683</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1616639</v>
      </c>
      <c r="R30" s="798">
        <f>R28+R24</f>
        <v>-523964</v>
      </c>
      <c r="S30" s="799"/>
      <c r="U30" s="780" t="s">
        <v>645</v>
      </c>
      <c r="V30" s="314"/>
      <c r="W30" s="314"/>
      <c r="X30" s="794">
        <f>SUM(X28:X29)</f>
        <v>0</v>
      </c>
      <c r="Y30" s="721"/>
    </row>
    <row r="31" spans="1:26" s="320" customFormat="1" ht="12.75" customHeight="1">
      <c r="A31" s="322"/>
      <c r="B31" s="772" t="s">
        <v>238</v>
      </c>
      <c r="C31" s="772"/>
      <c r="D31" s="769">
        <f t="shared" ref="D31:L31" si="5">D36-SUM(D32:D35)</f>
        <v>0</v>
      </c>
      <c r="E31" s="769">
        <f t="shared" si="5"/>
        <v>381796</v>
      </c>
      <c r="F31" s="769">
        <f t="shared" si="5"/>
        <v>75366</v>
      </c>
      <c r="G31" s="769">
        <f t="shared" si="5"/>
        <v>0</v>
      </c>
      <c r="H31" s="769">
        <f t="shared" si="5"/>
        <v>0</v>
      </c>
      <c r="I31" s="769">
        <f t="shared" si="5"/>
        <v>0</v>
      </c>
      <c r="J31" s="769">
        <f t="shared" si="5"/>
        <v>0</v>
      </c>
      <c r="K31" s="769">
        <f t="shared" si="5"/>
        <v>0</v>
      </c>
      <c r="L31" s="769">
        <f t="shared" si="5"/>
        <v>0</v>
      </c>
      <c r="M31" s="769">
        <f t="shared" ref="M31:M42" si="6">D31+E31+F31+G31+H31+I31+J31+K31+L31</f>
        <v>457162</v>
      </c>
      <c r="O31" s="778" t="s">
        <v>646</v>
      </c>
      <c r="Q31" s="406"/>
      <c r="S31" s="782"/>
      <c r="U31" s="800" t="s">
        <v>647</v>
      </c>
      <c r="V31" s="801"/>
      <c r="W31" s="801"/>
      <c r="X31" s="802">
        <f>X27+X30</f>
        <v>0</v>
      </c>
      <c r="Y31" s="777"/>
      <c r="Z31" s="492"/>
    </row>
    <row r="32" spans="1:26" s="320" customFormat="1" ht="12.75" customHeight="1">
      <c r="A32" s="322"/>
      <c r="B32" s="320" t="s">
        <v>592</v>
      </c>
      <c r="D32" s="762">
        <f>Input!$ER$18</f>
        <v>0</v>
      </c>
      <c r="E32" s="762">
        <f>Input!$ES$18</f>
        <v>0</v>
      </c>
      <c r="F32" s="762">
        <f>Input!$ET$18</f>
        <v>0</v>
      </c>
      <c r="G32" s="762">
        <f>Input!$EU$18</f>
        <v>0</v>
      </c>
      <c r="H32" s="762">
        <f>Input!$EV$18</f>
        <v>0</v>
      </c>
      <c r="I32" s="762">
        <f>Input!$EW$18</f>
        <v>0</v>
      </c>
      <c r="J32" s="762">
        <f>Input!$EX$18</f>
        <v>0</v>
      </c>
      <c r="K32" s="762">
        <f>Input!$EY$18</f>
        <v>0</v>
      </c>
      <c r="L32" s="762">
        <f>Input!$EZ$18</f>
        <v>0</v>
      </c>
      <c r="M32" s="650">
        <f t="shared" si="6"/>
        <v>0</v>
      </c>
      <c r="O32" s="803" t="s">
        <v>648</v>
      </c>
      <c r="P32" s="804"/>
      <c r="Q32" s="805">
        <f>Input!$TI$18</f>
        <v>1616639</v>
      </c>
      <c r="R32" s="804"/>
      <c r="S32" s="806"/>
      <c r="U32" s="776"/>
      <c r="Y32" s="777"/>
      <c r="Z32" s="492"/>
    </row>
    <row r="33" spans="1:28" s="320" customFormat="1">
      <c r="A33" s="322"/>
      <c r="B33" s="320" t="s">
        <v>593</v>
      </c>
      <c r="D33" s="762">
        <f>Input!$FA$18</f>
        <v>0</v>
      </c>
      <c r="E33" s="762">
        <f>Input!$FB$18</f>
        <v>0</v>
      </c>
      <c r="F33" s="762">
        <f>Input!$FC$18</f>
        <v>0</v>
      </c>
      <c r="G33" s="762">
        <f>Input!$FD$18</f>
        <v>0</v>
      </c>
      <c r="H33" s="762">
        <f>Input!$FE$18</f>
        <v>0</v>
      </c>
      <c r="I33" s="762">
        <f>Input!$FF$18</f>
        <v>0</v>
      </c>
      <c r="J33" s="762">
        <f>Input!$FG$18</f>
        <v>0</v>
      </c>
      <c r="K33" s="762">
        <f>Input!$FH$18</f>
        <v>0</v>
      </c>
      <c r="L33" s="762">
        <f>Input!$FI$18</f>
        <v>0</v>
      </c>
      <c r="M33" s="650">
        <f t="shared" si="6"/>
        <v>0</v>
      </c>
      <c r="O33" s="803"/>
      <c r="P33" s="804"/>
      <c r="Q33" s="723"/>
      <c r="R33" s="804"/>
      <c r="S33" s="806"/>
      <c r="U33" s="776" t="s">
        <v>649</v>
      </c>
      <c r="X33" s="492">
        <f>(M19+M32)*-1</f>
        <v>0</v>
      </c>
      <c r="Y33" s="777"/>
    </row>
    <row r="34" spans="1:28" s="320" customFormat="1">
      <c r="A34" s="322"/>
      <c r="B34" s="320" t="s">
        <v>594</v>
      </c>
      <c r="D34" s="762">
        <f>Input!$FJ$18</f>
        <v>0</v>
      </c>
      <c r="E34" s="762">
        <f>Input!$FK$18</f>
        <v>0</v>
      </c>
      <c r="F34" s="762">
        <f>Input!$FL$18</f>
        <v>0</v>
      </c>
      <c r="G34" s="762">
        <f>Input!$FM$18</f>
        <v>0</v>
      </c>
      <c r="H34" s="762">
        <f>Input!$FN$18</f>
        <v>0</v>
      </c>
      <c r="I34" s="762">
        <f>Input!$FO$18</f>
        <v>0</v>
      </c>
      <c r="J34" s="762">
        <f>Input!$FP$18</f>
        <v>0</v>
      </c>
      <c r="K34" s="762">
        <f>Input!$FQ$18</f>
        <v>0</v>
      </c>
      <c r="L34" s="762">
        <f>Input!$FR$18</f>
        <v>0</v>
      </c>
      <c r="M34" s="650">
        <f t="shared" si="6"/>
        <v>0</v>
      </c>
      <c r="O34" s="807" t="s">
        <v>650</v>
      </c>
      <c r="P34" s="808"/>
      <c r="Q34" s="320" t="s">
        <v>651</v>
      </c>
      <c r="R34" s="805">
        <f>Input!$TJ$18</f>
        <v>-523964</v>
      </c>
      <c r="S34" s="809"/>
      <c r="U34" s="776" t="s">
        <v>652</v>
      </c>
      <c r="X34" s="739">
        <f>(M24+M37)*-1</f>
        <v>0</v>
      </c>
      <c r="Y34" s="777"/>
    </row>
    <row r="35" spans="1:28" s="320" customFormat="1" ht="13.8" thickBot="1">
      <c r="A35" s="322"/>
      <c r="B35" s="320" t="s">
        <v>595</v>
      </c>
      <c r="D35" s="762">
        <f>Input!$FS$18</f>
        <v>0</v>
      </c>
      <c r="E35" s="762">
        <f>Input!$FT$18</f>
        <v>0</v>
      </c>
      <c r="F35" s="762">
        <f>Input!$FU$18</f>
        <v>0</v>
      </c>
      <c r="G35" s="762">
        <f>Input!$FV$18</f>
        <v>0</v>
      </c>
      <c r="H35" s="762">
        <f>Input!$FW$18</f>
        <v>0</v>
      </c>
      <c r="I35" s="762">
        <f>Input!$FX$18</f>
        <v>0</v>
      </c>
      <c r="J35" s="762">
        <f>Input!$FY$18</f>
        <v>0</v>
      </c>
      <c r="K35" s="762">
        <f>Input!$FZ$18</f>
        <v>0</v>
      </c>
      <c r="L35" s="762">
        <f>Input!$GA$18</f>
        <v>0</v>
      </c>
      <c r="M35" s="650">
        <f t="shared" si="6"/>
        <v>0</v>
      </c>
      <c r="O35" s="810" t="s">
        <v>653</v>
      </c>
      <c r="P35" s="811"/>
      <c r="Q35" s="812">
        <f>Q30-Q32</f>
        <v>0</v>
      </c>
      <c r="R35" s="813">
        <f>R30-R34</f>
        <v>0</v>
      </c>
      <c r="S35" s="814"/>
      <c r="U35" s="780" t="s">
        <v>654</v>
      </c>
      <c r="V35" s="314"/>
      <c r="W35" s="314"/>
      <c r="X35" s="781">
        <f>SUM(X33:X34)</f>
        <v>0</v>
      </c>
      <c r="Y35" s="721"/>
    </row>
    <row r="36" spans="1:28" s="320" customFormat="1" ht="13.8" thickTop="1">
      <c r="A36" s="322"/>
      <c r="B36" s="772" t="s">
        <v>239</v>
      </c>
      <c r="C36" s="784"/>
      <c r="D36" s="785">
        <f>Input!$GB$18</f>
        <v>0</v>
      </c>
      <c r="E36" s="785">
        <f>Input!$GC$18</f>
        <v>381796</v>
      </c>
      <c r="F36" s="785">
        <f>Input!$GD$18</f>
        <v>75366</v>
      </c>
      <c r="G36" s="785">
        <f>Input!$GE$18</f>
        <v>0</v>
      </c>
      <c r="H36" s="785">
        <f>Input!$GF$18</f>
        <v>0</v>
      </c>
      <c r="I36" s="785">
        <f>Input!$GG$18</f>
        <v>0</v>
      </c>
      <c r="J36" s="785">
        <f>Input!$GH$18</f>
        <v>0</v>
      </c>
      <c r="K36" s="785">
        <f>Input!$GI$18</f>
        <v>0</v>
      </c>
      <c r="L36" s="785">
        <f>Input!$GJ$18</f>
        <v>0</v>
      </c>
      <c r="M36" s="786">
        <f t="shared" si="6"/>
        <v>457162</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Input!$GK$18</f>
        <v>0</v>
      </c>
      <c r="E37" s="762">
        <f>Input!$GL$18</f>
        <v>0</v>
      </c>
      <c r="F37" s="762">
        <f>Input!$GM$18</f>
        <v>0</v>
      </c>
      <c r="G37" s="762">
        <f>Input!$GN$18</f>
        <v>0</v>
      </c>
      <c r="H37" s="762">
        <f>Input!$GO$18</f>
        <v>0</v>
      </c>
      <c r="I37" s="762">
        <f>Input!$GP$18</f>
        <v>0</v>
      </c>
      <c r="J37" s="762">
        <f>Input!$GQ$18</f>
        <v>0</v>
      </c>
      <c r="K37" s="762">
        <f>Input!$GR$18</f>
        <v>0</v>
      </c>
      <c r="L37" s="762">
        <f>Input!$GS$18</f>
        <v>0</v>
      </c>
      <c r="M37" s="650">
        <f t="shared" si="6"/>
        <v>0</v>
      </c>
      <c r="U37" s="776" t="s">
        <v>656</v>
      </c>
      <c r="X37" s="739">
        <f>(M25+M38)*-1</f>
        <v>0</v>
      </c>
      <c r="Y37" s="721"/>
    </row>
    <row r="38" spans="1:28" s="320" customFormat="1">
      <c r="A38" s="322"/>
      <c r="B38" s="320" t="s">
        <v>597</v>
      </c>
      <c r="C38" s="751"/>
      <c r="D38" s="762">
        <f>Input!$GT$18</f>
        <v>0</v>
      </c>
      <c r="E38" s="762">
        <f>Input!$GU$18</f>
        <v>0</v>
      </c>
      <c r="F38" s="762">
        <f>Input!$GV$18</f>
        <v>0</v>
      </c>
      <c r="G38" s="762">
        <f>Input!$GW$18</f>
        <v>0</v>
      </c>
      <c r="H38" s="762">
        <f>Input!$GX$18</f>
        <v>0</v>
      </c>
      <c r="I38" s="762">
        <f>Input!$GY$18</f>
        <v>0</v>
      </c>
      <c r="J38" s="762">
        <f>Input!$GZ$18</f>
        <v>0</v>
      </c>
      <c r="K38" s="762">
        <f>Input!$HA$18</f>
        <v>0</v>
      </c>
      <c r="L38" s="762">
        <f>Input!$HB$18</f>
        <v>0</v>
      </c>
      <c r="M38" s="650">
        <f t="shared" si="6"/>
        <v>0</v>
      </c>
      <c r="U38" s="780" t="s">
        <v>657</v>
      </c>
      <c r="V38" s="314"/>
      <c r="W38" s="314"/>
      <c r="X38" s="781">
        <f>SUM(X36:X37)</f>
        <v>0</v>
      </c>
      <c r="Y38" s="777"/>
    </row>
    <row r="39" spans="1:28" s="320" customFormat="1">
      <c r="A39" s="322"/>
      <c r="B39" s="320" t="s">
        <v>598</v>
      </c>
      <c r="C39" s="751"/>
      <c r="D39" s="762">
        <f>Input!$HC$18</f>
        <v>0</v>
      </c>
      <c r="E39" s="762">
        <f>Input!$HD$18</f>
        <v>0</v>
      </c>
      <c r="F39" s="762">
        <f>Input!$HE$18</f>
        <v>0</v>
      </c>
      <c r="G39" s="762">
        <f>Input!$HF$18</f>
        <v>0</v>
      </c>
      <c r="H39" s="762">
        <f>Input!$HG$18</f>
        <v>0</v>
      </c>
      <c r="I39" s="762">
        <f>Input!$HH$18</f>
        <v>0</v>
      </c>
      <c r="J39" s="762">
        <f>Input!$HI$18</f>
        <v>0</v>
      </c>
      <c r="K39" s="762">
        <f>Input!$HJ$18</f>
        <v>0</v>
      </c>
      <c r="L39" s="762">
        <f>Input!$HK$18</f>
        <v>0</v>
      </c>
      <c r="M39" s="650">
        <f t="shared" si="6"/>
        <v>0</v>
      </c>
      <c r="U39" s="776" t="s">
        <v>658</v>
      </c>
      <c r="X39" s="492"/>
      <c r="Y39" s="777">
        <f>X38+X35</f>
        <v>0</v>
      </c>
    </row>
    <row r="40" spans="1:28" s="320" customFormat="1">
      <c r="A40" s="322"/>
      <c r="B40" s="320" t="s">
        <v>599</v>
      </c>
      <c r="C40" s="751"/>
      <c r="D40" s="762">
        <f>Input!$HL$18</f>
        <v>0</v>
      </c>
      <c r="E40" s="762">
        <f>Input!$HM$18</f>
        <v>0</v>
      </c>
      <c r="F40" s="762">
        <f>Input!$HN$18</f>
        <v>0</v>
      </c>
      <c r="G40" s="762">
        <f>Input!$HO$18</f>
        <v>0</v>
      </c>
      <c r="H40" s="762">
        <f>Input!$HP$18</f>
        <v>0</v>
      </c>
      <c r="I40" s="762">
        <f>Input!$HQ$18</f>
        <v>0</v>
      </c>
      <c r="J40" s="762">
        <f>Input!$HR$18</f>
        <v>0</v>
      </c>
      <c r="K40" s="762">
        <f>Input!$HS$18</f>
        <v>0</v>
      </c>
      <c r="L40" s="762">
        <f>Input!$HT$18</f>
        <v>0</v>
      </c>
      <c r="M40" s="650">
        <f t="shared" si="6"/>
        <v>0</v>
      </c>
      <c r="U40" s="776"/>
      <c r="Y40" s="721"/>
    </row>
    <row r="41" spans="1:28" s="320" customFormat="1">
      <c r="A41" s="322"/>
      <c r="B41" s="320" t="s">
        <v>600</v>
      </c>
      <c r="C41" s="751"/>
      <c r="D41" s="762">
        <f>Input!$HU$18</f>
        <v>0</v>
      </c>
      <c r="E41" s="762">
        <f>Input!$HV$18</f>
        <v>-123744</v>
      </c>
      <c r="F41" s="762">
        <f>Input!$HW$18</f>
        <v>-24426</v>
      </c>
      <c r="G41" s="762">
        <f>Input!$HX$18</f>
        <v>0</v>
      </c>
      <c r="H41" s="762">
        <f>Input!$HY$18</f>
        <v>0</v>
      </c>
      <c r="I41" s="762">
        <f>Input!$HZ$18</f>
        <v>0</v>
      </c>
      <c r="J41" s="762">
        <f>Input!$IA$18</f>
        <v>0</v>
      </c>
      <c r="K41" s="762">
        <f>Input!$IB$18</f>
        <v>0</v>
      </c>
      <c r="L41" s="762">
        <f>Input!$IC$18</f>
        <v>0</v>
      </c>
      <c r="M41" s="650">
        <f t="shared" si="6"/>
        <v>-148170</v>
      </c>
      <c r="U41" s="776" t="s">
        <v>639</v>
      </c>
      <c r="X41" s="492">
        <f>(M21+M34)*-1</f>
        <v>0</v>
      </c>
      <c r="Y41" s="777"/>
    </row>
    <row r="42" spans="1:28" s="320" customFormat="1">
      <c r="A42" s="322"/>
      <c r="B42" s="795" t="s">
        <v>166</v>
      </c>
      <c r="C42" s="784"/>
      <c r="D42" s="769">
        <f t="shared" ref="D42:L42" si="7">SUM(D36:D41)</f>
        <v>0</v>
      </c>
      <c r="E42" s="769">
        <f t="shared" si="7"/>
        <v>258052</v>
      </c>
      <c r="F42" s="769">
        <f t="shared" si="7"/>
        <v>50940</v>
      </c>
      <c r="G42" s="769">
        <f t="shared" si="7"/>
        <v>0</v>
      </c>
      <c r="H42" s="769">
        <f t="shared" si="7"/>
        <v>0</v>
      </c>
      <c r="I42" s="769">
        <f t="shared" si="7"/>
        <v>0</v>
      </c>
      <c r="J42" s="769">
        <f t="shared" si="7"/>
        <v>0</v>
      </c>
      <c r="K42" s="769">
        <f t="shared" si="7"/>
        <v>0</v>
      </c>
      <c r="L42" s="769">
        <f t="shared" si="7"/>
        <v>0</v>
      </c>
      <c r="M42" s="769">
        <f t="shared" si="6"/>
        <v>308992</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526471</v>
      </c>
      <c r="E44" s="769">
        <f t="shared" si="8"/>
        <v>515264</v>
      </c>
      <c r="F44" s="769">
        <f t="shared" si="8"/>
        <v>50940</v>
      </c>
      <c r="G44" s="769">
        <f t="shared" si="8"/>
        <v>0</v>
      </c>
      <c r="H44" s="769">
        <f t="shared" si="8"/>
        <v>0</v>
      </c>
      <c r="I44" s="769">
        <f t="shared" si="8"/>
        <v>0</v>
      </c>
      <c r="J44" s="769">
        <f t="shared" si="8"/>
        <v>0</v>
      </c>
      <c r="K44" s="769">
        <f t="shared" si="8"/>
        <v>0</v>
      </c>
      <c r="L44" s="769">
        <f t="shared" si="8"/>
        <v>0</v>
      </c>
      <c r="M44" s="769">
        <f>D44+E44+F44+G44+H44+I44+J44+K44+L44</f>
        <v>1092675</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Input!$ID$18</f>
        <v>0</v>
      </c>
      <c r="E47" s="815">
        <f>Input!$IE$18</f>
        <v>0</v>
      </c>
      <c r="F47" s="815">
        <f>Input!$IF$18</f>
        <v>0</v>
      </c>
      <c r="G47" s="815">
        <f>Input!$IG$18</f>
        <v>531356</v>
      </c>
      <c r="H47" s="815">
        <f>Input!$IH$18</f>
        <v>0</v>
      </c>
      <c r="I47" s="815">
        <f>Input!$II$18</f>
        <v>0</v>
      </c>
      <c r="J47" s="815">
        <f>Input!$IJ$18</f>
        <v>0</v>
      </c>
      <c r="K47" s="815">
        <f>Input!$IK$18</f>
        <v>0</v>
      </c>
      <c r="L47" s="815">
        <f>Input!$IL$18</f>
        <v>0</v>
      </c>
      <c r="M47" s="769">
        <f>D47+E47+F47+G47+H47+I47+J47+K47+L47</f>
        <v>531356</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1616639</v>
      </c>
      <c r="Z49" s="320"/>
      <c r="AA49" s="320"/>
      <c r="AB49" s="320"/>
    </row>
    <row r="50" spans="1:28" s="752" customFormat="1">
      <c r="A50" s="460">
        <v>33</v>
      </c>
      <c r="B50" s="768" t="s">
        <v>200</v>
      </c>
      <c r="C50" s="768"/>
      <c r="D50" s="815">
        <f>Input!$IM$18</f>
        <v>0</v>
      </c>
      <c r="E50" s="815">
        <f>Input!$IN$18</f>
        <v>0</v>
      </c>
      <c r="F50" s="815">
        <f>Input!$IO$18</f>
        <v>0</v>
      </c>
      <c r="G50" s="815">
        <f>Input!$IP$18</f>
        <v>0</v>
      </c>
      <c r="H50" s="815">
        <f>Input!$IQ$18</f>
        <v>0</v>
      </c>
      <c r="I50" s="815">
        <f>Input!$IR$18</f>
        <v>0</v>
      </c>
      <c r="J50" s="815">
        <f>Input!$IS$18</f>
        <v>0</v>
      </c>
      <c r="K50" s="815">
        <f>Input!$IT$18</f>
        <v>0</v>
      </c>
      <c r="L50" s="815">
        <f>Input!$IU$18</f>
        <v>0</v>
      </c>
      <c r="M50" s="769">
        <f>D50+E50+F50+G50+H50+I50+J50+K50+L50</f>
        <v>0</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Input!$IV$18</f>
        <v>0</v>
      </c>
      <c r="E53" s="815">
        <f>Input!$IW$18</f>
        <v>0</v>
      </c>
      <c r="F53" s="815">
        <f>Input!$IX$18</f>
        <v>0</v>
      </c>
      <c r="G53" s="815">
        <f>Input!$IY$18</f>
        <v>0</v>
      </c>
      <c r="H53" s="815">
        <f>Input!$IZ$18</f>
        <v>0</v>
      </c>
      <c r="I53" s="815">
        <f>Input!$JA$18</f>
        <v>0</v>
      </c>
      <c r="J53" s="815">
        <f>Input!$JB$18</f>
        <v>0</v>
      </c>
      <c r="K53" s="815">
        <f>Input!$JC$18</f>
        <v>0</v>
      </c>
      <c r="L53" s="815">
        <f>Input!$JD$18</f>
        <v>0</v>
      </c>
      <c r="M53" s="769">
        <f>D53+E53+F53+G53+H53+I53+J53+K53+L53</f>
        <v>0</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Input!$JE$18</f>
        <v>0</v>
      </c>
      <c r="E56" s="762">
        <f>Input!$JF$18</f>
        <v>0</v>
      </c>
      <c r="F56" s="762">
        <f>Input!$JG$18</f>
        <v>0</v>
      </c>
      <c r="G56" s="762">
        <f>Input!$JH$18</f>
        <v>0</v>
      </c>
      <c r="H56" s="762">
        <f>Input!$JI$18</f>
        <v>0</v>
      </c>
      <c r="I56" s="762">
        <f>Input!$JJ$18</f>
        <v>0</v>
      </c>
      <c r="J56" s="762">
        <f>Input!$JK$18</f>
        <v>0</v>
      </c>
      <c r="K56" s="762">
        <f>Input!$JL$18</f>
        <v>0</v>
      </c>
      <c r="L56" s="762">
        <f>Input!$JM$18</f>
        <v>0</v>
      </c>
      <c r="M56" s="723">
        <f t="shared" ref="M56:M62" si="9">D56+E56+F56+G56+H56+I56+J56+K56+L56</f>
        <v>0</v>
      </c>
      <c r="O56" s="320"/>
      <c r="P56" s="320"/>
      <c r="Q56" s="320"/>
      <c r="R56" s="320"/>
      <c r="S56" s="320"/>
      <c r="T56" s="320"/>
      <c r="U56" s="320"/>
      <c r="V56" s="320"/>
      <c r="W56" s="320"/>
      <c r="X56" s="322"/>
      <c r="Y56" s="320"/>
      <c r="Z56" s="320"/>
      <c r="AA56" s="320"/>
      <c r="AB56" s="320"/>
    </row>
    <row r="57" spans="1:28" s="752" customFormat="1">
      <c r="A57" s="460">
        <v>40</v>
      </c>
      <c r="B57" s="752" t="s">
        <v>173</v>
      </c>
      <c r="D57" s="762">
        <f>Input!$JN$18</f>
        <v>0</v>
      </c>
      <c r="E57" s="762">
        <f>Input!$JO$18</f>
        <v>0</v>
      </c>
      <c r="F57" s="762">
        <f>Input!$JP$18</f>
        <v>0</v>
      </c>
      <c r="G57" s="762">
        <f>Input!$JQ$18</f>
        <v>236857</v>
      </c>
      <c r="H57" s="762">
        <f>Input!$JR$18</f>
        <v>0</v>
      </c>
      <c r="I57" s="762">
        <f>Input!$JS$18</f>
        <v>0</v>
      </c>
      <c r="J57" s="762">
        <f>Input!$JT$18</f>
        <v>0</v>
      </c>
      <c r="K57" s="762">
        <f>Input!$JU$18</f>
        <v>0</v>
      </c>
      <c r="L57" s="762">
        <f>Input!$JV$18</f>
        <v>0</v>
      </c>
      <c r="M57" s="723">
        <f t="shared" si="9"/>
        <v>236857</v>
      </c>
      <c r="O57" s="320"/>
      <c r="P57" s="819"/>
      <c r="Q57" s="320"/>
      <c r="R57" s="320"/>
      <c r="S57" s="320"/>
      <c r="T57" s="320"/>
      <c r="U57" s="320"/>
      <c r="V57" s="320"/>
      <c r="W57" s="320"/>
      <c r="X57" s="320"/>
      <c r="Y57" s="320"/>
      <c r="Z57" s="320"/>
      <c r="AA57" s="320"/>
      <c r="AB57" s="320"/>
    </row>
    <row r="58" spans="1:28" s="752" customFormat="1">
      <c r="A58" s="460">
        <v>41</v>
      </c>
      <c r="B58" s="752" t="s">
        <v>174</v>
      </c>
      <c r="D58" s="762">
        <f>Input!$JW$18</f>
        <v>0</v>
      </c>
      <c r="E58" s="762">
        <f>Input!$JX$18</f>
        <v>695</v>
      </c>
      <c r="F58" s="762">
        <f>Input!$JY$18</f>
        <v>0</v>
      </c>
      <c r="G58" s="762">
        <f>Input!$JZ$18</f>
        <v>3204018</v>
      </c>
      <c r="H58" s="762">
        <f>Input!$KA$18</f>
        <v>0</v>
      </c>
      <c r="I58" s="762">
        <f>Input!$KB$18</f>
        <v>0</v>
      </c>
      <c r="J58" s="762">
        <f>Input!$KC$18</f>
        <v>0</v>
      </c>
      <c r="K58" s="762">
        <f>Input!$KD$18</f>
        <v>0</v>
      </c>
      <c r="L58" s="762">
        <f>Input!$KE$18</f>
        <v>0</v>
      </c>
      <c r="M58" s="723">
        <f t="shared" si="9"/>
        <v>3204713</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Input!$KF$18</f>
        <v>1102623</v>
      </c>
      <c r="E59" s="762">
        <f>Input!$KG$18</f>
        <v>0</v>
      </c>
      <c r="F59" s="762">
        <f>Input!$KH$18</f>
        <v>0</v>
      </c>
      <c r="G59" s="762">
        <f>Input!$KI$18</f>
        <v>0</v>
      </c>
      <c r="H59" s="762">
        <f>Input!$KJ$18</f>
        <v>0</v>
      </c>
      <c r="I59" s="762">
        <f>Input!$KK$18</f>
        <v>0</v>
      </c>
      <c r="J59" s="762">
        <f>Input!$KL$18</f>
        <v>0</v>
      </c>
      <c r="K59" s="762">
        <f>Input!$KM$18</f>
        <v>0</v>
      </c>
      <c r="L59" s="762">
        <f>Input!$KN$18</f>
        <v>0</v>
      </c>
      <c r="M59" s="723">
        <f t="shared" si="9"/>
        <v>1102623</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Input!$KO$18</f>
        <v>0</v>
      </c>
      <c r="E60" s="762">
        <f>Input!$KP$18</f>
        <v>0</v>
      </c>
      <c r="F60" s="762">
        <f>Input!$KQ$18</f>
        <v>0</v>
      </c>
      <c r="G60" s="762">
        <f>Input!$KR$18</f>
        <v>0</v>
      </c>
      <c r="H60" s="762">
        <f>Input!$KS$18</f>
        <v>0</v>
      </c>
      <c r="I60" s="762">
        <f>Input!$KT$18</f>
        <v>0</v>
      </c>
      <c r="J60" s="762">
        <f>Input!$KU$18</f>
        <v>0</v>
      </c>
      <c r="K60" s="762">
        <f>Input!$KV$18</f>
        <v>0</v>
      </c>
      <c r="L60" s="762">
        <f>Input!$KW$18</f>
        <v>0</v>
      </c>
      <c r="M60" s="723">
        <f t="shared" si="9"/>
        <v>0</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Input!$KX$18</f>
        <v>0</v>
      </c>
      <c r="E61" s="762">
        <f>Input!$KY$18</f>
        <v>1021879</v>
      </c>
      <c r="F61" s="762">
        <f>Input!$KZ$18</f>
        <v>0</v>
      </c>
      <c r="G61" s="762">
        <f>Input!$LA$18</f>
        <v>43304</v>
      </c>
      <c r="H61" s="762">
        <f>Input!$LB$18</f>
        <v>0</v>
      </c>
      <c r="I61" s="762">
        <f>Input!$LC$18</f>
        <v>0</v>
      </c>
      <c r="J61" s="762">
        <f>Input!$LD$18</f>
        <v>0</v>
      </c>
      <c r="K61" s="762">
        <f>Input!$LE$18</f>
        <v>0</v>
      </c>
      <c r="L61" s="762">
        <f>Input!$LF$18</f>
        <v>0</v>
      </c>
      <c r="M61" s="723">
        <f t="shared" si="9"/>
        <v>1065183</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1102623</v>
      </c>
      <c r="E62" s="769">
        <f t="shared" si="10"/>
        <v>1022574</v>
      </c>
      <c r="F62" s="769">
        <f t="shared" si="10"/>
        <v>0</v>
      </c>
      <c r="G62" s="769">
        <f t="shared" si="10"/>
        <v>3484179</v>
      </c>
      <c r="H62" s="769">
        <f t="shared" si="10"/>
        <v>0</v>
      </c>
      <c r="I62" s="769">
        <f t="shared" si="10"/>
        <v>0</v>
      </c>
      <c r="J62" s="769">
        <f t="shared" si="10"/>
        <v>0</v>
      </c>
      <c r="K62" s="769">
        <f t="shared" si="10"/>
        <v>0</v>
      </c>
      <c r="L62" s="769">
        <f t="shared" si="10"/>
        <v>0</v>
      </c>
      <c r="M62" s="769">
        <f t="shared" si="9"/>
        <v>5609376</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16518385</v>
      </c>
      <c r="E63" s="769">
        <f t="shared" ref="E63:M63" si="11">E15+E44+E47+E50+E53+E62</f>
        <v>1537838</v>
      </c>
      <c r="F63" s="769">
        <f t="shared" si="11"/>
        <v>50940</v>
      </c>
      <c r="G63" s="769">
        <f t="shared" si="11"/>
        <v>4066507</v>
      </c>
      <c r="H63" s="769">
        <f t="shared" si="11"/>
        <v>0</v>
      </c>
      <c r="I63" s="769">
        <f t="shared" si="11"/>
        <v>0</v>
      </c>
      <c r="J63" s="769">
        <f t="shared" si="11"/>
        <v>0</v>
      </c>
      <c r="K63" s="769">
        <f t="shared" si="11"/>
        <v>0</v>
      </c>
      <c r="L63" s="769">
        <f t="shared" si="11"/>
        <v>0</v>
      </c>
      <c r="M63" s="769">
        <f t="shared" si="11"/>
        <v>22173670</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Input!$LG$18</f>
        <v>7725940</v>
      </c>
      <c r="E65" s="762">
        <f>Input!$LH$18</f>
        <v>737421</v>
      </c>
      <c r="F65" s="762">
        <f>Input!$LI$18</f>
        <v>0</v>
      </c>
      <c r="G65" s="762">
        <f>Input!$LJ$18</f>
        <v>118380</v>
      </c>
      <c r="H65" s="762">
        <f>Input!$LK$18</f>
        <v>0</v>
      </c>
      <c r="I65" s="762">
        <f>Input!$LL$18</f>
        <v>0</v>
      </c>
      <c r="J65" s="762">
        <f>Input!$LM$18</f>
        <v>0</v>
      </c>
      <c r="K65" s="762">
        <f>Input!$LN$18</f>
        <v>0</v>
      </c>
      <c r="L65" s="762">
        <f>Input!$LO$18</f>
        <v>0</v>
      </c>
      <c r="M65" s="723">
        <f t="shared" ref="M65:M77" si="12">D65+E65+F65+G65+H65+I65+J65+K65+L65</f>
        <v>8581741</v>
      </c>
      <c r="O65" s="824">
        <f>D65+E65+G65</f>
        <v>8581741</v>
      </c>
      <c r="P65" s="825">
        <f>Input!$TK$18</f>
        <v>0</v>
      </c>
      <c r="Q65" s="825">
        <f>Input!$TU$18</f>
        <v>0</v>
      </c>
      <c r="R65" s="825">
        <f>Input!$UD$18</f>
        <v>0</v>
      </c>
      <c r="S65" s="826">
        <f>O65+P65-Q65-R65</f>
        <v>8581741</v>
      </c>
      <c r="T65" s="492"/>
      <c r="U65" s="827">
        <f>D65+E65+F65+G65+J65</f>
        <v>8581741</v>
      </c>
      <c r="V65" s="492"/>
      <c r="W65" s="828" t="s">
        <v>92</v>
      </c>
      <c r="X65" s="829">
        <f>Input!$UO$18</f>
        <v>8581741</v>
      </c>
      <c r="Y65" s="830">
        <f t="shared" ref="Y65:Y74" si="13">X65-M65</f>
        <v>0</v>
      </c>
      <c r="Z65" s="492"/>
      <c r="AA65" s="492"/>
      <c r="AB65" s="492"/>
    </row>
    <row r="66" spans="1:28" s="752" customFormat="1" ht="14.4" thickTop="1" thickBot="1">
      <c r="A66" s="460">
        <v>49</v>
      </c>
      <c r="B66" s="823" t="s">
        <v>179</v>
      </c>
      <c r="C66" s="823"/>
      <c r="D66" s="762">
        <f>Input!$LP$18</f>
        <v>4618</v>
      </c>
      <c r="E66" s="762">
        <f>Input!$LQ$18</f>
        <v>250</v>
      </c>
      <c r="F66" s="762">
        <f>Input!$LR$18</f>
        <v>0</v>
      </c>
      <c r="G66" s="762">
        <f>Input!$LS$18</f>
        <v>790334</v>
      </c>
      <c r="H66" s="762">
        <f>Input!$LT$18</f>
        <v>0</v>
      </c>
      <c r="I66" s="762">
        <f>Input!$LU$18</f>
        <v>0</v>
      </c>
      <c r="J66" s="762">
        <f>Input!$LV$18</f>
        <v>0</v>
      </c>
      <c r="K66" s="762">
        <f>Input!$LW$18</f>
        <v>0</v>
      </c>
      <c r="L66" s="762">
        <f>Input!$LX$18</f>
        <v>0</v>
      </c>
      <c r="M66" s="723">
        <f t="shared" si="12"/>
        <v>795202</v>
      </c>
      <c r="O66" s="831">
        <f t="shared" ref="O66:O72" si="14">D66+E66+G66</f>
        <v>795202</v>
      </c>
      <c r="P66" s="832">
        <f>Input!$TL$18</f>
        <v>0</v>
      </c>
      <c r="Q66" s="832">
        <f>Input!$TV$18</f>
        <v>0</v>
      </c>
      <c r="R66" s="832">
        <f>Input!$UE$18</f>
        <v>0</v>
      </c>
      <c r="S66" s="833">
        <f>O66+P66-Q66-R66</f>
        <v>795202</v>
      </c>
      <c r="T66" s="492"/>
      <c r="U66" s="834">
        <f t="shared" ref="U66:U76" si="15">D66+E66+F66+G66+J66</f>
        <v>795202</v>
      </c>
      <c r="V66" s="492"/>
      <c r="W66" s="828" t="s">
        <v>179</v>
      </c>
      <c r="X66" s="835">
        <f>Input!$UP$18</f>
        <v>795202</v>
      </c>
      <c r="Y66" s="836">
        <f t="shared" si="13"/>
        <v>0</v>
      </c>
      <c r="Z66" s="723"/>
      <c r="AA66" s="723"/>
      <c r="AB66" s="723"/>
    </row>
    <row r="67" spans="1:28" s="752" customFormat="1" ht="13.8" thickTop="1">
      <c r="A67" s="460">
        <v>50</v>
      </c>
      <c r="B67" s="823" t="s">
        <v>180</v>
      </c>
      <c r="C67" s="823"/>
      <c r="D67" s="762">
        <f>Input!$LY$18</f>
        <v>0</v>
      </c>
      <c r="E67" s="762">
        <f>Input!$LZ$18</f>
        <v>2036680</v>
      </c>
      <c r="F67" s="762">
        <f>Input!$MA$18</f>
        <v>0</v>
      </c>
      <c r="G67" s="762">
        <f>Input!$MB$18</f>
        <v>0</v>
      </c>
      <c r="H67" s="762">
        <f>Input!$MC$18</f>
        <v>0</v>
      </c>
      <c r="I67" s="762">
        <f>Input!$MD$18</f>
        <v>0</v>
      </c>
      <c r="J67" s="762">
        <f>Input!$ME$18</f>
        <v>0</v>
      </c>
      <c r="K67" s="762">
        <f>Input!$MF$18</f>
        <v>0</v>
      </c>
      <c r="L67" s="762">
        <f>Input!$MG$18</f>
        <v>0</v>
      </c>
      <c r="M67" s="723">
        <f t="shared" si="12"/>
        <v>2036680</v>
      </c>
      <c r="O67" s="831">
        <f t="shared" si="14"/>
        <v>2036680</v>
      </c>
      <c r="P67" s="832">
        <f>Input!$TM$18</f>
        <v>0</v>
      </c>
      <c r="Q67" s="832">
        <f>Input!$TW$18</f>
        <v>0</v>
      </c>
      <c r="R67" s="832">
        <f>Input!$UF$18</f>
        <v>0</v>
      </c>
      <c r="S67" s="837">
        <f t="shared" ref="S67:S72" si="16">O67+P67-Q67-R67</f>
        <v>2036680</v>
      </c>
      <c r="T67" s="723"/>
      <c r="U67" s="834">
        <f t="shared" si="15"/>
        <v>2036680</v>
      </c>
      <c r="V67" s="723"/>
      <c r="W67" s="828" t="s">
        <v>180</v>
      </c>
      <c r="X67" s="835">
        <f>Input!$UQ$18</f>
        <v>2036680</v>
      </c>
      <c r="Y67" s="836">
        <f t="shared" si="13"/>
        <v>0</v>
      </c>
      <c r="Z67" s="723"/>
      <c r="AA67" s="723"/>
      <c r="AB67" s="723"/>
    </row>
    <row r="68" spans="1:28" s="752" customFormat="1">
      <c r="A68" s="460">
        <v>51</v>
      </c>
      <c r="B68" s="823" t="s">
        <v>164</v>
      </c>
      <c r="C68" s="823"/>
      <c r="D68" s="762">
        <f>Input!$MH$18</f>
        <v>0</v>
      </c>
      <c r="E68" s="762">
        <f>Input!$MI$18</f>
        <v>0</v>
      </c>
      <c r="F68" s="762">
        <f>Input!$MJ$18</f>
        <v>0</v>
      </c>
      <c r="G68" s="762">
        <f>Input!$MK$18</f>
        <v>0</v>
      </c>
      <c r="H68" s="762">
        <f>Input!$ML$18</f>
        <v>0</v>
      </c>
      <c r="I68" s="762">
        <f>Input!$MM$18</f>
        <v>0</v>
      </c>
      <c r="J68" s="762">
        <f>Input!$MN$18</f>
        <v>0</v>
      </c>
      <c r="K68" s="762">
        <f>Input!$MO$18</f>
        <v>0</v>
      </c>
      <c r="L68" s="762">
        <f>Input!$MP$18</f>
        <v>0</v>
      </c>
      <c r="M68" s="723">
        <f t="shared" si="12"/>
        <v>0</v>
      </c>
      <c r="O68" s="831">
        <f t="shared" si="14"/>
        <v>0</v>
      </c>
      <c r="P68" s="832">
        <f>Input!$TN$18</f>
        <v>0</v>
      </c>
      <c r="Q68" s="832">
        <f>Input!$TX$18</f>
        <v>0</v>
      </c>
      <c r="R68" s="832">
        <f>Input!$UG$18</f>
        <v>0</v>
      </c>
      <c r="S68" s="837">
        <f t="shared" si="16"/>
        <v>0</v>
      </c>
      <c r="T68" s="723"/>
      <c r="U68" s="834">
        <f t="shared" si="15"/>
        <v>0</v>
      </c>
      <c r="V68" s="723"/>
      <c r="W68" s="828" t="s">
        <v>164</v>
      </c>
      <c r="X68" s="835">
        <f>Input!$UR$18</f>
        <v>0</v>
      </c>
      <c r="Y68" s="836">
        <f t="shared" si="13"/>
        <v>0</v>
      </c>
      <c r="Z68" s="723"/>
      <c r="AA68" s="723"/>
      <c r="AB68" s="723"/>
    </row>
    <row r="69" spans="1:28" s="752" customFormat="1">
      <c r="A69" s="460">
        <v>52</v>
      </c>
      <c r="B69" s="823" t="s">
        <v>181</v>
      </c>
      <c r="C69" s="823"/>
      <c r="D69" s="762">
        <f>Input!$MQ$18</f>
        <v>6385656</v>
      </c>
      <c r="E69" s="762">
        <f>Input!$MR$18</f>
        <v>1626440</v>
      </c>
      <c r="F69" s="762">
        <f>Input!$MS$18</f>
        <v>0</v>
      </c>
      <c r="G69" s="762">
        <f>Input!$MT$18</f>
        <v>1157890</v>
      </c>
      <c r="H69" s="762">
        <f>Input!$MU$18</f>
        <v>0</v>
      </c>
      <c r="I69" s="762">
        <f>Input!$MV$18</f>
        <v>0</v>
      </c>
      <c r="J69" s="762">
        <f>Input!$MW$18</f>
        <v>0</v>
      </c>
      <c r="K69" s="762">
        <f>Input!$MX$18</f>
        <v>0</v>
      </c>
      <c r="L69" s="762">
        <f>Input!$MY$18</f>
        <v>0</v>
      </c>
      <c r="M69" s="723">
        <f t="shared" si="12"/>
        <v>9169986</v>
      </c>
      <c r="O69" s="831">
        <f t="shared" si="14"/>
        <v>9169986</v>
      </c>
      <c r="P69" s="832">
        <f>Input!$TO$18</f>
        <v>0</v>
      </c>
      <c r="Q69" s="832">
        <f>Input!$TY$18</f>
        <v>0</v>
      </c>
      <c r="R69" s="832">
        <f>Input!$UH$18</f>
        <v>0</v>
      </c>
      <c r="S69" s="837">
        <f t="shared" si="16"/>
        <v>9169986</v>
      </c>
      <c r="T69" s="723"/>
      <c r="U69" s="834">
        <f t="shared" si="15"/>
        <v>9169986</v>
      </c>
      <c r="V69" s="723"/>
      <c r="W69" s="828" t="s">
        <v>181</v>
      </c>
      <c r="X69" s="835">
        <f>Input!$US$18</f>
        <v>9169986</v>
      </c>
      <c r="Y69" s="836">
        <f t="shared" si="13"/>
        <v>0</v>
      </c>
      <c r="Z69" s="723"/>
      <c r="AA69" s="723"/>
      <c r="AB69" s="723"/>
    </row>
    <row r="70" spans="1:28" s="752" customFormat="1">
      <c r="A70" s="460">
        <v>53</v>
      </c>
      <c r="B70" s="823" t="s">
        <v>182</v>
      </c>
      <c r="C70" s="823"/>
      <c r="D70" s="762">
        <f>Input!$MZ$18</f>
        <v>0</v>
      </c>
      <c r="E70" s="762">
        <f>Input!$NA$18</f>
        <v>0</v>
      </c>
      <c r="F70" s="762">
        <f>Input!$NB$18</f>
        <v>0</v>
      </c>
      <c r="G70" s="762">
        <f>Input!$NC$18</f>
        <v>0</v>
      </c>
      <c r="H70" s="762">
        <f>Input!$ND$18</f>
        <v>0</v>
      </c>
      <c r="I70" s="762">
        <f>Input!$NE$18</f>
        <v>0</v>
      </c>
      <c r="J70" s="762">
        <f>Input!$NF$18</f>
        <v>0</v>
      </c>
      <c r="K70" s="762">
        <f>Input!$NG$18</f>
        <v>0</v>
      </c>
      <c r="L70" s="762">
        <f>Input!$NH$18</f>
        <v>0</v>
      </c>
      <c r="M70" s="723">
        <f t="shared" si="12"/>
        <v>0</v>
      </c>
      <c r="O70" s="831">
        <f t="shared" si="14"/>
        <v>0</v>
      </c>
      <c r="P70" s="832">
        <f>Input!$TP$18</f>
        <v>0</v>
      </c>
      <c r="Q70" s="832">
        <f>Input!$TZ$18</f>
        <v>0</v>
      </c>
      <c r="R70" s="832">
        <f>Input!$UI$18</f>
        <v>0</v>
      </c>
      <c r="S70" s="837">
        <f t="shared" si="16"/>
        <v>0</v>
      </c>
      <c r="T70" s="723"/>
      <c r="U70" s="834">
        <f t="shared" si="15"/>
        <v>0</v>
      </c>
      <c r="V70" s="723"/>
      <c r="W70" s="828" t="s">
        <v>182</v>
      </c>
      <c r="X70" s="835">
        <f>Input!$UT$18</f>
        <v>0</v>
      </c>
      <c r="Y70" s="836">
        <f t="shared" si="13"/>
        <v>0</v>
      </c>
      <c r="Z70" s="723"/>
      <c r="AA70" s="723"/>
      <c r="AB70" s="723"/>
    </row>
    <row r="71" spans="1:28" s="752" customFormat="1">
      <c r="A71" s="460">
        <v>54</v>
      </c>
      <c r="B71" s="823" t="s">
        <v>183</v>
      </c>
      <c r="C71" s="823"/>
      <c r="D71" s="762">
        <f>Input!$NI$18</f>
        <v>339945</v>
      </c>
      <c r="E71" s="762">
        <f>Input!$NJ$18</f>
        <v>13378</v>
      </c>
      <c r="F71" s="762">
        <f>Input!$NK$18</f>
        <v>0</v>
      </c>
      <c r="G71" s="762">
        <f>Input!$NL$18</f>
        <v>0</v>
      </c>
      <c r="H71" s="762">
        <f>Input!$NM$18</f>
        <v>0</v>
      </c>
      <c r="I71" s="762">
        <f>Input!$NN$18</f>
        <v>0</v>
      </c>
      <c r="J71" s="762">
        <f>Input!$NO$18</f>
        <v>0</v>
      </c>
      <c r="K71" s="762">
        <f>Input!$NP$18</f>
        <v>0</v>
      </c>
      <c r="L71" s="762">
        <f>Input!$NQ$18</f>
        <v>0</v>
      </c>
      <c r="M71" s="723">
        <f t="shared" si="12"/>
        <v>353323</v>
      </c>
      <c r="O71" s="831">
        <f t="shared" si="14"/>
        <v>353323</v>
      </c>
      <c r="P71" s="832">
        <f>Input!$TQ$18</f>
        <v>0</v>
      </c>
      <c r="Q71" s="832">
        <f>Input!$UA$18</f>
        <v>0</v>
      </c>
      <c r="R71" s="832">
        <f>Input!$UJ$18</f>
        <v>0</v>
      </c>
      <c r="S71" s="837">
        <f t="shared" si="16"/>
        <v>353323</v>
      </c>
      <c r="T71" s="723"/>
      <c r="U71" s="834">
        <f t="shared" si="15"/>
        <v>353323</v>
      </c>
      <c r="V71" s="723"/>
      <c r="W71" s="828" t="s">
        <v>183</v>
      </c>
      <c r="X71" s="835">
        <f>Input!$UU$18</f>
        <v>353323</v>
      </c>
      <c r="Y71" s="836">
        <f t="shared" si="13"/>
        <v>0</v>
      </c>
      <c r="Z71" s="723"/>
      <c r="AA71" s="723"/>
      <c r="AB71" s="723"/>
    </row>
    <row r="72" spans="1:28" s="752" customFormat="1">
      <c r="A72" s="460">
        <v>55</v>
      </c>
      <c r="B72" s="823" t="s">
        <v>184</v>
      </c>
      <c r="C72" s="823"/>
      <c r="D72" s="762">
        <f>Input!$NR$18</f>
        <v>230281</v>
      </c>
      <c r="E72" s="762">
        <f>Input!$NS$18</f>
        <v>0</v>
      </c>
      <c r="F72" s="762">
        <f>Input!$NT$18</f>
        <v>0</v>
      </c>
      <c r="G72" s="762">
        <f>Input!$NU$18</f>
        <v>0</v>
      </c>
      <c r="H72" s="762">
        <f>Input!$NV$18</f>
        <v>0</v>
      </c>
      <c r="I72" s="762">
        <f>Input!$NW$18</f>
        <v>0</v>
      </c>
      <c r="J72" s="762">
        <f>Input!$NX$18</f>
        <v>0</v>
      </c>
      <c r="K72" s="762">
        <f>Input!$NY$18</f>
        <v>0</v>
      </c>
      <c r="L72" s="762">
        <f>Input!$NZ$18</f>
        <v>0</v>
      </c>
      <c r="M72" s="723">
        <f t="shared" si="12"/>
        <v>230281</v>
      </c>
      <c r="O72" s="831">
        <f t="shared" si="14"/>
        <v>230281</v>
      </c>
      <c r="P72" s="832">
        <f>Input!$TR$18</f>
        <v>0</v>
      </c>
      <c r="Q72" s="832">
        <f>Input!$UB$18</f>
        <v>0</v>
      </c>
      <c r="R72" s="832">
        <f>Input!$UK$18</f>
        <v>0</v>
      </c>
      <c r="S72" s="837">
        <f t="shared" si="16"/>
        <v>230281</v>
      </c>
      <c r="T72" s="723"/>
      <c r="U72" s="834">
        <f t="shared" si="15"/>
        <v>230281</v>
      </c>
      <c r="V72" s="723"/>
      <c r="W72" s="828" t="s">
        <v>671</v>
      </c>
      <c r="X72" s="835">
        <f>Input!$UV$18</f>
        <v>230281</v>
      </c>
      <c r="Y72" s="836">
        <f t="shared" si="13"/>
        <v>0</v>
      </c>
      <c r="Z72" s="723"/>
      <c r="AA72" s="723"/>
      <c r="AB72" s="723"/>
    </row>
    <row r="73" spans="1:28" s="752" customFormat="1" ht="13.8" thickBot="1">
      <c r="A73" s="460">
        <v>56</v>
      </c>
      <c r="B73" s="823" t="s">
        <v>185</v>
      </c>
      <c r="C73" s="823"/>
      <c r="D73" s="762">
        <f>Input!$OA$18</f>
        <v>0</v>
      </c>
      <c r="E73" s="762">
        <f>Input!$OB$18</f>
        <v>0</v>
      </c>
      <c r="F73" s="762">
        <f>Input!$OC$18</f>
        <v>0</v>
      </c>
      <c r="G73" s="762">
        <f>Input!$OD$18</f>
        <v>933229</v>
      </c>
      <c r="H73" s="762">
        <f>Input!$OE$18</f>
        <v>0</v>
      </c>
      <c r="I73" s="762">
        <f>Input!$OF$18</f>
        <v>0</v>
      </c>
      <c r="J73" s="762">
        <f>Input!$OG$18</f>
        <v>0</v>
      </c>
      <c r="K73" s="762">
        <f>Input!$OH$18</f>
        <v>0</v>
      </c>
      <c r="L73" s="762">
        <f>Input!$OI$18</f>
        <v>0</v>
      </c>
      <c r="M73" s="723">
        <f t="shared" si="12"/>
        <v>933229</v>
      </c>
      <c r="O73" s="838">
        <f>D73+E73+G73</f>
        <v>933229</v>
      </c>
      <c r="P73" s="832">
        <f>Input!$TS$18</f>
        <v>0</v>
      </c>
      <c r="Q73" s="839">
        <f>Input!$UC$18</f>
        <v>0</v>
      </c>
      <c r="R73" s="839">
        <f>Input!$UL$18</f>
        <v>0</v>
      </c>
      <c r="S73" s="840">
        <f>O73+P73-Q73-R73</f>
        <v>933229</v>
      </c>
      <c r="T73" s="841"/>
      <c r="U73" s="834">
        <f t="shared" si="15"/>
        <v>933229</v>
      </c>
      <c r="V73" s="841"/>
      <c r="W73" s="828" t="s">
        <v>185</v>
      </c>
      <c r="X73" s="835">
        <f>Input!$UW$18</f>
        <v>933229</v>
      </c>
      <c r="Y73" s="836">
        <f t="shared" si="13"/>
        <v>0</v>
      </c>
      <c r="Z73" s="723"/>
      <c r="AA73" s="723"/>
      <c r="AB73" s="723"/>
    </row>
    <row r="74" spans="1:28" s="752" customFormat="1" ht="13.8" thickTop="1">
      <c r="A74" s="460">
        <v>57</v>
      </c>
      <c r="B74" s="823" t="s">
        <v>472</v>
      </c>
      <c r="C74" s="823"/>
      <c r="D74" s="762">
        <f>Input!$OJ$18</f>
        <v>0</v>
      </c>
      <c r="E74" s="762">
        <f>Input!$OK$18</f>
        <v>0</v>
      </c>
      <c r="F74" s="762">
        <f>Input!$OL$18</f>
        <v>0</v>
      </c>
      <c r="G74" s="762">
        <f>Input!$OM$18</f>
        <v>0</v>
      </c>
      <c r="H74" s="762">
        <f>Input!$ON$18</f>
        <v>0</v>
      </c>
      <c r="I74" s="762">
        <f>Input!$OO$18</f>
        <v>0</v>
      </c>
      <c r="J74" s="762">
        <f>Input!$OP$18</f>
        <v>0</v>
      </c>
      <c r="K74" s="762">
        <f>Input!$OQ$18</f>
        <v>0</v>
      </c>
      <c r="L74" s="762">
        <f>Input!$OR$18</f>
        <v>0</v>
      </c>
      <c r="M74" s="723">
        <f t="shared" si="12"/>
        <v>0</v>
      </c>
      <c r="O74" s="492"/>
      <c r="P74" s="842">
        <f>Input!$TT$18</f>
        <v>0</v>
      </c>
      <c r="Q74" s="843"/>
      <c r="R74" s="844"/>
      <c r="S74" s="845">
        <f>SUM(S65:S73)</f>
        <v>22100442</v>
      </c>
      <c r="T74" s="844"/>
      <c r="U74" s="834">
        <f t="shared" si="15"/>
        <v>0</v>
      </c>
      <c r="V74" s="844"/>
      <c r="W74" s="828" t="s">
        <v>186</v>
      </c>
      <c r="X74" s="835">
        <f>Input!$UX$18</f>
        <v>0</v>
      </c>
      <c r="Y74" s="836">
        <f t="shared" si="13"/>
        <v>0</v>
      </c>
      <c r="Z74" s="723"/>
      <c r="AA74" s="723"/>
      <c r="AB74" s="723"/>
    </row>
    <row r="75" spans="1:28" s="752" customFormat="1">
      <c r="A75" s="460">
        <v>58</v>
      </c>
      <c r="B75" s="846" t="s">
        <v>602</v>
      </c>
      <c r="C75" s="846"/>
      <c r="D75" s="762">
        <f>Input!$OS$18</f>
        <v>0</v>
      </c>
      <c r="E75" s="762">
        <f>Input!$OT$18</f>
        <v>0</v>
      </c>
      <c r="F75" s="762">
        <f>Input!$OU$18</f>
        <v>0</v>
      </c>
      <c r="G75" s="762">
        <f>Input!$OV$18</f>
        <v>0</v>
      </c>
      <c r="H75" s="762">
        <f>Input!$OW$18</f>
        <v>0</v>
      </c>
      <c r="I75" s="762">
        <f>Input!$OX$18</f>
        <v>0</v>
      </c>
      <c r="J75" s="762">
        <f>Input!$OY$18</f>
        <v>0</v>
      </c>
      <c r="K75" s="762">
        <f>Input!$OZ$18</f>
        <v>0</v>
      </c>
      <c r="L75" s="762">
        <f>Input!$PA$18</f>
        <v>0</v>
      </c>
      <c r="M75" s="723">
        <f t="shared" si="12"/>
        <v>0</v>
      </c>
      <c r="O75" s="492"/>
      <c r="P75" s="492">
        <f>SUM(P65:P74)</f>
        <v>0</v>
      </c>
      <c r="Q75" s="843" t="s">
        <v>672</v>
      </c>
      <c r="R75" s="844"/>
      <c r="S75" s="847"/>
      <c r="T75" s="844"/>
      <c r="U75" s="834">
        <f t="shared" si="15"/>
        <v>0</v>
      </c>
      <c r="V75" s="844"/>
      <c r="W75" s="828" t="s">
        <v>673</v>
      </c>
      <c r="X75" s="848">
        <f>M93*-1</f>
        <v>0</v>
      </c>
      <c r="Y75" s="836">
        <f>X75+M93</f>
        <v>0</v>
      </c>
      <c r="Z75" s="849"/>
      <c r="AA75" s="849"/>
      <c r="AB75" s="849"/>
    </row>
    <row r="76" spans="1:28" s="752" customFormat="1" ht="13.8" thickBot="1">
      <c r="A76" s="460">
        <v>59</v>
      </c>
      <c r="B76" s="850" t="s">
        <v>603</v>
      </c>
      <c r="C76" s="850"/>
      <c r="D76" s="851">
        <f>Input!$PB$18</f>
        <v>0</v>
      </c>
      <c r="E76" s="851">
        <f>Input!$PC$18</f>
        <v>0</v>
      </c>
      <c r="F76" s="851">
        <f>Input!$PD$18</f>
        <v>0</v>
      </c>
      <c r="G76" s="851">
        <f>Input!$PE$18</f>
        <v>0</v>
      </c>
      <c r="H76" s="851">
        <f>Input!$PF$18</f>
        <v>0</v>
      </c>
      <c r="I76" s="851">
        <f>Input!$PG$18</f>
        <v>0</v>
      </c>
      <c r="J76" s="851">
        <f>Input!$PH$18</f>
        <v>0</v>
      </c>
      <c r="K76" s="851">
        <f>Input!$PI$18</f>
        <v>0</v>
      </c>
      <c r="L76" s="851">
        <f>Input!$PJ$18</f>
        <v>0</v>
      </c>
      <c r="M76" s="723">
        <f t="shared" si="12"/>
        <v>0</v>
      </c>
      <c r="O76" s="492"/>
      <c r="P76" s="852" t="str">
        <f>IF(P75&lt;&gt;M75,"Out of Balance","Balanced")</f>
        <v>Balanced</v>
      </c>
      <c r="Q76" s="1213" t="s">
        <v>674</v>
      </c>
      <c r="R76" s="1214"/>
      <c r="S76" s="853">
        <f>Input!$UM$18</f>
        <v>0</v>
      </c>
      <c r="T76" s="492"/>
      <c r="U76" s="854">
        <f t="shared" si="15"/>
        <v>0</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14686440</v>
      </c>
      <c r="E77" s="769">
        <f t="shared" si="17"/>
        <v>4414169</v>
      </c>
      <c r="F77" s="769">
        <f t="shared" si="17"/>
        <v>0</v>
      </c>
      <c r="G77" s="769">
        <f t="shared" si="17"/>
        <v>2999833</v>
      </c>
      <c r="H77" s="769">
        <f t="shared" si="17"/>
        <v>0</v>
      </c>
      <c r="I77" s="769">
        <f t="shared" si="17"/>
        <v>0</v>
      </c>
      <c r="J77" s="769">
        <f t="shared" si="17"/>
        <v>0</v>
      </c>
      <c r="K77" s="769">
        <f t="shared" si="17"/>
        <v>0</v>
      </c>
      <c r="L77" s="769">
        <f t="shared" si="17"/>
        <v>0</v>
      </c>
      <c r="M77" s="769">
        <f t="shared" si="12"/>
        <v>22100442</v>
      </c>
      <c r="O77" s="320"/>
      <c r="P77" s="492"/>
      <c r="Q77" s="859" t="s">
        <v>676</v>
      </c>
      <c r="R77" s="860"/>
      <c r="S77" s="861">
        <f>Input!$UN$18</f>
        <v>0</v>
      </c>
      <c r="T77" s="320"/>
      <c r="U77" s="862">
        <f>SUM(U65:U76)</f>
        <v>22100442</v>
      </c>
      <c r="V77" s="320"/>
      <c r="W77" s="320"/>
      <c r="X77" s="863">
        <f>SUM(X65:X76)</f>
        <v>22100442</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22100442</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Input!$PK$18</f>
        <v>0</v>
      </c>
      <c r="E80" s="762">
        <f>Input!$PL$18</f>
        <v>0</v>
      </c>
      <c r="F80" s="762">
        <f>Input!$PM$18</f>
        <v>0</v>
      </c>
      <c r="G80" s="762">
        <f>Input!$PN$18</f>
        <v>0</v>
      </c>
      <c r="H80" s="762">
        <f>Input!$PO$18</f>
        <v>0</v>
      </c>
      <c r="I80" s="762">
        <f>Input!$PP$18</f>
        <v>0</v>
      </c>
      <c r="J80" s="762">
        <f>Input!$PQ$18</f>
        <v>0</v>
      </c>
      <c r="K80" s="762">
        <f>Input!$PR$18</f>
        <v>0</v>
      </c>
      <c r="L80" s="762">
        <f>Input!$PS$18</f>
        <v>0</v>
      </c>
      <c r="M80" s="723">
        <f>D80+E80+F80+G80+H80+I80+J80+K80+L80</f>
        <v>0</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Input!$PT$18</f>
        <v>-720498</v>
      </c>
      <c r="E81" s="762">
        <f>Input!$PU$18</f>
        <v>991710</v>
      </c>
      <c r="F81" s="762">
        <f>Input!$PV$18</f>
        <v>0</v>
      </c>
      <c r="G81" s="762">
        <f>Input!$PW$18</f>
        <v>8699</v>
      </c>
      <c r="H81" s="762">
        <f>Input!$PX$18</f>
        <v>0</v>
      </c>
      <c r="I81" s="762">
        <f>Input!$PY$18</f>
        <v>0</v>
      </c>
      <c r="J81" s="762">
        <f>Input!$PZ$18</f>
        <v>0</v>
      </c>
      <c r="K81" s="762">
        <f>Input!$QA$18</f>
        <v>0</v>
      </c>
      <c r="L81" s="762">
        <f>Input!$QB$18</f>
        <v>0</v>
      </c>
      <c r="M81" s="723">
        <f>D81+E81+F81+G81+H81+I81+J81+K81+L81</f>
        <v>279911</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Input!$QC$18</f>
        <v>0</v>
      </c>
      <c r="E82" s="762">
        <f>Input!$QD$18</f>
        <v>0</v>
      </c>
      <c r="F82" s="762">
        <f>Input!$QE$18</f>
        <v>0</v>
      </c>
      <c r="G82" s="762">
        <f>Input!$QF$18</f>
        <v>0</v>
      </c>
      <c r="H82" s="762">
        <f>Input!$QG$18</f>
        <v>0</v>
      </c>
      <c r="I82" s="762">
        <f>Input!$QH$18</f>
        <v>0</v>
      </c>
      <c r="J82" s="762">
        <f>Input!$QI$18</f>
        <v>0</v>
      </c>
      <c r="K82" s="762">
        <f>Input!$QJ$18</f>
        <v>0</v>
      </c>
      <c r="L82" s="762">
        <f>Input!$QK$18</f>
        <v>0</v>
      </c>
      <c r="M82" s="723">
        <f>D82+E82+F82+G82+H82+I82+J82+K82+L82</f>
        <v>0</v>
      </c>
      <c r="O82" s="492"/>
      <c r="P82" s="1218" t="str">
        <f>IF(M91&lt;0,"Footnote 11 is N/A - No Data Entry Required","Footnote 11")</f>
        <v>Footnote 11</v>
      </c>
      <c r="Q82" s="1219"/>
      <c r="R82" s="1219"/>
      <c r="S82" s="1220"/>
      <c r="T82" s="443"/>
      <c r="U82" s="443"/>
      <c r="V82" s="320"/>
      <c r="W82" s="320"/>
      <c r="X82" s="320"/>
      <c r="Y82" s="320"/>
      <c r="Z82" s="320"/>
      <c r="AA82" s="320"/>
      <c r="AB82" s="320"/>
    </row>
    <row r="83" spans="1:28" s="752" customFormat="1" ht="13.8" thickTop="1">
      <c r="A83" s="460">
        <v>66</v>
      </c>
      <c r="B83" s="752" t="s">
        <v>477</v>
      </c>
      <c r="D83" s="762">
        <f>Input!$QL$18</f>
        <v>0</v>
      </c>
      <c r="E83" s="762">
        <f>Input!$QM$18</f>
        <v>0</v>
      </c>
      <c r="F83" s="762">
        <f>Input!$QN$18</f>
        <v>0</v>
      </c>
      <c r="G83" s="762">
        <f>Input!$QO$18</f>
        <v>0</v>
      </c>
      <c r="H83" s="762">
        <f>Input!$QP$18</f>
        <v>0</v>
      </c>
      <c r="I83" s="762">
        <f>Input!$QQ$18</f>
        <v>0</v>
      </c>
      <c r="J83" s="762">
        <f>Input!$QR$18</f>
        <v>0</v>
      </c>
      <c r="K83" s="762">
        <f>Input!$QS$18</f>
        <v>0</v>
      </c>
      <c r="L83" s="762">
        <f>Input!$QT$18</f>
        <v>0</v>
      </c>
      <c r="M83" s="723">
        <f>D83+E83+F83+G83+H83+I83+J83+K83+L83</f>
        <v>0</v>
      </c>
      <c r="O83" s="723"/>
      <c r="P83" s="869" t="s">
        <v>678</v>
      </c>
      <c r="Q83" s="870"/>
      <c r="R83" s="871"/>
      <c r="S83" s="872">
        <f>IF(M91&lt;0,"N/A",M91)</f>
        <v>353139</v>
      </c>
      <c r="T83" s="492"/>
      <c r="U83" s="443"/>
      <c r="V83" s="320"/>
      <c r="W83" s="320"/>
      <c r="X83" s="443"/>
      <c r="Y83" s="443"/>
      <c r="Z83" s="320"/>
      <c r="AA83" s="320"/>
      <c r="AB83" s="320"/>
    </row>
    <row r="84" spans="1:28" s="752" customFormat="1">
      <c r="A84" s="460">
        <v>67</v>
      </c>
      <c r="B84" s="858" t="s">
        <v>155</v>
      </c>
      <c r="C84" s="858"/>
      <c r="D84" s="769">
        <f t="shared" ref="D84:L84" si="18">SUM(D80:D83)</f>
        <v>-720498</v>
      </c>
      <c r="E84" s="769">
        <f t="shared" si="18"/>
        <v>991710</v>
      </c>
      <c r="F84" s="769">
        <f t="shared" si="18"/>
        <v>0</v>
      </c>
      <c r="G84" s="769">
        <f t="shared" si="18"/>
        <v>8699</v>
      </c>
      <c r="H84" s="769">
        <f t="shared" si="18"/>
        <v>0</v>
      </c>
      <c r="I84" s="769">
        <f t="shared" si="18"/>
        <v>0</v>
      </c>
      <c r="J84" s="769">
        <f t="shared" si="18"/>
        <v>0</v>
      </c>
      <c r="K84" s="769">
        <f t="shared" si="18"/>
        <v>0</v>
      </c>
      <c r="L84" s="769">
        <f t="shared" si="18"/>
        <v>0</v>
      </c>
      <c r="M84" s="769">
        <f>D84+E84+F84+G84+H84+I84+J84+K84+L84</f>
        <v>279911</v>
      </c>
      <c r="O84" s="723"/>
      <c r="P84" s="873" t="s">
        <v>679</v>
      </c>
      <c r="Q84" s="492"/>
      <c r="R84" s="492"/>
      <c r="S84" s="874">
        <f>Input!$UY$18</f>
        <v>353139</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f>IF(M91&lt;0,"",S83-S84)</f>
        <v>0</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Input!$QU$18</f>
        <v>0</v>
      </c>
      <c r="E87" s="762">
        <f>Input!$QV$18</f>
        <v>0</v>
      </c>
      <c r="F87" s="762">
        <f>Input!$QW$18</f>
        <v>0</v>
      </c>
      <c r="G87" s="762">
        <f>Input!$QX$18</f>
        <v>0</v>
      </c>
      <c r="H87" s="762">
        <f>Input!$QY$18</f>
        <v>0</v>
      </c>
      <c r="I87" s="762">
        <f>Input!$QZ$18</f>
        <v>0</v>
      </c>
      <c r="J87" s="762">
        <f>Input!$RA$18</f>
        <v>0</v>
      </c>
      <c r="K87" s="762">
        <f>Input!$RB$18</f>
        <v>0</v>
      </c>
      <c r="L87" s="762">
        <f>Input!$RC$18</f>
        <v>0</v>
      </c>
      <c r="M87" s="723">
        <f>D87+E87+F87+G87+H87+I87+J87+K87+L87</f>
        <v>0</v>
      </c>
      <c r="O87" s="320"/>
      <c r="P87" s="873" t="s">
        <v>681</v>
      </c>
      <c r="Q87" s="320"/>
      <c r="R87" s="492"/>
      <c r="S87" s="878">
        <f>Input!$UZ$18</f>
        <v>0</v>
      </c>
      <c r="T87" s="320"/>
      <c r="U87" s="320"/>
      <c r="V87" s="320"/>
      <c r="W87" s="320"/>
      <c r="X87" s="443"/>
      <c r="Y87" s="443"/>
      <c r="Z87" s="320"/>
      <c r="AA87" s="320"/>
      <c r="AB87" s="320"/>
    </row>
    <row r="88" spans="1:28" s="752" customFormat="1">
      <c r="A88" s="460">
        <v>71</v>
      </c>
      <c r="B88" s="752" t="s">
        <v>480</v>
      </c>
      <c r="D88" s="762">
        <f>Input!$RD$18</f>
        <v>0</v>
      </c>
      <c r="E88" s="762">
        <f>Input!$RE$18</f>
        <v>0</v>
      </c>
      <c r="F88" s="762">
        <f>Input!$RF$18</f>
        <v>0</v>
      </c>
      <c r="G88" s="762">
        <f>Input!$RG$18</f>
        <v>0</v>
      </c>
      <c r="H88" s="762">
        <f>Input!$RH$18</f>
        <v>0</v>
      </c>
      <c r="I88" s="762">
        <f>Input!$RI$18</f>
        <v>0</v>
      </c>
      <c r="J88" s="762">
        <f>Input!$RJ$18</f>
        <v>0</v>
      </c>
      <c r="K88" s="762">
        <f>Input!$RK$18</f>
        <v>0</v>
      </c>
      <c r="L88" s="762">
        <f>Input!$RL$18</f>
        <v>0</v>
      </c>
      <c r="M88" s="723">
        <f>D88+E88+F88+G88+H88+I88+J88+K88+L88</f>
        <v>0</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0</v>
      </c>
      <c r="E89" s="769">
        <f t="shared" si="19"/>
        <v>0</v>
      </c>
      <c r="F89" s="769">
        <f t="shared" si="19"/>
        <v>0</v>
      </c>
      <c r="G89" s="769">
        <f t="shared" si="19"/>
        <v>0</v>
      </c>
      <c r="H89" s="769">
        <f t="shared" si="19"/>
        <v>0</v>
      </c>
      <c r="I89" s="769">
        <f t="shared" si="19"/>
        <v>0</v>
      </c>
      <c r="J89" s="769">
        <f t="shared" si="19"/>
        <v>0</v>
      </c>
      <c r="K89" s="769">
        <f t="shared" si="19"/>
        <v>0</v>
      </c>
      <c r="L89" s="769">
        <f t="shared" si="19"/>
        <v>0</v>
      </c>
      <c r="M89" s="769">
        <f>D89+E89+F89+G89+H89+I89+J89+K89+L89</f>
        <v>0</v>
      </c>
      <c r="O89" s="320"/>
      <c r="P89" s="873" t="s">
        <v>683</v>
      </c>
      <c r="Q89" s="320"/>
      <c r="R89" s="320"/>
      <c r="S89" s="875">
        <f>IFERROR(S85-S87,"")</f>
        <v>0</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1111447</v>
      </c>
      <c r="E91" s="769">
        <f t="shared" si="20"/>
        <v>-1884621</v>
      </c>
      <c r="F91" s="769">
        <f t="shared" si="20"/>
        <v>50940</v>
      </c>
      <c r="G91" s="769">
        <f t="shared" si="20"/>
        <v>1075373</v>
      </c>
      <c r="H91" s="769">
        <f t="shared" si="20"/>
        <v>0</v>
      </c>
      <c r="I91" s="769">
        <f t="shared" si="20"/>
        <v>0</v>
      </c>
      <c r="J91" s="769">
        <f t="shared" si="20"/>
        <v>0</v>
      </c>
      <c r="K91" s="769">
        <f t="shared" si="20"/>
        <v>0</v>
      </c>
      <c r="L91" s="769">
        <f>L63-L77+L84+L89</f>
        <v>0</v>
      </c>
      <c r="M91" s="769">
        <f>D91+E91+F91+G91+H91+I91+J91+K91+L91</f>
        <v>353139</v>
      </c>
      <c r="O91" s="320"/>
      <c r="P91" s="881" t="s">
        <v>684</v>
      </c>
      <c r="Q91" s="882"/>
      <c r="R91" s="882"/>
      <c r="S91" s="883">
        <f>IFERROR((S89+S87)-S85,"")</f>
        <v>0</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Input!$RM$18</f>
        <v>0</v>
      </c>
      <c r="E93" s="762">
        <f>Input!$RN$18</f>
        <v>0</v>
      </c>
      <c r="F93" s="762">
        <f>Input!$RO$18</f>
        <v>0</v>
      </c>
      <c r="G93" s="762">
        <f>Input!$RP$18</f>
        <v>0</v>
      </c>
      <c r="H93" s="762">
        <f>Input!$RQ$18</f>
        <v>0</v>
      </c>
      <c r="I93" s="762">
        <f>Input!$RR$18</f>
        <v>0</v>
      </c>
      <c r="J93" s="762">
        <f>Input!$RS$18</f>
        <v>0</v>
      </c>
      <c r="K93" s="762">
        <f>Input!$RT$18</f>
        <v>0</v>
      </c>
      <c r="L93" s="762">
        <f>Input!$RU$18</f>
        <v>0</v>
      </c>
      <c r="M93" s="723">
        <f>D93+E93+F93+G93+H93+I93+J93+K93+L93</f>
        <v>0</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Input!$RV$18</f>
        <v>0</v>
      </c>
      <c r="E94" s="762">
        <f>Input!$RW$18</f>
        <v>0</v>
      </c>
      <c r="F94" s="762">
        <f>Input!$RX$18</f>
        <v>0</v>
      </c>
      <c r="G94" s="762">
        <f>Input!$RY$18</f>
        <v>0</v>
      </c>
      <c r="H94" s="762">
        <f>Input!$RZ$18</f>
        <v>0</v>
      </c>
      <c r="I94" s="762">
        <f>Input!$SA$18</f>
        <v>0</v>
      </c>
      <c r="J94" s="762">
        <f>Input!$SB$18</f>
        <v>0</v>
      </c>
      <c r="K94" s="762">
        <f>Input!$SC$18</f>
        <v>0</v>
      </c>
      <c r="L94" s="762">
        <f>Input!$SD$18</f>
        <v>0</v>
      </c>
      <c r="M94" s="723">
        <f>D94+E94+F94+G94+H94+I94+J94+K94+L94</f>
        <v>0</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Input!$SE$18</f>
        <v>0</v>
      </c>
      <c r="E95" s="762">
        <f>Input!$SF$18</f>
        <v>0</v>
      </c>
      <c r="F95" s="762">
        <f>Input!$SG$18</f>
        <v>0</v>
      </c>
      <c r="G95" s="762">
        <f>Input!$SH$18</f>
        <v>0</v>
      </c>
      <c r="H95" s="762">
        <f>Input!$SI$18</f>
        <v>0</v>
      </c>
      <c r="I95" s="762">
        <f>Input!$SJ$18</f>
        <v>0</v>
      </c>
      <c r="J95" s="762">
        <f>Input!$SK$18</f>
        <v>0</v>
      </c>
      <c r="K95" s="762">
        <f>Input!$SL$18</f>
        <v>0</v>
      </c>
      <c r="L95" s="762">
        <f>Input!$SM$18</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Input!$SN$18</f>
        <v>0</v>
      </c>
      <c r="E96" s="762">
        <f>Input!$SO$18</f>
        <v>0</v>
      </c>
      <c r="F96" s="762">
        <f>Input!$SP$18</f>
        <v>0</v>
      </c>
      <c r="G96" s="762">
        <f>Input!$SQ$18</f>
        <v>0</v>
      </c>
      <c r="H96" s="762">
        <f>Input!$SR$18</f>
        <v>0</v>
      </c>
      <c r="I96" s="762">
        <f>Input!$SS$18</f>
        <v>0</v>
      </c>
      <c r="J96" s="762">
        <f>Input!$ST$18</f>
        <v>0</v>
      </c>
      <c r="K96" s="762">
        <f>Input!$SU$18</f>
        <v>0</v>
      </c>
      <c r="L96" s="762">
        <f>Input!$SV$18</f>
        <v>0</v>
      </c>
      <c r="M96" s="723">
        <f>D96+E96+F96+G96+H96+I96+J96+K96+L96</f>
        <v>0</v>
      </c>
      <c r="O96" s="884"/>
      <c r="P96" s="320"/>
      <c r="Q96" s="320"/>
      <c r="R96" s="320"/>
      <c r="S96" s="320"/>
      <c r="Y96" s="320"/>
      <c r="Z96" s="320"/>
      <c r="AA96" s="320"/>
      <c r="AB96" s="320"/>
    </row>
    <row r="97" spans="1:28" s="752" customFormat="1">
      <c r="A97" s="460">
        <v>79</v>
      </c>
      <c r="B97" s="320" t="s">
        <v>486</v>
      </c>
      <c r="C97" s="320"/>
      <c r="D97" s="762">
        <f>Input!$SW$18</f>
        <v>0</v>
      </c>
      <c r="E97" s="762">
        <f>Input!$SX$18</f>
        <v>0</v>
      </c>
      <c r="F97" s="762">
        <f>Input!$SY$18</f>
        <v>0</v>
      </c>
      <c r="G97" s="762">
        <f>Input!$SZ$18</f>
        <v>0</v>
      </c>
      <c r="H97" s="762">
        <f>Input!$TA$18</f>
        <v>0</v>
      </c>
      <c r="I97" s="762">
        <f>Input!$TB$18</f>
        <v>0</v>
      </c>
      <c r="J97" s="762">
        <f>Input!$TC$18</f>
        <v>0</v>
      </c>
      <c r="K97" s="762">
        <f>Input!$TD$18</f>
        <v>0</v>
      </c>
      <c r="L97" s="762">
        <f>Input!$TE$18</f>
        <v>0</v>
      </c>
      <c r="M97" s="723">
        <f>D97+E97+F97+G97+H97+I97+J97+K97+L97</f>
        <v>0</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1111447</v>
      </c>
      <c r="E98" s="886">
        <f t="shared" si="21"/>
        <v>-1884621</v>
      </c>
      <c r="F98" s="886">
        <f t="shared" si="21"/>
        <v>50940</v>
      </c>
      <c r="G98" s="886">
        <f t="shared" si="21"/>
        <v>1075373</v>
      </c>
      <c r="H98" s="886">
        <f t="shared" si="21"/>
        <v>0</v>
      </c>
      <c r="I98" s="886">
        <f t="shared" si="21"/>
        <v>0</v>
      </c>
      <c r="J98" s="886">
        <f t="shared" si="21"/>
        <v>0</v>
      </c>
      <c r="K98" s="886">
        <f t="shared" si="21"/>
        <v>0</v>
      </c>
      <c r="L98" s="886">
        <f t="shared" si="21"/>
        <v>0</v>
      </c>
      <c r="M98" s="886">
        <f>SUM(M91:M97)</f>
        <v>353139</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9" t="str">
        <f>Input!$VC$18</f>
        <v>Charlotte Hotz</v>
      </c>
      <c r="Q103" s="1225"/>
      <c r="R103" s="1224" t="str">
        <f>Input!$VD$18</f>
        <v>(713) 743.5296</v>
      </c>
      <c r="S103" s="1225"/>
      <c r="T103" s="320"/>
      <c r="U103" s="1226" t="str">
        <f>HYPERLINK("Mailto:"&amp;Input!$VE$18,Input!$VE$18)</f>
        <v>cahotz@uh.edu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Input!$TF$18</f>
        <v>353139</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IF($L$123&lt;&gt;Input!$F$18,"Out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30484327</v>
      </c>
      <c r="E110" s="723">
        <f>SUM($E$10:$E$14)+SUM($E$19:$E$28)+SUM($E$50)+$E$53+SUM($E$56:$E$61)+SUM($E$65:$E$76)+SUM($E$80:$E$83)+SUM($E$87:$E$88)+SUM($E$93:$E$97)+SUM($E$32:$E$41)+$E$47</f>
        <v>6943717</v>
      </c>
      <c r="F110" s="723">
        <f>SUM($F$10:$F$14)+SUM($F$19:$F$28)+SUM($F$50)+$F$53+SUM($F$56:$F$61)+SUM($F$65:$F$76)+SUM($F$80:$F$83)+SUM($F$87:$F$88)+SUM($F$93:$F$97)+SUM($F$32:$F$41)+$F$47</f>
        <v>50940</v>
      </c>
      <c r="G110" s="723">
        <f>SUM($G$10:$G$14)+SUM($G$19:$G$28)+SUM($G$50)+$G$53+SUM($G$56:$G$61)+SUM($G$65:$G$76)+SUM($G$80:$G$83)+SUM($G$87:$G$88)+SUM($G$93:$G$97)+SUM($G$32:$G$41)+$G$47</f>
        <v>7075039</v>
      </c>
      <c r="H110" s="723">
        <f>SUM($H$10:$H$14)+SUM($H$19:$H$28)+SUM($H$50)+$H$53+SUM($H$56:$H$61)+SUM($H$65:$H$76)+SUM($H$80:$H$83)+SUM($H$87:$H$88)+SUM($H$93:$H$97)+SUM($H$32:$H$41)+$H$47</f>
        <v>0</v>
      </c>
      <c r="I110" s="723">
        <f>SUM($I$10:$I$14)+SUM($I$19:$I$28)+SUM($I$50)+$I$53+SUM($I$56:$I$61)+SUM($I$65:$I$76)+SUM($I$80:$I$83)+SUM($I$87:$I$88)+SUM($I$93:$I$97)+SUM($I$32:$I$41)+$I$47</f>
        <v>0</v>
      </c>
      <c r="J110" s="723">
        <f>SUM($J$10:$J$14)+SUM($J$19:$J$28)+SUM($J$50)+$J$53+SUM($J$56:$J$61)+SUM($J$65:$J$76)+SUM($J$80:$J$83)+SUM($J$87:$J$88)+SUM($J$93:$J$97)+SUM($J$32:$J$41)+$J$47</f>
        <v>0</v>
      </c>
      <c r="K110" s="723">
        <f>SUM($K$10:$K$14)+SUM($K$19:$K$28)+SUM($K$50)+$K$53+SUM($K$56:$K$61)+SUM($K$65:$K$76)+SUM($K$80:$K$83)+SUM($K$87:$K$88)+SUM($K$93:$K$97)+SUM($K$32:$K$41)+$K$47</f>
        <v>0</v>
      </c>
      <c r="L110" s="723">
        <f>SUM($L$10:$L$14)+SUM($L$19:$L$28)+SUM($L$50)+$L$53+SUM($L$56:$L$61)+SUM($L$65:$L$76)+SUM($L$80:$L$83)+SUM($L$87:$L$88)+SUM($L$93:$L$97)+SUM($L$32:$L$41)+$L$47</f>
        <v>0</v>
      </c>
    </row>
    <row r="111" spans="1:28" s="320" customFormat="1">
      <c r="A111" s="322"/>
      <c r="L111" s="723">
        <f>SUM($D$110:$L$110)</f>
        <v>44554023</v>
      </c>
    </row>
    <row r="112" spans="1:28" s="320" customFormat="1">
      <c r="A112" s="322"/>
      <c r="J112" s="320" t="s">
        <v>690</v>
      </c>
      <c r="L112" s="723">
        <f>$M$105</f>
        <v>353139</v>
      </c>
    </row>
    <row r="113" spans="1:12" s="320" customFormat="1">
      <c r="A113" s="322"/>
      <c r="J113" s="320" t="s">
        <v>691</v>
      </c>
      <c r="L113" s="492">
        <f>$Q$32</f>
        <v>1616639</v>
      </c>
    </row>
    <row r="114" spans="1:12" s="320" customFormat="1">
      <c r="A114" s="322"/>
      <c r="J114" s="320" t="s">
        <v>691</v>
      </c>
      <c r="L114" s="492">
        <f>$R$34</f>
        <v>-523964</v>
      </c>
    </row>
    <row r="115" spans="1:12" s="320" customFormat="1">
      <c r="A115" s="322"/>
      <c r="J115" s="320" t="s">
        <v>521</v>
      </c>
      <c r="L115" s="492">
        <f>SUM($P$65:$P$74)</f>
        <v>0</v>
      </c>
    </row>
    <row r="116" spans="1:12" s="320" customFormat="1">
      <c r="A116" s="322"/>
      <c r="J116" s="320" t="s">
        <v>692</v>
      </c>
      <c r="L116" s="492">
        <f>$S$76+$S$77</f>
        <v>0</v>
      </c>
    </row>
    <row r="117" spans="1:12" s="320" customFormat="1">
      <c r="A117" s="322"/>
      <c r="J117" s="320" t="s">
        <v>693</v>
      </c>
      <c r="L117" s="492">
        <f>SUM($Q$65:$Q$73)</f>
        <v>0</v>
      </c>
    </row>
    <row r="118" spans="1:12" s="320" customFormat="1">
      <c r="A118" s="322"/>
      <c r="J118" s="320" t="s">
        <v>694</v>
      </c>
      <c r="L118" s="492">
        <f>SUM($R$65:$R$73)</f>
        <v>0</v>
      </c>
    </row>
    <row r="119" spans="1:12" s="320" customFormat="1">
      <c r="A119" s="322"/>
      <c r="J119" s="320" t="s">
        <v>695</v>
      </c>
      <c r="L119" s="492">
        <f>SUM($X$65:$X$74)</f>
        <v>22100442</v>
      </c>
    </row>
    <row r="120" spans="1:12" s="320" customFormat="1">
      <c r="A120" s="322"/>
      <c r="J120" s="320" t="s">
        <v>696</v>
      </c>
      <c r="L120" s="492">
        <f>$S$84</f>
        <v>353139</v>
      </c>
    </row>
    <row r="121" spans="1:12" s="320" customFormat="1">
      <c r="A121" s="322"/>
      <c r="J121" s="320" t="s">
        <v>696</v>
      </c>
      <c r="L121" s="492">
        <f>$S$87</f>
        <v>0</v>
      </c>
    </row>
    <row r="122" spans="1:12" s="320" customFormat="1">
      <c r="A122" s="322"/>
      <c r="J122" s="320" t="s">
        <v>697</v>
      </c>
      <c r="L122" s="443">
        <f>VLOOKUP(B2,Names!$B$10:$C$96,2,FALSE)</f>
        <v>203652</v>
      </c>
    </row>
    <row r="123" spans="1:12" s="320" customFormat="1">
      <c r="A123" s="322"/>
      <c r="L123" s="898">
        <f>SUM($L$111:$L$122)</f>
        <v>68657070</v>
      </c>
    </row>
    <row r="128" spans="1:12">
      <c r="L128" s="724"/>
    </row>
  </sheetData>
  <mergeCells count="27">
    <mergeCell ref="P10:P11"/>
    <mergeCell ref="B2:F2"/>
    <mergeCell ref="B3:F3"/>
    <mergeCell ref="B4:F4"/>
    <mergeCell ref="P4:Q4"/>
    <mergeCell ref="B6:M6"/>
    <mergeCell ref="O19:S19"/>
    <mergeCell ref="U19:Y19"/>
    <mergeCell ref="O60:S60"/>
    <mergeCell ref="W60:Y60"/>
    <mergeCell ref="O61:O64"/>
    <mergeCell ref="P61:P64"/>
    <mergeCell ref="Q61:Q64"/>
    <mergeCell ref="R61:R64"/>
    <mergeCell ref="S61:S64"/>
    <mergeCell ref="U61:U64"/>
    <mergeCell ref="W61:W64"/>
    <mergeCell ref="X61:X64"/>
    <mergeCell ref="Y61:Y64"/>
    <mergeCell ref="P105:V106"/>
    <mergeCell ref="G64:K64"/>
    <mergeCell ref="Q76:R76"/>
    <mergeCell ref="P100:V100"/>
    <mergeCell ref="P103:Q103"/>
    <mergeCell ref="R103:S103"/>
    <mergeCell ref="U103:V103"/>
    <mergeCell ref="P82:S82"/>
  </mergeCells>
  <conditionalFormatting sqref="D98:L98">
    <cfRule type="cellIs" dxfId="107" priority="15" stopIfTrue="1" operator="notEqual">
      <formula>#REF!</formula>
    </cfRule>
  </conditionalFormatting>
  <conditionalFormatting sqref="D99:M99">
    <cfRule type="cellIs" dxfId="106" priority="21" stopIfTrue="1" operator="notEqual">
      <formula>#REF!</formula>
    </cfRule>
  </conditionalFormatting>
  <conditionalFormatting sqref="G64:K64">
    <cfRule type="expression" dxfId="105" priority="14">
      <formula>$R$98&lt;&gt;0</formula>
    </cfRule>
    <cfRule type="expression" dxfId="104" priority="37">
      <formula>$T$93&gt;0</formula>
    </cfRule>
  </conditionalFormatting>
  <conditionalFormatting sqref="M15">
    <cfRule type="cellIs" dxfId="103" priority="16" stopIfTrue="1" operator="notEqual">
      <formula>SUM($M$10:$M$14)</formula>
    </cfRule>
  </conditionalFormatting>
  <conditionalFormatting sqref="M62">
    <cfRule type="cellIs" dxfId="102" priority="17" stopIfTrue="1" operator="notEqual">
      <formula>SUM($M$56:$M$61)</formula>
    </cfRule>
  </conditionalFormatting>
  <conditionalFormatting sqref="M77">
    <cfRule type="cellIs" dxfId="101" priority="20" stopIfTrue="1" operator="notEqual">
      <formula>SUM($M$65:$M$76)</formula>
    </cfRule>
  </conditionalFormatting>
  <conditionalFormatting sqref="M84">
    <cfRule type="cellIs" dxfId="100" priority="18" stopIfTrue="1" operator="notEqual">
      <formula>SUM($M$80:$M$83)</formula>
    </cfRule>
  </conditionalFormatting>
  <conditionalFormatting sqref="M89">
    <cfRule type="cellIs" dxfId="99" priority="19" stopIfTrue="1" operator="notEqual">
      <formula>SUM($M$87:$M$88)</formula>
    </cfRule>
  </conditionalFormatting>
  <conditionalFormatting sqref="O12">
    <cfRule type="expression" dxfId="98" priority="11">
      <formula>$Q$12&lt;&gt;$N$12</formula>
    </cfRule>
    <cfRule type="expression" dxfId="97" priority="56">
      <formula>$P$12&lt;&gt;$M$12</formula>
    </cfRule>
  </conditionalFormatting>
  <conditionalFormatting sqref="O13">
    <cfRule type="expression" dxfId="96" priority="12">
      <formula>$Q$13&lt;&gt;$N$13</formula>
    </cfRule>
    <cfRule type="expression" dxfId="95" priority="57">
      <formula>$P$13&lt;&gt;$M$13</formula>
    </cfRule>
  </conditionalFormatting>
  <conditionalFormatting sqref="O11:P11">
    <cfRule type="expression" dxfId="94" priority="13">
      <formula>#REF!&lt;&gt;$N$11</formula>
    </cfRule>
  </conditionalFormatting>
  <conditionalFormatting sqref="P76">
    <cfRule type="expression" dxfId="93" priority="5">
      <formula>$P$75&lt;&gt;$M$75</formula>
    </cfRule>
  </conditionalFormatting>
  <conditionalFormatting sqref="P94:P101 Q100:R100 U100:V100 S100:T102 U101 R102 S105:U106">
    <cfRule type="cellIs" dxfId="92" priority="6" stopIfTrue="1" operator="notEqual">
      <formula>#REF!</formula>
    </cfRule>
  </conditionalFormatting>
  <conditionalFormatting sqref="Q35">
    <cfRule type="expression" dxfId="91" priority="1">
      <formula>#REF!&lt;&gt;0</formula>
    </cfRule>
  </conditionalFormatting>
  <conditionalFormatting sqref="Q93:Q100 U93:W100 T95:T102 R99:S102 O93:O100 R95:R97 S95:S98 X95:AB102">
    <cfRule type="cellIs" dxfId="90" priority="38" stopIfTrue="1" operator="notEqual">
      <formula>#REF!</formula>
    </cfRule>
  </conditionalFormatting>
  <conditionalFormatting sqref="Q36:R36">
    <cfRule type="expression" dxfId="89" priority="3">
      <formula>#REF!&lt;&gt;#REF!</formula>
    </cfRule>
  </conditionalFormatting>
  <conditionalFormatting sqref="R35">
    <cfRule type="expression" dxfId="88" priority="2">
      <formula>#REF!&lt;&gt;0</formula>
    </cfRule>
  </conditionalFormatting>
  <conditionalFormatting sqref="S84 S87">
    <cfRule type="expression" dxfId="87" priority="7" stopIfTrue="1">
      <formula>$M$91&gt;=0</formula>
    </cfRule>
    <cfRule type="expression" priority="8">
      <formula>$M$91&lt;0</formula>
    </cfRule>
    <cfRule type="expression" dxfId="86" priority="29" stopIfTrue="1">
      <formula>$M$91&gt;=0</formula>
    </cfRule>
    <cfRule type="expression" priority="30">
      <formula>$M$91&lt;0</formula>
    </cfRule>
    <cfRule type="expression" dxfId="85" priority="52" stopIfTrue="1">
      <formula>$N$91&gt;=0</formula>
    </cfRule>
    <cfRule type="expression" priority="53">
      <formula>$N$91&lt;0</formula>
    </cfRule>
  </conditionalFormatting>
  <conditionalFormatting sqref="S91">
    <cfRule type="expression" priority="9" stopIfTrue="1">
      <formula>$N$91&lt;0</formula>
    </cfRule>
    <cfRule type="expression" dxfId="84" priority="10">
      <formula>$T$91&lt;&gt;0</formula>
    </cfRule>
    <cfRule type="expression" priority="31" stopIfTrue="1">
      <formula>$N$91&lt;0</formula>
    </cfRule>
    <cfRule type="expression" dxfId="83" priority="32">
      <formula>$T$91&lt;&gt;0</formula>
    </cfRule>
    <cfRule type="expression" priority="54" stopIfTrue="1">
      <formula>$N$91&lt;0</formula>
    </cfRule>
    <cfRule type="expression" dxfId="82" priority="55">
      <formula>$T$91&lt;&gt;0</formula>
    </cfRule>
  </conditionalFormatting>
  <conditionalFormatting sqref="Y78">
    <cfRule type="expression" dxfId="81" priority="4">
      <formula>$Y$77&lt;&gt;0</formula>
    </cfRule>
  </conditionalFormatting>
  <hyperlinks>
    <hyperlink ref="O2" location="Index!A1" display="Return to Index" xr:uid="{00000000-0004-0000-48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2.109375" style="277" customWidth="1"/>
    <col min="11" max="16384" width="9.109375" style="277"/>
  </cols>
  <sheetData>
    <row r="1" spans="1:6">
      <c r="B1" s="742" t="str">
        <f>'UHM Chts'!$A$1</f>
        <v>University of Houston Medical School (M)</v>
      </c>
      <c r="D1" s="321" t="s">
        <v>51</v>
      </c>
    </row>
    <row r="2" spans="1:6">
      <c r="B2" s="742" t="str">
        <f>'Smmy Chts'!$A$2</f>
        <v>For the Year Ended August 31, 2022</v>
      </c>
    </row>
    <row r="3" spans="1:6">
      <c r="B3" s="742" t="str">
        <f>'Smmy Chts'!$A$3</f>
        <v>Source: FY 2022 Annual Financial Report</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str">
        <f>IF('UHM FGD'!$S$83="N/A","FN11.  N/A",$B$14&amp;$B$15&amp;$B$16&amp;$B$17&amp;$B$18&amp;$B$19&amp;$B$20&amp;$B$21&amp;$B$22&amp;$B$23&amp;$B$24)</f>
        <v>FN11: Of the net increase of $353,139 approximately $353 thousand represents revenues received but not year expended. This income is fully committed to program expenditures and capital disbursements. The remaining $0 represents non-expendable funds from unrealized gains and additions to permanent endowments of approximately $0 and $0 respectively. Unrealized gains and additions to permanent endowments do not contribute to the availability of the institution's operating cash as discussed in FN6 and FN7.</v>
      </c>
      <c r="E9" s="669"/>
    </row>
    <row r="14" spans="1:6">
      <c r="B14" s="277" t="s">
        <v>698</v>
      </c>
    </row>
    <row r="15" spans="1:6">
      <c r="A15" s="277">
        <v>75</v>
      </c>
      <c r="B15" s="669" t="str">
        <f>TEXT(IF('UHM FGD'!$M$91&lt;0,"N/A",'UHM FGD'!$M$91),"$* #,##0;$* (#,##0)")</f>
        <v>$353,139</v>
      </c>
      <c r="C15" s="282"/>
      <c r="F15" s="282"/>
    </row>
    <row r="16" spans="1:6">
      <c r="B16" s="277" t="s">
        <v>699</v>
      </c>
    </row>
    <row r="17" spans="1:6">
      <c r="A17" s="277">
        <v>68</v>
      </c>
      <c r="B17" s="748" t="str">
        <f>IF(ABS('UHM FGD'!$S$84)&gt;=1000000,TEXT('UHM FGD'!$S$84/1000000,"$* #,##0.0;$* (#,##0.0)")&amp;" million",IF(ABS('UHM FGD'!$S$84)&lt;1000,TEXT('UHM FGD'!$S$84,"$* #,##0;$* (#,##0)"),TEXT('UHM FGD'!$S$84/1000,"$* #,##0;$* (#,##0)")&amp;" thousand"))</f>
        <v>$353 thousand</v>
      </c>
      <c r="C17" s="748"/>
      <c r="F17" s="748"/>
    </row>
    <row r="18" spans="1:6">
      <c r="B18" s="277" t="s">
        <v>700</v>
      </c>
    </row>
    <row r="19" spans="1:6">
      <c r="A19" s="277">
        <v>69</v>
      </c>
      <c r="B19" s="277" t="str">
        <f>IF(ABS('UHM FGD'!$S$85)&gt;=1000000,TEXT('UHM FGD'!$S$85/1000000,"$* #,##0.0;$* (#,##0.0)")&amp;" million",IF(ABS('UHM FGD'!$S$85)&lt;1000,TEXT('UHM FGD'!$S$85,"$* #,##0;$* (#,##0)"),TEXT('UHM FGD'!$S$85/1000,"$* #,##0;$* (#,##0)")&amp;" thousand"))</f>
        <v>$0</v>
      </c>
    </row>
    <row r="20" spans="1:6">
      <c r="B20" s="277" t="s">
        <v>701</v>
      </c>
    </row>
    <row r="21" spans="1:6">
      <c r="A21" s="277">
        <v>71</v>
      </c>
      <c r="B21" s="277" t="str">
        <f>IF(ABS('UHM FGD'!$S$87)&gt;=1000000,TEXT('UHM FGD'!$S$87/1000000,"$* #,##0.0;$* (#,##0.0)")&amp;" million",IF(ABS('UHM FGD'!$S$87)&lt;1000,TEXT('UHM FGD'!$S$87,"$* #,##0;$* (#,##0)"),TEXT('UHM FGD'!$S$87/1000,"$* #,##0;$* (#,##0)")&amp;" thousand"))</f>
        <v>$0</v>
      </c>
    </row>
    <row r="22" spans="1:6">
      <c r="B22" s="277" t="s">
        <v>702</v>
      </c>
    </row>
    <row r="23" spans="1:6">
      <c r="A23" s="277">
        <v>73</v>
      </c>
      <c r="B23" s="277" t="str">
        <f>IF(ABS('UHM FGD'!$S$89)&gt;=1000000,TEXT('UHM FGD'!$S$89/1000000,"$* #,##0.0;$* (#,##0.0)")&amp;" million",IF(ABS('UHM FGD'!$S$89)&lt;1000,TEXT('UHM FGD'!$S$89,"$* #,##0;$* (#,##0)"),TEXT('UHM FGD'!$S$89/1000,"$* #,##0;$* (#,##0)")&amp;" thousand"))</f>
        <v>$0</v>
      </c>
    </row>
    <row r="24" spans="1:6">
      <c r="B24" s="277" t="s">
        <v>703</v>
      </c>
    </row>
  </sheetData>
  <hyperlinks>
    <hyperlink ref="D1" location="Index!A1" display="Return to Index" xr:uid="{00000000-0004-0000-4900-000000000000}"/>
  </hyperlinks>
  <pageMargins left="0.25" right="0.25" top="0.5" bottom="0.25" header="0.5" footer="0.5"/>
  <pageSetup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13.5546875" style="277" customWidth="1"/>
    <col min="3" max="3" width="55" style="277" customWidth="1"/>
    <col min="4" max="4" width="20.109375" style="277" customWidth="1"/>
    <col min="5" max="16384" width="9.109375" style="277"/>
  </cols>
  <sheetData>
    <row r="1" spans="1:5" ht="27.75" customHeight="1">
      <c r="A1" s="989" t="s">
        <v>32</v>
      </c>
      <c r="C1" s="321" t="s">
        <v>51</v>
      </c>
    </row>
    <row r="2" spans="1:5" ht="27.75" customHeight="1">
      <c r="A2" s="990" t="str">
        <f>'Smmy Chts'!$A$2</f>
        <v>For the Year Ended August 31, 2022</v>
      </c>
    </row>
    <row r="3" spans="1:5" ht="27" customHeight="1">
      <c r="A3" s="990" t="str">
        <f>'Smmy Chts'!$A$3</f>
        <v>Source: FY 2022 Annual Financial Report</v>
      </c>
      <c r="C3" s="991" t="s">
        <v>493</v>
      </c>
    </row>
    <row r="4" spans="1:5" ht="19.5" customHeight="1">
      <c r="A4" s="279" t="s">
        <v>711</v>
      </c>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'SHNF Sum'!A9</f>
        <v>State of Texas</v>
      </c>
      <c r="D11" s="994">
        <f>'SHNF Sum'!B15</f>
        <v>1141959</v>
      </c>
      <c r="E11" s="995">
        <f>ROUND(D11/$D$17,3)</f>
        <v>8.6999999999999994E-2</v>
      </c>
    </row>
    <row r="12" spans="1:5" ht="12.9" customHeight="1">
      <c r="C12" s="993" t="str">
        <f>'SHNF Sum'!A17</f>
        <v>Student &amp; Parent</v>
      </c>
      <c r="D12" s="994">
        <f>'SHNF Sum'!B20</f>
        <v>10092500</v>
      </c>
      <c r="E12" s="995">
        <f t="shared" ref="E12:E15" si="0">ROUND(D12/$D$17,3)</f>
        <v>0.76700000000000002</v>
      </c>
    </row>
    <row r="13" spans="1:5" ht="12.9" customHeight="1">
      <c r="C13" s="993" t="str">
        <f>'SHNF Sum'!A22</f>
        <v>Federal Government</v>
      </c>
      <c r="D13" s="994">
        <f>'SHNF Sum'!B23</f>
        <v>277251</v>
      </c>
      <c r="E13" s="995">
        <f t="shared" si="0"/>
        <v>2.1000000000000001E-2</v>
      </c>
    </row>
    <row r="14" spans="1:5" ht="12.9" customHeight="1">
      <c r="C14" s="993" t="str">
        <f>'SHNF Sum'!A31</f>
        <v>Institutional Resources</v>
      </c>
      <c r="D14" s="994">
        <f>'SHNF Sum'!B38</f>
        <v>1645779</v>
      </c>
      <c r="E14" s="995">
        <f t="shared" si="0"/>
        <v>0.125</v>
      </c>
    </row>
    <row r="15" spans="1:5" ht="12.9" customHeight="1">
      <c r="C15" s="996" t="s">
        <v>497</v>
      </c>
      <c r="D15" s="994">
        <f>'SHNF Sum'!B29+'SHNF Sum'!B26</f>
        <v>0</v>
      </c>
      <c r="E15" s="995">
        <f t="shared" si="0"/>
        <v>0</v>
      </c>
    </row>
    <row r="16" spans="1:5" ht="12.9" customHeight="1">
      <c r="C16" s="991"/>
      <c r="D16" s="992"/>
    </row>
    <row r="17" spans="3:5" ht="12.9" customHeight="1">
      <c r="C17" s="997" t="s">
        <v>201</v>
      </c>
      <c r="D17" s="998">
        <f>SUM(D11:D16)</f>
        <v>13157489</v>
      </c>
      <c r="E17" s="999">
        <f>SUM(E11:E15)</f>
        <v>1</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$13,157,489</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5" customHeight="1">
      <c r="C53" s="993" t="s">
        <v>101</v>
      </c>
      <c r="D53" s="994">
        <f>'SHNF Sum'!B10</f>
        <v>0</v>
      </c>
      <c r="E53" s="995">
        <f>ROUND(D53/$D$68,3)</f>
        <v>0</v>
      </c>
    </row>
    <row r="54" spans="3:5" ht="15" customHeight="1">
      <c r="C54" s="993" t="s">
        <v>510</v>
      </c>
      <c r="D54" s="994">
        <f>'SHNF Sum'!B11</f>
        <v>1141959</v>
      </c>
      <c r="E54" s="995">
        <f t="shared" ref="E54:E67" si="1">ROUND(D54/$D$68,3)</f>
        <v>8.6999999999999994E-2</v>
      </c>
    </row>
    <row r="55" spans="3:5" ht="12.9" customHeight="1">
      <c r="C55" s="1001"/>
      <c r="D55" s="994"/>
      <c r="E55" s="995"/>
    </row>
    <row r="56" spans="3:5" ht="16.5" customHeight="1">
      <c r="C56" s="993" t="str">
        <f>'SHNF Sum'!A13</f>
        <v>Higher Education Fund</v>
      </c>
      <c r="D56" s="994">
        <f>'SHNF Sum'!B13</f>
        <v>0</v>
      </c>
      <c r="E56" s="995">
        <f t="shared" si="1"/>
        <v>0</v>
      </c>
    </row>
    <row r="57" spans="3:5" ht="16.5" customHeight="1">
      <c r="C57" s="1001" t="s">
        <v>511</v>
      </c>
      <c r="D57" s="994">
        <f>'SHNF Sum'!B14</f>
        <v>0</v>
      </c>
      <c r="E57" s="995">
        <f t="shared" si="1"/>
        <v>0</v>
      </c>
    </row>
    <row r="58" spans="3:5" ht="12.9" customHeight="1">
      <c r="C58" s="993" t="s">
        <v>460</v>
      </c>
      <c r="D58" s="994">
        <f>'SHNF Sum'!B20</f>
        <v>10092500</v>
      </c>
      <c r="E58" s="995">
        <f t="shared" si="1"/>
        <v>0.76700000000000002</v>
      </c>
    </row>
    <row r="59" spans="3:5" ht="12.9" customHeight="1">
      <c r="C59" s="993" t="s">
        <v>512</v>
      </c>
      <c r="D59" s="994">
        <f>'SHNF Sum'!B23</f>
        <v>277251</v>
      </c>
      <c r="E59" s="995">
        <f t="shared" si="1"/>
        <v>2.1000000000000001E-2</v>
      </c>
    </row>
    <row r="60" spans="3:5" ht="12.9" customHeight="1">
      <c r="C60" s="993" t="s">
        <v>513</v>
      </c>
      <c r="D60" s="994">
        <f>'SHNF Sum'!B32</f>
        <v>8121</v>
      </c>
      <c r="E60" s="995">
        <f t="shared" si="1"/>
        <v>1E-3</v>
      </c>
    </row>
    <row r="61" spans="3:5" ht="12.9" customHeight="1">
      <c r="C61" s="993" t="s">
        <v>514</v>
      </c>
      <c r="D61" s="994">
        <f>'SHNF Sum'!B33</f>
        <v>15755</v>
      </c>
      <c r="E61" s="995">
        <f t="shared" si="1"/>
        <v>1E-3</v>
      </c>
    </row>
    <row r="62" spans="3:5" ht="12.9" customHeight="1">
      <c r="C62" s="993" t="s">
        <v>515</v>
      </c>
      <c r="D62" s="994">
        <f>'SHNF Sum'!B34</f>
        <v>457660</v>
      </c>
      <c r="E62" s="995">
        <f t="shared" si="1"/>
        <v>3.5000000000000003E-2</v>
      </c>
    </row>
    <row r="63" spans="3:5" ht="12.9" customHeight="1">
      <c r="C63" s="993" t="s">
        <v>516</v>
      </c>
      <c r="D63" s="994">
        <f>'SHNF Sum'!B35</f>
        <v>146190</v>
      </c>
      <c r="E63" s="995">
        <f t="shared" si="1"/>
        <v>1.0999999999999999E-2</v>
      </c>
    </row>
    <row r="64" spans="3:5" ht="12.9" customHeight="1">
      <c r="C64" s="993" t="s">
        <v>176</v>
      </c>
      <c r="D64" s="994">
        <f>'SHNF Sum'!B36</f>
        <v>605605</v>
      </c>
      <c r="E64" s="995">
        <f t="shared" si="1"/>
        <v>4.5999999999999999E-2</v>
      </c>
    </row>
    <row r="65" spans="3:5" ht="12.9" customHeight="1">
      <c r="C65" s="993" t="s">
        <v>517</v>
      </c>
      <c r="D65" s="994">
        <f>'SHNF Sum'!B37</f>
        <v>412448</v>
      </c>
      <c r="E65" s="995">
        <f t="shared" si="1"/>
        <v>3.1E-2</v>
      </c>
    </row>
    <row r="66" spans="3:5" ht="12.9" customHeight="1">
      <c r="C66" s="993" t="s">
        <v>163</v>
      </c>
      <c r="D66" s="994">
        <f>'SHNF Sum'!B26</f>
        <v>0</v>
      </c>
      <c r="E66" s="995">
        <f t="shared" si="1"/>
        <v>0</v>
      </c>
    </row>
    <row r="67" spans="3:5" ht="12.9" customHeight="1">
      <c r="C67" s="1002" t="s">
        <v>497</v>
      </c>
      <c r="D67" s="994">
        <f>'SHNF Sum'!B29</f>
        <v>0</v>
      </c>
      <c r="E67" s="995">
        <f t="shared" si="1"/>
        <v>0</v>
      </c>
    </row>
    <row r="68" spans="3:5" ht="12.9" customHeight="1">
      <c r="C68" s="997" t="s">
        <v>201</v>
      </c>
      <c r="D68" s="998">
        <f>SUM(D53:D67)</f>
        <v>13157489</v>
      </c>
      <c r="E68" s="999">
        <f>SUM(E53:E67)</f>
        <v>1</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$13,157,489</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'SHNF Sum'!B42</f>
        <v>9692998</v>
      </c>
      <c r="E102" s="995">
        <f>ROUND(D102/$D$115,3)</f>
        <v>0.52600000000000002</v>
      </c>
    </row>
    <row r="103" spans="1:5" ht="12.9" customHeight="1">
      <c r="C103" s="1004" t="s">
        <v>179</v>
      </c>
      <c r="D103" s="994">
        <f>'SHNF Sum'!B43</f>
        <v>351717</v>
      </c>
      <c r="E103" s="995">
        <f t="shared" ref="E103:E113" si="2">ROUND(D103/$D$115,3)</f>
        <v>1.9E-2</v>
      </c>
    </row>
    <row r="104" spans="1:5" ht="12.9" customHeight="1">
      <c r="C104" s="1004" t="s">
        <v>180</v>
      </c>
      <c r="D104" s="994">
        <f>'SHNF Sum'!B44</f>
        <v>166411</v>
      </c>
      <c r="E104" s="995">
        <f t="shared" si="2"/>
        <v>8.9999999999999993E-3</v>
      </c>
    </row>
    <row r="105" spans="1:5" ht="12.9" customHeight="1">
      <c r="C105" s="1004" t="s">
        <v>181</v>
      </c>
      <c r="D105" s="994">
        <f>'SHNF Sum'!B46</f>
        <v>4609254</v>
      </c>
      <c r="E105" s="995">
        <f t="shared" si="2"/>
        <v>0.25</v>
      </c>
    </row>
    <row r="106" spans="1:5" ht="12.9" customHeight="1">
      <c r="C106" s="1004" t="s">
        <v>182</v>
      </c>
      <c r="D106" s="994">
        <f>'SHNF Sum'!B47</f>
        <v>1718989</v>
      </c>
      <c r="E106" s="995">
        <f t="shared" si="2"/>
        <v>9.2999999999999999E-2</v>
      </c>
    </row>
    <row r="107" spans="1:5" ht="12.9" customHeight="1">
      <c r="C107" s="1004" t="s">
        <v>183</v>
      </c>
      <c r="D107" s="994">
        <f>'SHNF Sum'!B48</f>
        <v>0</v>
      </c>
      <c r="E107" s="995">
        <f t="shared" si="2"/>
        <v>0</v>
      </c>
    </row>
    <row r="108" spans="1:5" ht="12.9" customHeight="1">
      <c r="C108" s="1004" t="s">
        <v>519</v>
      </c>
      <c r="D108" s="994">
        <f>'SHNF Sum'!B49</f>
        <v>639509</v>
      </c>
      <c r="E108" s="995">
        <f t="shared" si="2"/>
        <v>3.5000000000000003E-2</v>
      </c>
    </row>
    <row r="109" spans="1:5" ht="12.9" customHeight="1">
      <c r="C109" s="1004" t="s">
        <v>520</v>
      </c>
      <c r="D109" s="994">
        <f>'SHNF Sum'!B50</f>
        <v>87286</v>
      </c>
      <c r="E109" s="995">
        <f t="shared" si="2"/>
        <v>5.0000000000000001E-3</v>
      </c>
    </row>
    <row r="110" spans="1:5" ht="12.9" customHeight="1">
      <c r="C110" s="1004" t="s">
        <v>186</v>
      </c>
      <c r="D110" s="994">
        <f>'SHNF Sum'!B51</f>
        <v>0</v>
      </c>
      <c r="E110" s="995">
        <f t="shared" si="2"/>
        <v>0</v>
      </c>
    </row>
    <row r="111" spans="1:5" ht="12.9" customHeight="1">
      <c r="C111" s="1004" t="s">
        <v>521</v>
      </c>
      <c r="D111" s="994">
        <f>'SHNF Sum'!B52</f>
        <v>249047</v>
      </c>
      <c r="E111" s="995">
        <f t="shared" si="2"/>
        <v>1.4E-2</v>
      </c>
    </row>
    <row r="112" spans="1:5" ht="12.9" customHeight="1">
      <c r="C112" s="993" t="s">
        <v>522</v>
      </c>
      <c r="D112" s="994">
        <f>'SHNF Sum'!B53</f>
        <v>0</v>
      </c>
      <c r="E112" s="995">
        <f t="shared" si="2"/>
        <v>0</v>
      </c>
    </row>
    <row r="113" spans="3:5" ht="12.9" customHeight="1">
      <c r="C113" s="996" t="s">
        <v>523</v>
      </c>
      <c r="D113" s="994">
        <f>'SHNF Sum'!B45</f>
        <v>928264</v>
      </c>
      <c r="E113" s="995">
        <f t="shared" si="2"/>
        <v>0.05</v>
      </c>
    </row>
    <row r="114" spans="3:5" ht="12.9" customHeight="1">
      <c r="C114" s="991"/>
      <c r="D114" s="991"/>
      <c r="E114" s="999"/>
    </row>
    <row r="115" spans="3:5" ht="12.9" customHeight="1">
      <c r="C115" s="1005" t="s">
        <v>189</v>
      </c>
      <c r="D115" s="998">
        <f>SUM(D102:D114)</f>
        <v>18443475</v>
      </c>
      <c r="E115" s="999">
        <f>SUM(E102:E113)</f>
        <v>1.0010000000000001</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$18,443,475</v>
      </c>
    </row>
    <row r="137" spans="1:1" ht="12.9" customHeight="1">
      <c r="A137" s="1136"/>
    </row>
    <row r="138" spans="1:1" ht="12.9" customHeight="1"/>
    <row r="139" spans="1:1" ht="12.9" customHeight="1">
      <c r="A139" s="1006" t="s">
        <v>524</v>
      </c>
    </row>
    <row r="140" spans="1:1" ht="12.75"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A136:A137"/>
    <mergeCell ref="C9:D9"/>
    <mergeCell ref="A47:A48"/>
    <mergeCell ref="A92:A93"/>
    <mergeCell ref="C100:D100"/>
    <mergeCell ref="C101:D101"/>
  </mergeCells>
  <hyperlinks>
    <hyperlink ref="C1" location="Index!A1" display="Return to Index" xr:uid="{00000000-0004-0000-4A00-000000000000}"/>
  </hyperlinks>
  <printOptions horizontalCentered="1"/>
  <pageMargins left="0.5" right="0.5" top="0.25" bottom="0.25" header="0.25" footer="0.25"/>
  <pageSetup scale="41" orientation="portrait" r:id="rId1"/>
  <headerFooter alignWithMargins="0"/>
  <drawing r:id="rId2"/>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ransitionEvaluation="1" transitionEntry="1">
    <tabColor indexed="13"/>
  </sheetPr>
  <dimension ref="A1:AD83"/>
  <sheetViews>
    <sheetView showGridLines="0" zoomScale="85" zoomScaleNormal="85"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3.33203125" style="277" customWidth="1"/>
    <col min="16" max="16384" width="9.109375" style="277"/>
  </cols>
  <sheetData>
    <row r="1" spans="1:15" ht="16.8" thickTop="1" thickBot="1">
      <c r="A1" s="899" t="str">
        <f>'SHNF Chts'!$A$1</f>
        <v>Sam Houston State University Medical School (Non-Formula)</v>
      </c>
      <c r="B1" s="754"/>
      <c r="C1" s="754"/>
      <c r="D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320">
        <f>VLOOKUP(A1,NamesLU,2,FALSE)</f>
        <v>103606</v>
      </c>
      <c r="J2" s="901"/>
      <c r="K2" s="901"/>
      <c r="L2" s="901"/>
      <c r="M2" s="901"/>
      <c r="O2" s="320"/>
    </row>
    <row r="3" spans="1:15" ht="15.75" customHeight="1">
      <c r="A3" s="900" t="str">
        <f>'Smmy Chts'!$A$3</f>
        <v>Source: FY 2022 Annual Financial Report</v>
      </c>
      <c r="B3" s="754"/>
      <c r="C3" s="754"/>
      <c r="O3" s="320"/>
    </row>
    <row r="4" spans="1:15" ht="13.5" customHeight="1">
      <c r="A4" s="279" t="s">
        <v>711</v>
      </c>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909"/>
      <c r="C6" s="427">
        <f>VLOOKUP($G$2,FTSELU,10,FALSE)</f>
        <v>75</v>
      </c>
      <c r="J6" s="910"/>
      <c r="O6" s="320"/>
    </row>
    <row r="7" spans="1:15">
      <c r="B7" s="909"/>
      <c r="C7" s="909"/>
      <c r="I7" s="446" t="s">
        <v>533</v>
      </c>
      <c r="J7" s="911"/>
      <c r="O7" s="320"/>
    </row>
    <row r="8" spans="1:15">
      <c r="A8" s="912" t="s">
        <v>151</v>
      </c>
      <c r="B8" s="912"/>
      <c r="C8" s="913"/>
      <c r="I8" s="914">
        <f>VLOOKUP($G$2,FTSELU,11,FALSE)</f>
        <v>31.95</v>
      </c>
      <c r="J8" s="910"/>
      <c r="O8" s="320"/>
    </row>
    <row r="9" spans="1:15" ht="12.75" customHeight="1" thickBot="1">
      <c r="A9" s="279" t="s">
        <v>152</v>
      </c>
      <c r="B9" s="915"/>
      <c r="C9" s="915"/>
      <c r="J9" s="910"/>
      <c r="O9" s="320"/>
    </row>
    <row r="10" spans="1:15" ht="12.75" customHeight="1" thickTop="1">
      <c r="A10" s="277" t="s">
        <v>535</v>
      </c>
      <c r="B10" s="501">
        <f>'SHNF FGD'!M10</f>
        <v>0</v>
      </c>
      <c r="C10" s="501"/>
      <c r="D10" s="492">
        <f>'SHNF FGD'!F10</f>
        <v>0</v>
      </c>
      <c r="E10" s="492"/>
      <c r="F10" s="916">
        <f>B10-(SUM(D10:E10))</f>
        <v>0</v>
      </c>
      <c r="G10" s="917" t="s">
        <v>101</v>
      </c>
      <c r="H10" s="918"/>
      <c r="I10" s="919" t="s">
        <v>536</v>
      </c>
      <c r="J10" s="920">
        <f>IFERROR(ROUND(F10/$C$6,0),"")</f>
        <v>0</v>
      </c>
      <c r="O10" s="320"/>
    </row>
    <row r="11" spans="1:15" ht="12.75" customHeight="1" thickBot="1">
      <c r="A11" s="277" t="s">
        <v>134</v>
      </c>
      <c r="B11" s="669">
        <f>'SHNF FGD'!M11</f>
        <v>1141959</v>
      </c>
      <c r="C11" s="669"/>
      <c r="D11" s="921">
        <f>'SHNF FGD'!F11</f>
        <v>0</v>
      </c>
      <c r="E11" s="754"/>
      <c r="F11" s="922">
        <f t="shared" ref="F11:F14" si="0">B11-(SUM(D11:E11))</f>
        <v>1141959</v>
      </c>
      <c r="G11" s="923">
        <f>SUM(F10:F11)</f>
        <v>1141959</v>
      </c>
      <c r="H11" s="924"/>
      <c r="I11" s="925">
        <f>IFERROR(ROUND($G$11/$C$6,0),"")</f>
        <v>15226</v>
      </c>
      <c r="J11" s="926">
        <f>IFERROR(ROUND(F11/$C$6,0),"")</f>
        <v>15226</v>
      </c>
      <c r="O11" s="320"/>
    </row>
    <row r="12" spans="1:15" ht="12.75" hidden="1" customHeight="1" thickTop="1" thickBot="1">
      <c r="A12" s="277" t="s">
        <v>537</v>
      </c>
      <c r="B12" s="669"/>
      <c r="C12" s="669"/>
      <c r="D12" s="921"/>
      <c r="E12" s="754"/>
      <c r="F12" s="927"/>
      <c r="J12" s="926"/>
      <c r="O12" s="928"/>
    </row>
    <row r="13" spans="1:15" ht="12.75" customHeight="1" thickTop="1">
      <c r="A13" s="277" t="s">
        <v>468</v>
      </c>
      <c r="B13" s="669">
        <f>'SHNF FGD'!M13</f>
        <v>0</v>
      </c>
      <c r="C13" s="669"/>
      <c r="D13" s="921">
        <f>'SHNF FGD'!F13</f>
        <v>0</v>
      </c>
      <c r="E13" s="754"/>
      <c r="F13" s="929">
        <f t="shared" si="0"/>
        <v>0</v>
      </c>
      <c r="G13" s="930" t="s">
        <v>102</v>
      </c>
      <c r="H13" s="931"/>
      <c r="I13" s="417" t="s">
        <v>538</v>
      </c>
      <c r="J13" s="926">
        <f>IFERROR(ROUND(F13/$C$6,0),"")</f>
        <v>0</v>
      </c>
      <c r="O13" s="320"/>
    </row>
    <row r="14" spans="1:15" ht="12.75" customHeight="1" thickBot="1">
      <c r="A14" s="277" t="s">
        <v>135</v>
      </c>
      <c r="B14" s="669">
        <f>'SHNF FGD'!M14</f>
        <v>0</v>
      </c>
      <c r="C14" s="669"/>
      <c r="D14" s="921">
        <f>'SHNF FGD'!F14</f>
        <v>0</v>
      </c>
      <c r="E14" s="754"/>
      <c r="F14" s="927">
        <f t="shared" si="0"/>
        <v>0</v>
      </c>
      <c r="G14" s="932">
        <f>SUM(F13:F14)</f>
        <v>0</v>
      </c>
      <c r="H14" s="933"/>
      <c r="I14" s="934">
        <f>IFERROR(ROUND($G$11/$I$8,0),"")</f>
        <v>35742</v>
      </c>
      <c r="J14" s="935">
        <f>IFERROR(ROUND(F14/$C$6,0),"")</f>
        <v>0</v>
      </c>
      <c r="O14" s="320"/>
    </row>
    <row r="15" spans="1:15" ht="12.75" customHeight="1" thickTop="1">
      <c r="A15" s="936" t="s">
        <v>155</v>
      </c>
      <c r="B15" s="937">
        <f>SUM(B10:B14)</f>
        <v>1141959</v>
      </c>
      <c r="C15" s="937">
        <f>SUM(C10:C14)</f>
        <v>0</v>
      </c>
      <c r="D15" s="937">
        <f>SUM(D10:D14)</f>
        <v>0</v>
      </c>
      <c r="E15" s="937">
        <f>SUM(E10:E14)</f>
        <v>0</v>
      </c>
      <c r="F15" s="938">
        <f>SUM(F10:F14)</f>
        <v>1141959</v>
      </c>
      <c r="I15" s="345"/>
      <c r="J15" s="939">
        <f>SUM(J10:J14)</f>
        <v>15226</v>
      </c>
      <c r="O15" s="320"/>
    </row>
    <row r="16" spans="1:15">
      <c r="C16" s="277"/>
      <c r="J16" s="910"/>
      <c r="O16" s="320"/>
    </row>
    <row r="17" spans="1:15" ht="12.75" customHeight="1">
      <c r="A17" s="279" t="s">
        <v>161</v>
      </c>
      <c r="C17" s="277"/>
      <c r="J17" s="910"/>
      <c r="O17" s="320"/>
    </row>
    <row r="18" spans="1:15">
      <c r="A18" s="277" t="s">
        <v>165</v>
      </c>
      <c r="B18" s="501">
        <f>'SHNF FGD'!M29</f>
        <v>10092500</v>
      </c>
      <c r="C18" s="501"/>
      <c r="D18" s="492">
        <f>'SHNF FGD'!$F$29</f>
        <v>0</v>
      </c>
      <c r="E18" s="492"/>
      <c r="F18" s="492">
        <f t="shared" ref="F18:F19" si="1">B18-(SUM(D18:E18))</f>
        <v>10092500</v>
      </c>
      <c r="J18" s="920">
        <f>IFERROR(ROUND(F18/$C$6,0),"")</f>
        <v>134567</v>
      </c>
      <c r="O18" s="320"/>
    </row>
    <row r="19" spans="1:15" ht="13.8" thickBot="1">
      <c r="A19" s="277" t="s">
        <v>166</v>
      </c>
      <c r="B19" s="669">
        <f>'SHNF FGD'!M42</f>
        <v>0</v>
      </c>
      <c r="C19" s="669"/>
      <c r="D19" s="754">
        <f>'SHNF FGD'!$F$42</f>
        <v>0</v>
      </c>
      <c r="E19" s="754"/>
      <c r="F19" s="754">
        <f t="shared" si="1"/>
        <v>0</v>
      </c>
      <c r="J19" s="926">
        <f>IFERROR(ROUND(F19/$C$6,0),"")</f>
        <v>0</v>
      </c>
      <c r="O19" s="320"/>
    </row>
    <row r="20" spans="1:15" ht="14.4" thickTop="1" thickBot="1">
      <c r="A20" s="936" t="s">
        <v>167</v>
      </c>
      <c r="B20" s="937">
        <f>SUM(B18:B19)</f>
        <v>10092500</v>
      </c>
      <c r="C20" s="937">
        <f>SUM(C18:C19)</f>
        <v>0</v>
      </c>
      <c r="D20" s="798">
        <f>SUM(D18:D19)</f>
        <v>0</v>
      </c>
      <c r="E20" s="940">
        <f>SUM(E18:E19)</f>
        <v>0</v>
      </c>
      <c r="F20" s="941">
        <f>SUM(F18:F19)</f>
        <v>10092500</v>
      </c>
      <c r="G20" s="942" t="s">
        <v>539</v>
      </c>
      <c r="H20" s="943"/>
      <c r="J20" s="944">
        <f>SUM(J18:J19)</f>
        <v>134567</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'SHNF FGD'!M47</f>
        <v>277251</v>
      </c>
      <c r="C23" s="937"/>
      <c r="D23" s="798">
        <f>'SHNF FGD'!F47</f>
        <v>0</v>
      </c>
      <c r="E23" s="940"/>
      <c r="F23" s="941">
        <f>B23-(SUM(D23:E23))</f>
        <v>277251</v>
      </c>
      <c r="G23" s="946" t="s">
        <v>540</v>
      </c>
      <c r="H23" s="943"/>
      <c r="J23" s="947">
        <f>IFERROR(ROUND(F23/$C$6,0),"")</f>
        <v>3697</v>
      </c>
      <c r="O23" s="320"/>
    </row>
    <row r="24" spans="1:15" ht="13.8" thickTop="1">
      <c r="C24" s="277"/>
      <c r="J24" s="910"/>
      <c r="O24" s="320"/>
    </row>
    <row r="25" spans="1:15">
      <c r="A25" s="279" t="s">
        <v>163</v>
      </c>
      <c r="C25" s="277"/>
      <c r="D25" s="754"/>
      <c r="J25" s="910"/>
      <c r="O25" s="320"/>
    </row>
    <row r="26" spans="1:15">
      <c r="A26" s="936" t="s">
        <v>200</v>
      </c>
      <c r="B26" s="937">
        <f>'SHNF FGD'!M50</f>
        <v>0</v>
      </c>
      <c r="C26" s="937"/>
      <c r="D26" s="937">
        <f>'SHNF FGD'!F50</f>
        <v>0</v>
      </c>
      <c r="E26" s="937">
        <f>B26-D26</f>
        <v>0</v>
      </c>
      <c r="F26" s="937">
        <f t="shared" ref="F26" si="2">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'SHNF FGD'!M53</f>
        <v>0</v>
      </c>
      <c r="C29" s="937"/>
      <c r="D29" s="937">
        <f>'SHNF FGD'!F53</f>
        <v>0</v>
      </c>
      <c r="E29" s="937">
        <f>B29-D29</f>
        <v>0</v>
      </c>
      <c r="F29" s="937">
        <f t="shared" ref="F29" si="3">B29-(SUM(D29:E29))</f>
        <v>0</v>
      </c>
      <c r="J29" s="926"/>
      <c r="O29" s="320"/>
    </row>
    <row r="30" spans="1:15">
      <c r="C30" s="277"/>
      <c r="E30" s="754"/>
      <c r="F30" s="754"/>
      <c r="J30" s="926"/>
      <c r="O30" s="320"/>
    </row>
    <row r="31" spans="1:15">
      <c r="A31" s="279" t="s">
        <v>171</v>
      </c>
      <c r="C31" s="277"/>
      <c r="E31" s="754"/>
      <c r="F31" s="754"/>
      <c r="G31" s="400"/>
      <c r="H31" s="400"/>
      <c r="I31" s="400"/>
      <c r="J31" s="926"/>
      <c r="O31" s="320"/>
    </row>
    <row r="32" spans="1:15">
      <c r="A32" s="277" t="s">
        <v>172</v>
      </c>
      <c r="B32" s="501">
        <f>'SHNF FGD'!M56</f>
        <v>8121</v>
      </c>
      <c r="C32" s="501"/>
      <c r="D32" s="492">
        <f>'SHNF FGD'!F56</f>
        <v>0</v>
      </c>
      <c r="E32" s="492"/>
      <c r="F32" s="492">
        <f t="shared" ref="F32:F37" si="4">B32-(SUM(D32:E32))</f>
        <v>8121</v>
      </c>
      <c r="J32" s="920">
        <f t="shared" ref="J32:J37" si="5">IFERROR(ROUND(F32/$C$6,0),"")</f>
        <v>108</v>
      </c>
      <c r="O32" s="320"/>
    </row>
    <row r="33" spans="1:30">
      <c r="A33" s="277" t="s">
        <v>173</v>
      </c>
      <c r="B33" s="669">
        <f>'SHNF FGD'!M57</f>
        <v>15755</v>
      </c>
      <c r="C33" s="669"/>
      <c r="D33" s="921">
        <f>'SHNF FGD'!F57</f>
        <v>0</v>
      </c>
      <c r="E33" s="754"/>
      <c r="F33" s="754">
        <f t="shared" si="4"/>
        <v>15755</v>
      </c>
      <c r="J33" s="926">
        <f t="shared" si="5"/>
        <v>210</v>
      </c>
      <c r="O33" s="320"/>
    </row>
    <row r="34" spans="1:30" ht="13.8" thickBot="1">
      <c r="A34" s="277" t="s">
        <v>174</v>
      </c>
      <c r="B34" s="669">
        <f>'SHNF FGD'!M58</f>
        <v>457660</v>
      </c>
      <c r="C34" s="669"/>
      <c r="D34" s="921">
        <f>'SHNF FGD'!F58</f>
        <v>0</v>
      </c>
      <c r="E34" s="754"/>
      <c r="F34" s="754">
        <f t="shared" si="4"/>
        <v>457660</v>
      </c>
      <c r="J34" s="926">
        <f t="shared" si="5"/>
        <v>6102</v>
      </c>
      <c r="O34" s="320"/>
    </row>
    <row r="35" spans="1:30" ht="13.8" thickBot="1">
      <c r="A35" s="277" t="s">
        <v>175</v>
      </c>
      <c r="B35" s="669">
        <f>'SHNF FGD'!M59</f>
        <v>146190</v>
      </c>
      <c r="C35" s="669"/>
      <c r="D35" s="921">
        <f>'SHNF FGD'!F59</f>
        <v>0</v>
      </c>
      <c r="E35" s="754"/>
      <c r="F35" s="754">
        <f t="shared" si="4"/>
        <v>146190</v>
      </c>
      <c r="J35" s="926">
        <f t="shared" si="5"/>
        <v>1949</v>
      </c>
      <c r="K35" s="1157"/>
      <c r="L35" s="1140"/>
      <c r="M35" s="1140"/>
      <c r="N35" s="1140"/>
      <c r="O35" s="1141"/>
    </row>
    <row r="36" spans="1:30" ht="13.8" thickBot="1">
      <c r="A36" s="277" t="s">
        <v>471</v>
      </c>
      <c r="B36" s="669">
        <f>'SHNF FGD'!M60</f>
        <v>605605</v>
      </c>
      <c r="C36" s="669"/>
      <c r="D36" s="921">
        <f>'SHNF FGD'!F60</f>
        <v>605605</v>
      </c>
      <c r="E36" s="754"/>
      <c r="F36" s="754">
        <f t="shared" si="4"/>
        <v>0</v>
      </c>
      <c r="J36" s="926">
        <f t="shared" si="5"/>
        <v>0</v>
      </c>
      <c r="K36" s="1157" t="s">
        <v>268</v>
      </c>
      <c r="L36" s="1140"/>
      <c r="M36" s="1140"/>
      <c r="N36" s="1140"/>
      <c r="O36" s="1141"/>
    </row>
    <row r="37" spans="1:30" ht="13.5" customHeight="1" thickBot="1">
      <c r="A37" s="538" t="s">
        <v>177</v>
      </c>
      <c r="B37" s="669">
        <f>'SHNF FGD'!M61</f>
        <v>412448</v>
      </c>
      <c r="C37" s="669"/>
      <c r="D37" s="921">
        <f>'SHNF FGD'!F61</f>
        <v>0</v>
      </c>
      <c r="E37" s="754"/>
      <c r="F37" s="754">
        <f t="shared" si="4"/>
        <v>412448</v>
      </c>
      <c r="G37" s="400"/>
      <c r="H37" s="400"/>
      <c r="I37" s="400"/>
      <c r="J37" s="926">
        <f t="shared" si="5"/>
        <v>5499</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1645779</v>
      </c>
      <c r="C38" s="937"/>
      <c r="D38" s="949">
        <f>SUM(D32:D37)</f>
        <v>605605</v>
      </c>
      <c r="E38" s="949">
        <f>SUM(E32:E37)</f>
        <v>0</v>
      </c>
      <c r="F38" s="950">
        <f>SUM(F32:F37)</f>
        <v>1040174</v>
      </c>
      <c r="G38" s="1154" t="s">
        <v>171</v>
      </c>
      <c r="H38" s="1155"/>
      <c r="I38" s="951" t="s">
        <v>542</v>
      </c>
      <c r="J38" s="952">
        <f>SUM(J32:J37)</f>
        <v>13868</v>
      </c>
      <c r="K38" s="1159"/>
      <c r="L38" s="1159"/>
      <c r="M38" s="1159"/>
      <c r="N38" s="1159" t="s">
        <v>543</v>
      </c>
      <c r="O38" s="1159" t="s">
        <v>280</v>
      </c>
    </row>
    <row r="39" spans="1:30" ht="13.8" thickTop="1">
      <c r="A39" s="953" t="s">
        <v>201</v>
      </c>
      <c r="B39" s="954">
        <f>B15+B20+B23+B26+B29+B38</f>
        <v>13157489</v>
      </c>
      <c r="C39" s="955"/>
      <c r="D39" s="954">
        <f>D15+D20+D23+D26+D29+D38</f>
        <v>605605</v>
      </c>
      <c r="E39" s="954">
        <f>E15+E20+E23+E26+E29+E38</f>
        <v>0</v>
      </c>
      <c r="F39" s="956">
        <f>F38+F23+F20+F15</f>
        <v>12551884</v>
      </c>
      <c r="G39" s="1156" t="s">
        <v>271</v>
      </c>
      <c r="H39" s="1156"/>
      <c r="I39" s="957">
        <f>IFERROR(ROUND($G$41/$C$6,0),"")</f>
        <v>167358</v>
      </c>
      <c r="J39" s="958">
        <f>J15+J20+J23+J38</f>
        <v>167358</v>
      </c>
      <c r="K39" s="1159"/>
      <c r="L39" s="1159"/>
      <c r="M39" s="1159"/>
      <c r="N39" s="1159"/>
      <c r="O39" s="1159"/>
    </row>
    <row r="40" spans="1:30" ht="13.8" thickBot="1">
      <c r="C40" s="277"/>
      <c r="F40" s="320" t="s">
        <v>577</v>
      </c>
      <c r="G40" s="959">
        <f>G14*-1</f>
        <v>0</v>
      </c>
      <c r="I40" s="951" t="s">
        <v>545</v>
      </c>
      <c r="J40" s="960"/>
      <c r="K40" s="1160"/>
      <c r="L40" s="1160"/>
      <c r="M40" s="1160"/>
      <c r="N40" s="1160"/>
      <c r="O40" s="1160"/>
    </row>
    <row r="41" spans="1:30" ht="14.4" thickTop="1" thickBot="1">
      <c r="A41" s="912" t="s">
        <v>178</v>
      </c>
      <c r="B41" s="912"/>
      <c r="C41" s="912"/>
      <c r="D41" s="344"/>
      <c r="E41" s="344"/>
      <c r="F41" s="961" t="s">
        <v>546</v>
      </c>
      <c r="G41" s="962">
        <f>F39+G40</f>
        <v>12551884</v>
      </c>
      <c r="I41" s="963">
        <f>IFERROR(ROUND($G$41/$I$8,0),"")</f>
        <v>392860</v>
      </c>
      <c r="K41" s="964"/>
      <c r="L41" s="964"/>
      <c r="M41" s="964"/>
      <c r="N41" s="964"/>
      <c r="O41" s="964"/>
    </row>
    <row r="42" spans="1:30" ht="13.8" thickTop="1">
      <c r="A42" s="490" t="s">
        <v>92</v>
      </c>
      <c r="B42" s="501">
        <f>'SHNF FGD'!M65</f>
        <v>9692998</v>
      </c>
      <c r="C42" s="501"/>
      <c r="D42" s="492">
        <f>'SHNF FGD'!F65</f>
        <v>0</v>
      </c>
      <c r="E42" s="492"/>
      <c r="F42" s="492">
        <f t="shared" ref="F42" si="6">B42-(SUM(D42:E42))</f>
        <v>9692998</v>
      </c>
      <c r="H42" s="965" t="s">
        <v>547</v>
      </c>
      <c r="I42" s="966">
        <f>IFERROR(ROUND(F42/$C$6,0),"")</f>
        <v>129240</v>
      </c>
      <c r="J42" s="320" t="s">
        <v>548</v>
      </c>
      <c r="K42" s="492">
        <f>F42</f>
        <v>9692998</v>
      </c>
      <c r="L42" s="492">
        <f>K42</f>
        <v>9692998</v>
      </c>
      <c r="M42" s="492"/>
      <c r="N42" s="492"/>
      <c r="O42" s="492"/>
    </row>
    <row r="43" spans="1:30">
      <c r="A43" s="490" t="s">
        <v>179</v>
      </c>
      <c r="B43" s="669">
        <f>'SHNF FGD'!M66</f>
        <v>351717</v>
      </c>
      <c r="C43" s="669"/>
      <c r="D43" s="723">
        <f>'SHNF FGD'!F66</f>
        <v>0</v>
      </c>
      <c r="E43" s="754"/>
      <c r="F43" s="754">
        <f t="shared" ref="F43:F44" si="7">B43-(SUM(D43:E43))</f>
        <v>351717</v>
      </c>
      <c r="J43" s="320" t="s">
        <v>549</v>
      </c>
      <c r="K43" s="723">
        <f>F43</f>
        <v>351717</v>
      </c>
      <c r="L43" s="723">
        <f>K43</f>
        <v>351717</v>
      </c>
      <c r="M43" s="723"/>
      <c r="N43" s="723"/>
      <c r="O43" s="723"/>
    </row>
    <row r="44" spans="1:30">
      <c r="A44" s="490" t="s">
        <v>180</v>
      </c>
      <c r="B44" s="669">
        <f>'SHNF FGD'!M67</f>
        <v>166411</v>
      </c>
      <c r="C44" s="669"/>
      <c r="D44" s="723">
        <f>'SHNF FGD'!F67</f>
        <v>0</v>
      </c>
      <c r="E44" s="921">
        <f>B44-D44</f>
        <v>166411</v>
      </c>
      <c r="F44" s="754">
        <f t="shared" si="7"/>
        <v>0</v>
      </c>
      <c r="J44" s="320" t="s">
        <v>550</v>
      </c>
      <c r="K44" s="967"/>
      <c r="L44" s="769"/>
      <c r="M44" s="769" t="s">
        <v>551</v>
      </c>
      <c r="N44" s="769"/>
      <c r="O44" s="968"/>
    </row>
    <row r="45" spans="1:30">
      <c r="A45" s="300" t="s">
        <v>164</v>
      </c>
      <c r="B45" s="669">
        <f>'SHNF FGD'!M68</f>
        <v>928264</v>
      </c>
      <c r="C45" s="669"/>
      <c r="D45" s="723">
        <f>'SHNF FGD'!F68</f>
        <v>928264</v>
      </c>
      <c r="E45" s="921">
        <f>B45-D45</f>
        <v>0</v>
      </c>
      <c r="F45" s="754">
        <f t="shared" ref="F45:F53" si="8">B45-(SUM(D45:E45))</f>
        <v>0</v>
      </c>
      <c r="G45" s="492"/>
      <c r="J45" s="320" t="s">
        <v>552</v>
      </c>
      <c r="K45" s="1161" t="s">
        <v>551</v>
      </c>
      <c r="L45" s="1162"/>
      <c r="M45" s="1162"/>
      <c r="N45" s="1162"/>
      <c r="O45" s="1163"/>
    </row>
    <row r="46" spans="1:30">
      <c r="A46" s="490" t="s">
        <v>181</v>
      </c>
      <c r="B46" s="669">
        <f>'SHNF FGD'!M69</f>
        <v>4609254</v>
      </c>
      <c r="C46" s="669"/>
      <c r="D46" s="723">
        <f>'SHNF FGD'!F69</f>
        <v>0</v>
      </c>
      <c r="E46" s="754"/>
      <c r="F46" s="754">
        <f t="shared" si="8"/>
        <v>4609254</v>
      </c>
      <c r="H46" s="965" t="s">
        <v>553</v>
      </c>
      <c r="I46" s="966">
        <f>IFERROR(ROUND(F46/$C$6,0),"")</f>
        <v>61457</v>
      </c>
      <c r="J46" s="320" t="s">
        <v>554</v>
      </c>
      <c r="K46" s="723">
        <f t="shared" ref="K46:K50" si="9">F46</f>
        <v>4609254</v>
      </c>
      <c r="L46" s="723">
        <f>K46</f>
        <v>4609254</v>
      </c>
      <c r="M46" s="723"/>
      <c r="N46" s="723"/>
      <c r="O46" s="723"/>
    </row>
    <row r="47" spans="1:30">
      <c r="A47" s="490" t="s">
        <v>182</v>
      </c>
      <c r="B47" s="669">
        <f>'SHNF FGD'!M70</f>
        <v>1718989</v>
      </c>
      <c r="C47" s="669"/>
      <c r="D47" s="723">
        <f>'SHNF FGD'!F70</f>
        <v>0</v>
      </c>
      <c r="E47" s="754"/>
      <c r="F47" s="754">
        <f t="shared" si="8"/>
        <v>1718989</v>
      </c>
      <c r="J47" s="320" t="s">
        <v>555</v>
      </c>
      <c r="K47" s="723">
        <f t="shared" si="9"/>
        <v>1718989</v>
      </c>
      <c r="L47" s="723"/>
      <c r="M47" s="723">
        <f>K47</f>
        <v>1718989</v>
      </c>
      <c r="N47" s="723"/>
      <c r="O47" s="723"/>
    </row>
    <row r="48" spans="1:30">
      <c r="A48" s="490" t="s">
        <v>183</v>
      </c>
      <c r="B48" s="669">
        <f>'SHNF FGD'!M71</f>
        <v>0</v>
      </c>
      <c r="C48" s="669"/>
      <c r="D48" s="723">
        <f>'SHNF FGD'!F71</f>
        <v>0</v>
      </c>
      <c r="E48" s="754"/>
      <c r="F48" s="754">
        <f t="shared" si="8"/>
        <v>0</v>
      </c>
      <c r="H48" s="965" t="s">
        <v>556</v>
      </c>
      <c r="I48" s="966">
        <f>IFERROR(ROUND(F48/$C$6,0),"")</f>
        <v>0</v>
      </c>
      <c r="J48" s="320" t="s">
        <v>557</v>
      </c>
      <c r="K48" s="723">
        <f t="shared" si="9"/>
        <v>0</v>
      </c>
      <c r="L48" s="723"/>
      <c r="M48" s="723"/>
      <c r="N48" s="723">
        <f>K48</f>
        <v>0</v>
      </c>
      <c r="O48" s="723"/>
    </row>
    <row r="49" spans="1:30">
      <c r="A49" s="490" t="s">
        <v>184</v>
      </c>
      <c r="B49" s="669">
        <f>'SHNF FGD'!M72</f>
        <v>639509</v>
      </c>
      <c r="C49" s="669"/>
      <c r="D49" s="723">
        <f>'SHNF FGD'!F72</f>
        <v>0</v>
      </c>
      <c r="E49" s="754"/>
      <c r="F49" s="754">
        <f t="shared" si="8"/>
        <v>639509</v>
      </c>
      <c r="J49" s="320" t="s">
        <v>558</v>
      </c>
      <c r="K49" s="723">
        <f t="shared" si="9"/>
        <v>639509</v>
      </c>
      <c r="L49" s="723"/>
      <c r="M49" s="723"/>
      <c r="N49" s="723">
        <f>K49</f>
        <v>639509</v>
      </c>
      <c r="O49" s="723"/>
    </row>
    <row r="50" spans="1:30">
      <c r="A50" s="490" t="s">
        <v>185</v>
      </c>
      <c r="B50" s="669">
        <f>'SHNF FGD'!M73</f>
        <v>87286</v>
      </c>
      <c r="C50" s="669"/>
      <c r="D50" s="723">
        <f>'SHNF FGD'!F73</f>
        <v>0</v>
      </c>
      <c r="E50" s="754"/>
      <c r="F50" s="754">
        <f t="shared" si="8"/>
        <v>87286</v>
      </c>
      <c r="J50" s="320" t="s">
        <v>559</v>
      </c>
      <c r="K50" s="723">
        <f t="shared" si="9"/>
        <v>87286</v>
      </c>
      <c r="L50" s="723"/>
      <c r="M50" s="723">
        <f>K50</f>
        <v>87286</v>
      </c>
      <c r="N50" s="723"/>
      <c r="O50" s="723"/>
    </row>
    <row r="51" spans="1:30">
      <c r="A51" s="490" t="s">
        <v>472</v>
      </c>
      <c r="B51" s="669">
        <f>'SHNF FGD'!M74</f>
        <v>0</v>
      </c>
      <c r="C51" s="669"/>
      <c r="D51" s="969">
        <f>B51</f>
        <v>0</v>
      </c>
      <c r="E51" s="754"/>
      <c r="F51" s="754">
        <f t="shared" si="8"/>
        <v>0</v>
      </c>
      <c r="J51" s="320" t="s">
        <v>560</v>
      </c>
      <c r="K51" s="967"/>
      <c r="L51" s="769"/>
      <c r="M51" s="769" t="s">
        <v>551</v>
      </c>
      <c r="N51" s="769"/>
      <c r="O51" s="968"/>
    </row>
    <row r="52" spans="1:30">
      <c r="A52" s="490" t="s">
        <v>187</v>
      </c>
      <c r="B52" s="669">
        <f>'SHNF FGD'!M75</f>
        <v>249047</v>
      </c>
      <c r="C52" s="669"/>
      <c r="D52" s="723">
        <f>'SHNF FGD'!F75</f>
        <v>0</v>
      </c>
      <c r="E52" s="754"/>
      <c r="F52" s="754">
        <f t="shared" si="8"/>
        <v>249047</v>
      </c>
      <c r="J52" s="320" t="s">
        <v>561</v>
      </c>
      <c r="K52" s="723">
        <f t="shared" ref="K52:K53" si="10">F52</f>
        <v>249047</v>
      </c>
      <c r="L52" s="723"/>
      <c r="M52" s="723"/>
      <c r="N52" s="723"/>
      <c r="O52" s="723">
        <f>K52</f>
        <v>249047</v>
      </c>
    </row>
    <row r="53" spans="1:30" ht="13.8" thickBot="1">
      <c r="A53" s="277" t="s">
        <v>1713</v>
      </c>
      <c r="B53" s="669">
        <f>'SHNF FGD'!M76</f>
        <v>0</v>
      </c>
      <c r="C53" s="669"/>
      <c r="D53" s="723">
        <f>'SHNF FGD'!F76</f>
        <v>0</v>
      </c>
      <c r="E53" s="754"/>
      <c r="F53" s="754">
        <f t="shared" si="8"/>
        <v>0</v>
      </c>
      <c r="G53" s="400"/>
      <c r="H53" s="965" t="s">
        <v>562</v>
      </c>
      <c r="I53" s="966">
        <f>IFERROR(ROUND(SUM(F43+F47+F49+F50+F52+F53)/$C$6,0),"")</f>
        <v>40621</v>
      </c>
      <c r="J53" s="400" t="s">
        <v>280</v>
      </c>
      <c r="K53" s="723">
        <f t="shared" si="10"/>
        <v>0</v>
      </c>
      <c r="L53" s="970"/>
      <c r="M53" s="970"/>
      <c r="N53" s="970"/>
      <c r="O53" s="723">
        <f>K53</f>
        <v>0</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18443475</v>
      </c>
      <c r="C54" s="972">
        <f>SUM(C42:C53)</f>
        <v>0</v>
      </c>
      <c r="D54" s="972">
        <f>SUM(D42:D53)</f>
        <v>928264</v>
      </c>
      <c r="E54" s="973">
        <f>SUM(E43:E53)</f>
        <v>166411</v>
      </c>
      <c r="F54" s="974">
        <f>SUM(F42:F53)</f>
        <v>17348800</v>
      </c>
      <c r="G54" s="1174" t="s">
        <v>563</v>
      </c>
      <c r="H54" s="1175"/>
      <c r="I54" s="975" t="s">
        <v>623</v>
      </c>
      <c r="J54" s="400" t="s">
        <v>564</v>
      </c>
      <c r="K54" s="976">
        <f>SUM(K42:K53)</f>
        <v>17348800</v>
      </c>
      <c r="L54" s="976">
        <f t="shared" ref="L54:O54" si="11">SUM(L42:L53)</f>
        <v>14653969</v>
      </c>
      <c r="M54" s="976">
        <f t="shared" si="11"/>
        <v>1806275</v>
      </c>
      <c r="N54" s="976">
        <f t="shared" si="11"/>
        <v>639509</v>
      </c>
      <c r="O54" s="976">
        <f t="shared" si="11"/>
        <v>249047</v>
      </c>
    </row>
    <row r="55" spans="1:30" ht="14.25" customHeight="1" thickTop="1" thickBot="1">
      <c r="C55" s="277"/>
      <c r="F55" s="931"/>
      <c r="G55" s="1176"/>
      <c r="H55" s="1177"/>
      <c r="I55" s="977">
        <f>IFERROR(ROUND(F54/C6,0),"")</f>
        <v>231317</v>
      </c>
      <c r="J55" s="1153" t="s">
        <v>565</v>
      </c>
      <c r="K55" s="970"/>
      <c r="L55" s="970"/>
      <c r="M55" s="970"/>
      <c r="N55" s="970"/>
      <c r="O55" s="970"/>
    </row>
    <row r="56" spans="1:30" ht="16.5" customHeight="1" thickBot="1">
      <c r="A56" s="279" t="s">
        <v>473</v>
      </c>
      <c r="C56" s="277"/>
      <c r="F56" s="978"/>
      <c r="G56" s="1178"/>
      <c r="H56" s="1179"/>
      <c r="I56" s="951" t="s">
        <v>624</v>
      </c>
      <c r="J56" s="1153"/>
      <c r="K56" s="979"/>
      <c r="L56" s="979"/>
      <c r="M56" s="979"/>
      <c r="N56" s="979"/>
      <c r="O56" s="979"/>
      <c r="P56" s="333"/>
      <c r="Q56" s="333"/>
      <c r="R56" s="333"/>
      <c r="S56" s="333"/>
      <c r="T56" s="333"/>
      <c r="U56" s="333"/>
      <c r="V56" s="333"/>
      <c r="W56" s="333"/>
      <c r="X56" s="333"/>
      <c r="Y56" s="333"/>
      <c r="Z56" s="333"/>
      <c r="AA56" s="333"/>
      <c r="AB56" s="333"/>
      <c r="AC56" s="333"/>
      <c r="AD56" s="333"/>
    </row>
    <row r="57" spans="1:30" ht="13.8" thickTop="1">
      <c r="A57" s="277" t="s">
        <v>474</v>
      </c>
      <c r="B57" s="669">
        <f>'SHNF FGD'!M80</f>
        <v>0</v>
      </c>
      <c r="C57" s="669"/>
      <c r="D57" s="492">
        <f>'SHNF FGD'!F80</f>
        <v>0</v>
      </c>
      <c r="E57" s="492"/>
      <c r="F57" s="980">
        <f t="shared" ref="F57:F60" si="12">B57-(SUM(D57:E57))</f>
        <v>0</v>
      </c>
      <c r="G57" s="930"/>
      <c r="I57" s="981">
        <f>IFERROR(ROUND($F$54/$I$8,0),"")</f>
        <v>542998</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'SHNF FGD'!M81</f>
        <v>-52144</v>
      </c>
      <c r="C58" s="669"/>
      <c r="D58" s="982">
        <f>'SHNF FGD'!F81</f>
        <v>371121</v>
      </c>
      <c r="E58" s="915"/>
      <c r="F58" s="754">
        <f t="shared" si="12"/>
        <v>-423265</v>
      </c>
      <c r="K58" s="980"/>
      <c r="L58" s="980"/>
      <c r="M58" s="980"/>
      <c r="N58" s="980"/>
      <c r="O58" s="980"/>
    </row>
    <row r="59" spans="1:30">
      <c r="A59" s="983" t="s">
        <v>567</v>
      </c>
      <c r="B59" s="669">
        <f>'SHNF FGD'!M82</f>
        <v>0</v>
      </c>
      <c r="C59" s="669"/>
      <c r="D59" s="982">
        <f>'SHNF FGD'!F82</f>
        <v>0</v>
      </c>
      <c r="E59" s="915"/>
      <c r="F59" s="754">
        <f t="shared" si="12"/>
        <v>0</v>
      </c>
      <c r="G59" s="400"/>
      <c r="J59" s="400"/>
      <c r="K59" s="400"/>
      <c r="L59" s="400"/>
      <c r="M59" s="400"/>
      <c r="N59" s="400"/>
      <c r="O59" s="400"/>
    </row>
    <row r="60" spans="1:30" ht="12" customHeight="1">
      <c r="A60" s="277" t="s">
        <v>477</v>
      </c>
      <c r="B60" s="669">
        <f>'SHNF FGD'!M83</f>
        <v>0</v>
      </c>
      <c r="C60" s="669"/>
      <c r="D60" s="982">
        <f>'SHNF FGD'!F83</f>
        <v>0</v>
      </c>
      <c r="E60" s="915"/>
      <c r="F60" s="754">
        <f t="shared" si="12"/>
        <v>0</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-52144</v>
      </c>
      <c r="C61" s="937"/>
      <c r="D61" s="937">
        <f>SUM(D57:D60)</f>
        <v>371121</v>
      </c>
      <c r="E61" s="937">
        <f>SUM(E57:E60)</f>
        <v>0</v>
      </c>
      <c r="F61" s="984">
        <f>SUM(F57:F60)</f>
        <v>-423265</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'SHNF FGD'!M87</f>
        <v>-36508</v>
      </c>
      <c r="C64" s="669"/>
      <c r="D64" s="492">
        <f>'SHNF FGD'!F87</f>
        <v>0</v>
      </c>
      <c r="E64" s="492"/>
      <c r="F64" s="492">
        <f t="shared" ref="F64:F65" si="13">B64-(SUM(D64:E64))</f>
        <v>-36508</v>
      </c>
      <c r="O64" s="320"/>
    </row>
    <row r="65" spans="1:30">
      <c r="A65" s="277" t="s">
        <v>480</v>
      </c>
      <c r="B65" s="669">
        <f>'SHNF FGD'!M88</f>
        <v>76270</v>
      </c>
      <c r="C65" s="669"/>
      <c r="D65" s="982">
        <f>'SHNF FGD'!F88</f>
        <v>0</v>
      </c>
      <c r="E65" s="915"/>
      <c r="F65" s="754">
        <f t="shared" si="13"/>
        <v>76270</v>
      </c>
      <c r="O65" s="320"/>
      <c r="P65" s="333"/>
      <c r="Q65" s="333"/>
      <c r="R65" s="333"/>
      <c r="S65" s="333"/>
      <c r="T65" s="333"/>
      <c r="U65" s="333"/>
      <c r="V65" s="333"/>
      <c r="W65" s="333"/>
      <c r="X65" s="333"/>
      <c r="Y65" s="333"/>
      <c r="Z65" s="333"/>
      <c r="AA65" s="333"/>
      <c r="AB65" s="333"/>
      <c r="AC65" s="333"/>
      <c r="AD65" s="333"/>
    </row>
    <row r="66" spans="1:30">
      <c r="A66" s="936" t="s">
        <v>155</v>
      </c>
      <c r="B66" s="937">
        <f>SUM(B64:B65)</f>
        <v>39762</v>
      </c>
      <c r="C66" s="937"/>
      <c r="D66" s="937">
        <f>SUM(D64:D65)</f>
        <v>0</v>
      </c>
      <c r="E66" s="937">
        <f>SUM(E64:E65)</f>
        <v>0</v>
      </c>
      <c r="F66" s="937">
        <f>SUM(F64:F65)</f>
        <v>39762</v>
      </c>
      <c r="O66" s="320"/>
    </row>
    <row r="67" spans="1:30">
      <c r="C67" s="277"/>
      <c r="O67" s="320"/>
    </row>
    <row r="68" spans="1:30" ht="13.8" thickBot="1">
      <c r="A68" s="985" t="s">
        <v>572</v>
      </c>
      <c r="B68" s="590">
        <f>B39-B54+B61+B66</f>
        <v>-5298368</v>
      </c>
      <c r="C68" s="590"/>
      <c r="D68" s="590">
        <f>D39-D54+D61+D66</f>
        <v>48462</v>
      </c>
      <c r="E68" s="590">
        <f>E39-E54+E61+E66</f>
        <v>-166411</v>
      </c>
      <c r="F68" s="590">
        <f>F39-F54+F61+F66</f>
        <v>-5180419</v>
      </c>
      <c r="O68" s="320"/>
    </row>
    <row r="69" spans="1:30" ht="13.8" thickTop="1"/>
    <row r="70" spans="1:30">
      <c r="A70" s="320" t="s">
        <v>573</v>
      </c>
      <c r="D70" s="492"/>
    </row>
    <row r="71" spans="1:30">
      <c r="A71" s="277" t="s">
        <v>7</v>
      </c>
    </row>
    <row r="72" spans="1:30">
      <c r="B72" s="986">
        <f>'SHNF FGD'!$M$91</f>
        <v>-5298368</v>
      </c>
      <c r="C72" s="277"/>
      <c r="D72" s="986">
        <f>'SHNF FGD'!F91</f>
        <v>48462</v>
      </c>
      <c r="E72" s="986">
        <f>'SHNF FGD'!M50</f>
        <v>0</v>
      </c>
      <c r="F72" s="277"/>
    </row>
    <row r="73" spans="1:30">
      <c r="B73" s="986"/>
      <c r="C73" s="277"/>
      <c r="D73" s="986">
        <f>'SHNF FGD'!F74</f>
        <v>0</v>
      </c>
      <c r="E73" s="986">
        <f>'SHNF FGD'!M53</f>
        <v>0</v>
      </c>
      <c r="F73" s="986"/>
    </row>
    <row r="74" spans="1:30">
      <c r="B74" s="986"/>
      <c r="C74" s="277"/>
      <c r="D74" s="986">
        <f>-'SHNF FGD'!M74</f>
        <v>0</v>
      </c>
      <c r="E74" s="986">
        <f>-'SHNF FGD'!M68</f>
        <v>-928264</v>
      </c>
      <c r="F74" s="986"/>
    </row>
    <row r="75" spans="1:30">
      <c r="B75" s="986"/>
      <c r="C75" s="277"/>
      <c r="D75" s="986"/>
      <c r="E75" s="986">
        <f>-'SHNF FGD'!M67</f>
        <v>-166411</v>
      </c>
      <c r="F75" s="986"/>
    </row>
    <row r="76" spans="1:30" ht="12.75" customHeight="1">
      <c r="B76" s="987"/>
      <c r="C76" s="277"/>
      <c r="D76" s="987"/>
      <c r="E76" s="987">
        <f>-D26</f>
        <v>0</v>
      </c>
      <c r="F76" s="986"/>
    </row>
    <row r="77" spans="1:30" ht="12.75" customHeight="1">
      <c r="B77" s="986">
        <f>SUM(B72:B76)</f>
        <v>-5298368</v>
      </c>
      <c r="C77" s="277"/>
      <c r="D77" s="986">
        <f>SUM(D72:D76)</f>
        <v>48462</v>
      </c>
      <c r="E77" s="986">
        <f>SUM(E72:E76)</f>
        <v>-1094675</v>
      </c>
      <c r="F77" s="986">
        <f>B77-D77-E77</f>
        <v>-4252155</v>
      </c>
    </row>
    <row r="78" spans="1:30" ht="12.75" customHeight="1">
      <c r="B78" s="986"/>
      <c r="C78" s="277"/>
      <c r="D78" s="986"/>
      <c r="E78" s="986"/>
      <c r="F78" s="986"/>
    </row>
    <row r="79" spans="1:30" ht="12.75" customHeight="1">
      <c r="B79" s="987"/>
      <c r="C79" s="538"/>
      <c r="D79" s="987"/>
      <c r="E79" s="987"/>
      <c r="F79" s="987"/>
    </row>
    <row r="80" spans="1:30" ht="12.75" customHeight="1">
      <c r="B80" s="986">
        <f>SUM(B77:B79)</f>
        <v>-5298368</v>
      </c>
      <c r="C80" s="277"/>
      <c r="D80" s="986">
        <f>SUM(D77:D79)</f>
        <v>48462</v>
      </c>
      <c r="E80" s="986">
        <f>SUM(E77:E79)</f>
        <v>-1094675</v>
      </c>
      <c r="F80" s="986">
        <f>SUM(F77:F79)</f>
        <v>-4252155</v>
      </c>
    </row>
    <row r="81" spans="2:6">
      <c r="B81" s="986"/>
      <c r="C81" s="277"/>
      <c r="D81" s="986"/>
      <c r="E81" s="986"/>
      <c r="F81" s="986"/>
    </row>
    <row r="82" spans="2:6">
      <c r="B82" s="492">
        <f>B68-B80</f>
        <v>0</v>
      </c>
      <c r="C82" s="277"/>
      <c r="D82" s="492">
        <f>D68-D80</f>
        <v>0</v>
      </c>
      <c r="E82" s="492">
        <f>E68-E80</f>
        <v>928264</v>
      </c>
      <c r="F82" s="492">
        <f>F68-F80</f>
        <v>-928264</v>
      </c>
    </row>
    <row r="83" spans="2:6">
      <c r="C83" s="277"/>
      <c r="F83" s="988" t="str">
        <f>IF(F82=0,"Balanced","Error")</f>
        <v>Error</v>
      </c>
    </row>
  </sheetData>
  <mergeCells count="16">
    <mergeCell ref="K45:O45"/>
    <mergeCell ref="G54:H56"/>
    <mergeCell ref="J55:J56"/>
    <mergeCell ref="K37:K40"/>
    <mergeCell ref="L37:L40"/>
    <mergeCell ref="M37:M40"/>
    <mergeCell ref="N37:N40"/>
    <mergeCell ref="O37:O40"/>
    <mergeCell ref="G38:H38"/>
    <mergeCell ref="G39:H39"/>
    <mergeCell ref="K36:O36"/>
    <mergeCell ref="F1:I1"/>
    <mergeCell ref="J1:O1"/>
    <mergeCell ref="D4:D5"/>
    <mergeCell ref="E4:E5"/>
    <mergeCell ref="K35:O35"/>
  </mergeCells>
  <hyperlinks>
    <hyperlink ref="D1" location="Index!A1" display="Return to Index" xr:uid="{00000000-0004-0000-4B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indexed="11"/>
    <pageSetUpPr fitToPage="1"/>
  </sheetPr>
  <dimension ref="A1:AB128"/>
  <sheetViews>
    <sheetView showGridLines="0" zoomScale="75" zoomScaleNormal="75" workbookViewId="0">
      <pane xSplit="2" ySplit="8" topLeftCell="D9" activePane="bottomRight" state="frozen"/>
      <selection activeCell="B4" sqref="A1:XFD1048576"/>
      <selection pane="topRight" activeCell="B4" sqref="A1:XFD1048576"/>
      <selection pane="bottomLeft" activeCell="B4" sqref="A1:XFD1048576"/>
      <selection pane="bottomRight" activeCell="H29" sqref="H29"/>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5.5546875" style="751" customWidth="1"/>
    <col min="13" max="13" width="17" style="751" customWidth="1"/>
    <col min="14" max="14" width="5.44140625" style="751" customWidth="1"/>
    <col min="15" max="15" width="16.664062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N1" s="656">
        <v>12</v>
      </c>
      <c r="O1" s="322"/>
      <c r="P1" s="322"/>
      <c r="Q1" s="322"/>
      <c r="R1" s="322"/>
      <c r="S1" s="322"/>
      <c r="T1" s="322"/>
      <c r="U1" s="322"/>
      <c r="V1" s="322"/>
      <c r="W1" s="322"/>
      <c r="X1" s="322"/>
      <c r="Y1" s="322"/>
      <c r="Z1" s="322"/>
      <c r="AA1" s="322"/>
      <c r="AB1" s="322"/>
    </row>
    <row r="2" spans="1:28" ht="21">
      <c r="A2" s="656">
        <v>1</v>
      </c>
      <c r="B2" s="1168" t="str">
        <f>'SHNF Chts'!$A$1</f>
        <v>Sam Houston State University Medical School (Non-Formula)</v>
      </c>
      <c r="C2" s="1168"/>
      <c r="D2" s="1168"/>
      <c r="E2" s="1168"/>
      <c r="F2" s="1168"/>
      <c r="H2" s="750"/>
      <c r="I2" s="752" t="str">
        <f>IF($B$2&lt;&gt;Input!$H$19,"Name Mismatch","")</f>
        <v/>
      </c>
      <c r="J2" s="750"/>
      <c r="K2" s="750"/>
      <c r="L2" s="750"/>
      <c r="M2" s="672"/>
      <c r="O2" s="321" t="s">
        <v>51</v>
      </c>
      <c r="P2" s="334"/>
    </row>
    <row r="3" spans="1:28" ht="21">
      <c r="A3" s="656">
        <v>2</v>
      </c>
      <c r="B3" s="1168" t="str">
        <f>'Smmy Chts'!$A$2</f>
        <v>For the Year Ended August 31, 2022</v>
      </c>
      <c r="C3" s="1168"/>
      <c r="D3" s="1168"/>
      <c r="E3" s="1168"/>
      <c r="F3" s="1168"/>
      <c r="G3" s="753" t="s">
        <v>712</v>
      </c>
      <c r="H3" s="750"/>
      <c r="I3" s="750"/>
      <c r="J3" s="750"/>
      <c r="K3" s="750"/>
      <c r="L3" s="750"/>
      <c r="M3" s="672"/>
      <c r="O3" s="754"/>
    </row>
    <row r="4" spans="1:28" ht="21">
      <c r="A4" s="656">
        <v>3</v>
      </c>
      <c r="B4" s="1168" t="str">
        <f>'Smmy Chts'!$A$3</f>
        <v>Source: FY 2022 Annual Financial Report</v>
      </c>
      <c r="C4" s="1168"/>
      <c r="D4" s="1168"/>
      <c r="E4" s="1168"/>
      <c r="F4" s="1168"/>
      <c r="G4" s="753" t="s">
        <v>713</v>
      </c>
      <c r="H4" s="750"/>
      <c r="I4" s="750"/>
      <c r="J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Input!$M$19</f>
        <v>0</v>
      </c>
      <c r="E10" s="762">
        <f>Input!$N$19</f>
        <v>0</v>
      </c>
      <c r="F10" s="762">
        <f>Input!$O$19</f>
        <v>0</v>
      </c>
      <c r="G10" s="762">
        <f>Input!$P$19</f>
        <v>0</v>
      </c>
      <c r="H10" s="762">
        <f>Input!$Q$19</f>
        <v>0</v>
      </c>
      <c r="I10" s="762">
        <f>Input!$R$19</f>
        <v>0</v>
      </c>
      <c r="J10" s="762">
        <f>Input!$S$19</f>
        <v>0</v>
      </c>
      <c r="K10" s="762">
        <f>Input!$T$19</f>
        <v>0</v>
      </c>
      <c r="L10" s="762">
        <f>Input!$U$19</f>
        <v>0</v>
      </c>
      <c r="M10" s="723">
        <f t="shared" ref="M10:M15" si="0">D10+E10+F10+G10+H10+I10+J10+K10+L10</f>
        <v>0</v>
      </c>
      <c r="O10" s="763"/>
      <c r="P10" s="1200" t="s">
        <v>627</v>
      </c>
      <c r="Q10" s="320"/>
      <c r="R10" s="320"/>
      <c r="S10" s="320"/>
      <c r="V10" s="320"/>
      <c r="W10" s="320"/>
      <c r="X10" s="320"/>
      <c r="Y10" s="320"/>
      <c r="Z10" s="320"/>
      <c r="AA10" s="320"/>
      <c r="AB10" s="320"/>
    </row>
    <row r="11" spans="1:28" s="752" customFormat="1">
      <c r="A11" s="460">
        <v>10</v>
      </c>
      <c r="B11" s="752" t="s">
        <v>134</v>
      </c>
      <c r="D11" s="762">
        <f>Input!$V$19</f>
        <v>0</v>
      </c>
      <c r="E11" s="762">
        <f>Input!$W$19</f>
        <v>0</v>
      </c>
      <c r="F11" s="762">
        <f>Input!$X$19</f>
        <v>0</v>
      </c>
      <c r="G11" s="762">
        <f>Input!$Y$19</f>
        <v>1141959</v>
      </c>
      <c r="H11" s="762">
        <f>Input!$Z$19</f>
        <v>0</v>
      </c>
      <c r="I11" s="762">
        <f>Input!$AA$19</f>
        <v>0</v>
      </c>
      <c r="J11" s="762">
        <f>Input!$AB$19</f>
        <v>0</v>
      </c>
      <c r="K11" s="762">
        <f>Input!$AC$19</f>
        <v>0</v>
      </c>
      <c r="L11" s="762">
        <f>Input!$AD$19</f>
        <v>0</v>
      </c>
      <c r="M11" s="723">
        <f t="shared" si="0"/>
        <v>1141959</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Input!$AN$19</f>
        <v>0</v>
      </c>
      <c r="E13" s="762">
        <f>Input!$AO$19</f>
        <v>0</v>
      </c>
      <c r="F13" s="762">
        <f>Input!$AP$19</f>
        <v>0</v>
      </c>
      <c r="G13" s="762">
        <f>Input!$AQ$19</f>
        <v>0</v>
      </c>
      <c r="H13" s="762">
        <f>Input!$AR$19</f>
        <v>0</v>
      </c>
      <c r="I13" s="762">
        <f>Input!$AS$19</f>
        <v>0</v>
      </c>
      <c r="J13" s="762">
        <f>Input!$AT$19</f>
        <v>0</v>
      </c>
      <c r="K13" s="762">
        <f>Input!$AU$19</f>
        <v>0</v>
      </c>
      <c r="L13" s="762">
        <f>Input!$AV$19</f>
        <v>0</v>
      </c>
      <c r="M13" s="723">
        <f t="shared" si="0"/>
        <v>0</v>
      </c>
      <c r="O13" s="764" t="str">
        <f>IF(P13&lt;&gt;M13,"Out of Balance","Balanced")</f>
        <v>Balanced</v>
      </c>
      <c r="P13" s="767">
        <f>IFERROR(VLOOKUP($B$2,AMTLU,6,FALSE),0)</f>
        <v>0</v>
      </c>
      <c r="Q13" s="320"/>
      <c r="R13" s="320"/>
      <c r="S13" s="320"/>
      <c r="V13" s="320"/>
      <c r="W13" s="320"/>
      <c r="X13" s="320"/>
      <c r="Y13" s="320"/>
      <c r="Z13" s="320"/>
      <c r="AA13" s="320"/>
      <c r="AB13" s="320"/>
    </row>
    <row r="14" spans="1:28" s="752" customFormat="1" ht="15">
      <c r="A14" s="460">
        <v>13</v>
      </c>
      <c r="B14" s="752" t="s">
        <v>135</v>
      </c>
      <c r="D14" s="762">
        <f>Input!$AW$19</f>
        <v>0</v>
      </c>
      <c r="E14" s="762">
        <f>Input!$AX$19</f>
        <v>0</v>
      </c>
      <c r="F14" s="762">
        <f>Input!$AY$19</f>
        <v>0</v>
      </c>
      <c r="G14" s="762">
        <f>Input!$AZ$19</f>
        <v>0</v>
      </c>
      <c r="H14" s="762">
        <f>Input!$BA$19</f>
        <v>0</v>
      </c>
      <c r="I14" s="762">
        <f>Input!$BB$19</f>
        <v>0</v>
      </c>
      <c r="J14" s="762">
        <f>Input!$BC$19</f>
        <v>0</v>
      </c>
      <c r="K14" s="762">
        <f>Input!$BD$19</f>
        <v>0</v>
      </c>
      <c r="L14" s="762">
        <f>Input!$BE$19</f>
        <v>0</v>
      </c>
      <c r="M14" s="723">
        <f t="shared" si="0"/>
        <v>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0</v>
      </c>
      <c r="E15" s="769">
        <f t="shared" ref="E15:L15" si="1">SUM(E10:E14)</f>
        <v>0</v>
      </c>
      <c r="F15" s="769">
        <f t="shared" si="1"/>
        <v>0</v>
      </c>
      <c r="G15" s="769">
        <f t="shared" si="1"/>
        <v>1141959</v>
      </c>
      <c r="H15" s="769">
        <f t="shared" si="1"/>
        <v>0</v>
      </c>
      <c r="I15" s="769">
        <f t="shared" si="1"/>
        <v>0</v>
      </c>
      <c r="J15" s="769">
        <f t="shared" si="1"/>
        <v>0</v>
      </c>
      <c r="K15" s="769">
        <f t="shared" si="1"/>
        <v>0</v>
      </c>
      <c r="L15" s="769">
        <f t="shared" si="1"/>
        <v>0</v>
      </c>
      <c r="M15" s="769">
        <f t="shared" si="0"/>
        <v>1141959</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0</v>
      </c>
      <c r="E18" s="769">
        <f t="shared" si="2"/>
        <v>10092500</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10092500</v>
      </c>
      <c r="V18" s="723"/>
      <c r="X18" s="492"/>
    </row>
    <row r="19" spans="1:26" s="320" customFormat="1" ht="12.75" customHeight="1" thickTop="1" thickBot="1">
      <c r="A19" s="322"/>
      <c r="B19" s="320" t="s">
        <v>592</v>
      </c>
      <c r="D19" s="762">
        <f>Input!$BF$19</f>
        <v>0</v>
      </c>
      <c r="E19" s="762">
        <f>Input!$BG$19</f>
        <v>0</v>
      </c>
      <c r="F19" s="762">
        <f>Input!$BH$19</f>
        <v>0</v>
      </c>
      <c r="G19" s="762">
        <f>Input!$BI$19</f>
        <v>0</v>
      </c>
      <c r="H19" s="762">
        <f>Input!$BJ$19</f>
        <v>0</v>
      </c>
      <c r="I19" s="762">
        <f>Input!BK6</f>
        <v>0</v>
      </c>
      <c r="J19" s="762">
        <f>Input!$BL$19</f>
        <v>0</v>
      </c>
      <c r="K19" s="762">
        <f>Input!BM6</f>
        <v>0</v>
      </c>
      <c r="L19" s="762">
        <f>Input!BN6</f>
        <v>0</v>
      </c>
      <c r="M19" s="723">
        <f t="shared" si="3"/>
        <v>0</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Input!$BO$19</f>
        <v>0</v>
      </c>
      <c r="E20" s="762">
        <f>Input!$BP$19</f>
        <v>0</v>
      </c>
      <c r="F20" s="762">
        <f>Input!$BQ$19</f>
        <v>0</v>
      </c>
      <c r="G20" s="762">
        <f>Input!$BR$19</f>
        <v>0</v>
      </c>
      <c r="H20" s="762">
        <f>Input!$BS$19</f>
        <v>0</v>
      </c>
      <c r="I20" s="762">
        <f>Input!$BT$19</f>
        <v>0</v>
      </c>
      <c r="J20" s="762">
        <f>Input!BU6</f>
        <v>0</v>
      </c>
      <c r="K20" s="762">
        <f>Input!BV6</f>
        <v>0</v>
      </c>
      <c r="L20" s="762">
        <f>Input!$BW$19</f>
        <v>0</v>
      </c>
      <c r="M20" s="723">
        <f t="shared" si="3"/>
        <v>0</v>
      </c>
      <c r="O20" s="773" t="s">
        <v>631</v>
      </c>
      <c r="P20" s="774"/>
      <c r="Q20" s="774"/>
      <c r="R20" s="774"/>
      <c r="S20" s="775"/>
      <c r="U20" s="776" t="s">
        <v>252</v>
      </c>
      <c r="Y20" s="777"/>
    </row>
    <row r="21" spans="1:26" s="320" customFormat="1">
      <c r="A21" s="322"/>
      <c r="B21" s="320" t="s">
        <v>594</v>
      </c>
      <c r="D21" s="762">
        <f>Input!$BX$19</f>
        <v>0</v>
      </c>
      <c r="E21" s="762">
        <f>Input!$BY$19</f>
        <v>0</v>
      </c>
      <c r="F21" s="762">
        <f>Input!$BZ$19</f>
        <v>0</v>
      </c>
      <c r="G21" s="762">
        <f>Input!$CA$19</f>
        <v>0</v>
      </c>
      <c r="H21" s="762">
        <f>Input!$CB$19</f>
        <v>0</v>
      </c>
      <c r="I21" s="762">
        <f>Input!$CC$19</f>
        <v>0</v>
      </c>
      <c r="J21" s="762">
        <f>Input!$CD$19</f>
        <v>0</v>
      </c>
      <c r="K21" s="762">
        <f>Input!$CE$19</f>
        <v>0</v>
      </c>
      <c r="L21" s="762">
        <f>Input!$CF$19</f>
        <v>0</v>
      </c>
      <c r="M21" s="723">
        <f t="shared" si="3"/>
        <v>0</v>
      </c>
      <c r="O21" s="778"/>
      <c r="R21" s="492"/>
      <c r="S21" s="779"/>
      <c r="U21" s="780" t="s">
        <v>632</v>
      </c>
      <c r="X21" s="781">
        <f>M44</f>
        <v>10092500</v>
      </c>
      <c r="Y21" s="777"/>
      <c r="Z21" s="492"/>
    </row>
    <row r="22" spans="1:26" s="320" customFormat="1">
      <c r="A22" s="322"/>
      <c r="B22" s="320" t="s">
        <v>595</v>
      </c>
      <c r="D22" s="762">
        <f>Input!$CG$19</f>
        <v>0</v>
      </c>
      <c r="E22" s="762">
        <f>Input!$CH$19</f>
        <v>0</v>
      </c>
      <c r="F22" s="762">
        <f>Input!$CI$19</f>
        <v>0</v>
      </c>
      <c r="G22" s="762">
        <f>Input!$CJ$19</f>
        <v>0</v>
      </c>
      <c r="H22" s="762">
        <f>Input!$CK$19</f>
        <v>0</v>
      </c>
      <c r="I22" s="762">
        <f>Input!$CL$19</f>
        <v>0</v>
      </c>
      <c r="J22" s="762">
        <f>Input!$CM$19</f>
        <v>0</v>
      </c>
      <c r="K22" s="762">
        <f>Input!$CN$19</f>
        <v>0</v>
      </c>
      <c r="L22" s="762">
        <f>Input!$CO$19</f>
        <v>0</v>
      </c>
      <c r="M22" s="723">
        <f t="shared" si="3"/>
        <v>0</v>
      </c>
      <c r="N22" s="406"/>
      <c r="O22" s="778" t="s">
        <v>633</v>
      </c>
      <c r="Q22" s="492">
        <f>M23</f>
        <v>10092500</v>
      </c>
      <c r="S22" s="782"/>
      <c r="U22" s="780" t="s">
        <v>634</v>
      </c>
      <c r="X22" s="783">
        <f>R30*-1</f>
        <v>0</v>
      </c>
      <c r="Y22" s="777"/>
    </row>
    <row r="23" spans="1:26" s="320" customFormat="1" ht="12.75" customHeight="1">
      <c r="A23" s="322"/>
      <c r="B23" s="772" t="s">
        <v>233</v>
      </c>
      <c r="C23" s="784"/>
      <c r="D23" s="785">
        <f>Input!$CP$19</f>
        <v>0</v>
      </c>
      <c r="E23" s="785">
        <f>Input!$CQ$19</f>
        <v>10092500</v>
      </c>
      <c r="F23" s="785">
        <f>Input!$CR$19</f>
        <v>0</v>
      </c>
      <c r="G23" s="785">
        <f>Input!$CS$19</f>
        <v>0</v>
      </c>
      <c r="H23" s="785">
        <f>Input!$CT$19</f>
        <v>0</v>
      </c>
      <c r="I23" s="785">
        <f>Input!$CU$19</f>
        <v>0</v>
      </c>
      <c r="J23" s="785">
        <f>Input!$CV$19</f>
        <v>0</v>
      </c>
      <c r="K23" s="785">
        <f>Input!$CW$19</f>
        <v>0</v>
      </c>
      <c r="L23" s="785">
        <f>Input!$CX$19</f>
        <v>0</v>
      </c>
      <c r="M23" s="786">
        <f t="shared" si="3"/>
        <v>10092500</v>
      </c>
      <c r="O23" s="778"/>
      <c r="Q23" s="492"/>
      <c r="S23" s="782"/>
      <c r="U23" s="776" t="s">
        <v>635</v>
      </c>
      <c r="Y23" s="777">
        <f>SUM(X21:X22)</f>
        <v>10092500</v>
      </c>
      <c r="Z23" s="492"/>
    </row>
    <row r="24" spans="1:26" s="320" customFormat="1" ht="12.75" customHeight="1">
      <c r="A24" s="322"/>
      <c r="B24" s="320" t="s">
        <v>596</v>
      </c>
      <c r="C24" s="751"/>
      <c r="D24" s="762">
        <f>Input!$CY$19</f>
        <v>0</v>
      </c>
      <c r="E24" s="762">
        <f>Input!$CZ$19</f>
        <v>0</v>
      </c>
      <c r="F24" s="762">
        <f>Input!$DA$19</f>
        <v>0</v>
      </c>
      <c r="G24" s="762">
        <f>Input!$DB$19</f>
        <v>0</v>
      </c>
      <c r="H24" s="762">
        <f>Input!$DC$19</f>
        <v>0</v>
      </c>
      <c r="I24" s="762">
        <f>Input!$DD$19</f>
        <v>0</v>
      </c>
      <c r="J24" s="762">
        <f>Input!$DE$19</f>
        <v>0</v>
      </c>
      <c r="K24" s="762">
        <f>Input!$DF$19</f>
        <v>0</v>
      </c>
      <c r="L24" s="762">
        <f>Input!$DG$19</f>
        <v>0</v>
      </c>
      <c r="M24" s="650">
        <f t="shared" si="3"/>
        <v>0</v>
      </c>
      <c r="O24" s="787" t="s">
        <v>636</v>
      </c>
      <c r="Q24" s="723"/>
      <c r="R24" s="723">
        <f>SUM(M24:M28)</f>
        <v>0</v>
      </c>
      <c r="S24" s="782"/>
      <c r="U24" s="776"/>
      <c r="Y24" s="777"/>
      <c r="Z24" s="492"/>
    </row>
    <row r="25" spans="1:26" s="320" customFormat="1" ht="12.75" customHeight="1">
      <c r="A25" s="322"/>
      <c r="B25" s="320" t="s">
        <v>597</v>
      </c>
      <c r="C25" s="751"/>
      <c r="D25" s="762">
        <f>Input!$DH$19</f>
        <v>0</v>
      </c>
      <c r="E25" s="762">
        <f>Input!$DI$19</f>
        <v>0</v>
      </c>
      <c r="F25" s="762">
        <f>Input!$DJ$19</f>
        <v>0</v>
      </c>
      <c r="G25" s="762">
        <f>Input!$DK$19</f>
        <v>0</v>
      </c>
      <c r="H25" s="762">
        <f>Input!$DL$19</f>
        <v>0</v>
      </c>
      <c r="I25" s="762">
        <f>Input!$DM$19</f>
        <v>0</v>
      </c>
      <c r="J25" s="762">
        <f>Input!$DN$19</f>
        <v>0</v>
      </c>
      <c r="K25" s="762">
        <f>Input!$DO$19</f>
        <v>0</v>
      </c>
      <c r="L25" s="762">
        <f>Input!$DP$19</f>
        <v>0</v>
      </c>
      <c r="M25" s="650">
        <f t="shared" si="3"/>
        <v>0</v>
      </c>
      <c r="O25" s="778"/>
      <c r="Q25" s="723"/>
      <c r="R25" s="723"/>
      <c r="S25" s="782"/>
      <c r="U25" s="788" t="s">
        <v>637</v>
      </c>
      <c r="V25" s="789"/>
      <c r="W25" s="789"/>
      <c r="X25" s="790">
        <f>(M26+M39)*-1</f>
        <v>0</v>
      </c>
      <c r="Y25" s="777"/>
      <c r="Z25" s="492"/>
    </row>
    <row r="26" spans="1:26" s="320" customFormat="1" ht="12.75" customHeight="1">
      <c r="A26" s="322"/>
      <c r="B26" s="320" t="s">
        <v>598</v>
      </c>
      <c r="C26" s="751"/>
      <c r="D26" s="762">
        <f>Input!$DQ$19</f>
        <v>0</v>
      </c>
      <c r="E26" s="762">
        <f>Input!$DR$19</f>
        <v>0</v>
      </c>
      <c r="F26" s="762">
        <f>Input!$DS$19</f>
        <v>0</v>
      </c>
      <c r="G26" s="762">
        <f>Input!$DT$19</f>
        <v>0</v>
      </c>
      <c r="H26" s="762">
        <f>Input!$DU$19</f>
        <v>0</v>
      </c>
      <c r="I26" s="762">
        <f>Input!$DV$19</f>
        <v>0</v>
      </c>
      <c r="J26" s="762">
        <f>Input!$DW$19</f>
        <v>0</v>
      </c>
      <c r="K26" s="762">
        <f>Input!$DX$19</f>
        <v>0</v>
      </c>
      <c r="L26" s="762">
        <f>Input!$DY$19</f>
        <v>0</v>
      </c>
      <c r="M26" s="650">
        <f t="shared" si="3"/>
        <v>0</v>
      </c>
      <c r="O26" s="778" t="s">
        <v>638</v>
      </c>
      <c r="Q26" s="723">
        <f>M36</f>
        <v>0</v>
      </c>
      <c r="R26" s="791"/>
      <c r="S26" s="792"/>
      <c r="U26" s="776" t="s">
        <v>639</v>
      </c>
      <c r="X26" s="793">
        <f>(M21+M34)*-1</f>
        <v>0</v>
      </c>
      <c r="Y26" s="777"/>
      <c r="Z26" s="492"/>
    </row>
    <row r="27" spans="1:26" s="320" customFormat="1">
      <c r="A27" s="322"/>
      <c r="B27" s="320" t="s">
        <v>599</v>
      </c>
      <c r="C27" s="751"/>
      <c r="D27" s="762">
        <f>Input!$DZ$19</f>
        <v>0</v>
      </c>
      <c r="E27" s="762">
        <f>Input!$EA$19</f>
        <v>0</v>
      </c>
      <c r="F27" s="762">
        <f>Input!$EB$19</f>
        <v>0</v>
      </c>
      <c r="G27" s="762">
        <f>Input!$EC$19</f>
        <v>0</v>
      </c>
      <c r="H27" s="762">
        <f>Input!$ED$19</f>
        <v>0</v>
      </c>
      <c r="I27" s="762">
        <f>Input!$EE$19</f>
        <v>0</v>
      </c>
      <c r="J27" s="762">
        <f>Input!$EF$19</f>
        <v>0</v>
      </c>
      <c r="K27" s="762">
        <f>Input!$EG$19</f>
        <v>0</v>
      </c>
      <c r="L27" s="762">
        <f>Input!$EH$19</f>
        <v>0</v>
      </c>
      <c r="M27" s="650">
        <f t="shared" si="3"/>
        <v>0</v>
      </c>
      <c r="O27" s="778"/>
      <c r="Q27" s="723"/>
      <c r="R27" s="791"/>
      <c r="S27" s="792"/>
      <c r="U27" s="780" t="s">
        <v>640</v>
      </c>
      <c r="V27" s="314"/>
      <c r="W27" s="314"/>
      <c r="X27" s="794">
        <f>SUM(X25:X26)</f>
        <v>0</v>
      </c>
      <c r="Y27" s="721"/>
    </row>
    <row r="28" spans="1:26" s="320" customFormat="1">
      <c r="A28" s="322"/>
      <c r="B28" s="320" t="s">
        <v>600</v>
      </c>
      <c r="C28" s="751"/>
      <c r="D28" s="762">
        <f>Input!$EI$19</f>
        <v>0</v>
      </c>
      <c r="E28" s="762">
        <f>Input!$EJ$19</f>
        <v>0</v>
      </c>
      <c r="F28" s="762">
        <f>Input!$EK$19</f>
        <v>0</v>
      </c>
      <c r="G28" s="762">
        <f>Input!$EL$19</f>
        <v>0</v>
      </c>
      <c r="H28" s="762">
        <f>Input!$EM$19</f>
        <v>0</v>
      </c>
      <c r="I28" s="762">
        <f>Input!$EN$19</f>
        <v>0</v>
      </c>
      <c r="J28" s="762">
        <f>Input!$EO$19</f>
        <v>0</v>
      </c>
      <c r="K28" s="762">
        <f>Input!$EP$19</f>
        <v>0</v>
      </c>
      <c r="L28" s="762">
        <f>Input!$EQ$19</f>
        <v>0</v>
      </c>
      <c r="M28" s="650">
        <f t="shared" si="3"/>
        <v>0</v>
      </c>
      <c r="O28" s="787" t="s">
        <v>641</v>
      </c>
      <c r="Q28" s="723"/>
      <c r="R28" s="723">
        <f>SUM(M37:M41)</f>
        <v>0</v>
      </c>
      <c r="S28" s="782"/>
      <c r="U28" s="776" t="s">
        <v>642</v>
      </c>
      <c r="X28" s="777">
        <f>(M27+M40)*-1</f>
        <v>0</v>
      </c>
      <c r="Y28" s="721"/>
      <c r="Z28" s="492"/>
    </row>
    <row r="29" spans="1:26" s="320" customFormat="1" ht="12" customHeight="1">
      <c r="A29" s="322"/>
      <c r="B29" s="795" t="s">
        <v>165</v>
      </c>
      <c r="C29" s="784"/>
      <c r="D29" s="769">
        <f t="shared" ref="D29:L29" si="4">SUM(D23:D28)</f>
        <v>0</v>
      </c>
      <c r="E29" s="769">
        <f t="shared" si="4"/>
        <v>10092500</v>
      </c>
      <c r="F29" s="769">
        <f t="shared" si="4"/>
        <v>0</v>
      </c>
      <c r="G29" s="769">
        <f t="shared" si="4"/>
        <v>0</v>
      </c>
      <c r="H29" s="769">
        <f t="shared" si="4"/>
        <v>0</v>
      </c>
      <c r="I29" s="769">
        <f t="shared" si="4"/>
        <v>0</v>
      </c>
      <c r="J29" s="769">
        <f t="shared" si="4"/>
        <v>0</v>
      </c>
      <c r="K29" s="769">
        <f t="shared" si="4"/>
        <v>0</v>
      </c>
      <c r="L29" s="769">
        <f t="shared" si="4"/>
        <v>0</v>
      </c>
      <c r="M29" s="769">
        <f t="shared" si="3"/>
        <v>10092500</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10092500</v>
      </c>
      <c r="R30" s="798">
        <f>R28+R24</f>
        <v>0</v>
      </c>
      <c r="S30" s="799"/>
      <c r="U30" s="780" t="s">
        <v>645</v>
      </c>
      <c r="V30" s="314"/>
      <c r="W30" s="314"/>
      <c r="X30" s="794">
        <f>SUM(X28:X29)</f>
        <v>0</v>
      </c>
      <c r="Y30" s="721"/>
    </row>
    <row r="31" spans="1:26" s="320" customFormat="1" ht="12.75" customHeight="1">
      <c r="A31" s="322"/>
      <c r="B31" s="772" t="s">
        <v>238</v>
      </c>
      <c r="C31" s="772"/>
      <c r="D31" s="769">
        <f t="shared" ref="D31:L31" si="5">D36-SUM(D32:D35)</f>
        <v>0</v>
      </c>
      <c r="E31" s="769">
        <f t="shared" si="5"/>
        <v>0</v>
      </c>
      <c r="F31" s="769">
        <f t="shared" si="5"/>
        <v>0</v>
      </c>
      <c r="G31" s="769">
        <f t="shared" si="5"/>
        <v>0</v>
      </c>
      <c r="H31" s="769">
        <f t="shared" si="5"/>
        <v>0</v>
      </c>
      <c r="I31" s="769">
        <f t="shared" si="5"/>
        <v>0</v>
      </c>
      <c r="J31" s="769">
        <f t="shared" si="5"/>
        <v>0</v>
      </c>
      <c r="K31" s="769">
        <f t="shared" si="5"/>
        <v>0</v>
      </c>
      <c r="L31" s="769">
        <f t="shared" si="5"/>
        <v>0</v>
      </c>
      <c r="M31" s="769">
        <f t="shared" ref="M31:M42" si="6">D31+E31+F31+G31+H31+I31+J31+K31+L31</f>
        <v>0</v>
      </c>
      <c r="O31" s="778" t="s">
        <v>646</v>
      </c>
      <c r="Q31" s="406"/>
      <c r="S31" s="782"/>
      <c r="U31" s="800" t="s">
        <v>647</v>
      </c>
      <c r="V31" s="801"/>
      <c r="W31" s="801"/>
      <c r="X31" s="802">
        <f>X27+X30</f>
        <v>0</v>
      </c>
      <c r="Y31" s="777"/>
      <c r="Z31" s="492"/>
    </row>
    <row r="32" spans="1:26" s="320" customFormat="1" ht="12.75" customHeight="1">
      <c r="A32" s="322"/>
      <c r="B32" s="320" t="s">
        <v>592</v>
      </c>
      <c r="D32" s="762">
        <f>Input!$ER$19</f>
        <v>0</v>
      </c>
      <c r="E32" s="762">
        <f>Input!$ES$19</f>
        <v>0</v>
      </c>
      <c r="F32" s="762">
        <f>Input!$ET$19</f>
        <v>0</v>
      </c>
      <c r="G32" s="762">
        <f>Input!$EU$19</f>
        <v>0</v>
      </c>
      <c r="H32" s="762">
        <f>Input!$EV$19</f>
        <v>0</v>
      </c>
      <c r="I32" s="762">
        <f>Input!$EW$19</f>
        <v>0</v>
      </c>
      <c r="J32" s="762">
        <f>Input!$EX$19</f>
        <v>0</v>
      </c>
      <c r="K32" s="762">
        <f>Input!$EY$19</f>
        <v>0</v>
      </c>
      <c r="L32" s="762">
        <f>Input!$EZ$19</f>
        <v>0</v>
      </c>
      <c r="M32" s="650">
        <f t="shared" si="6"/>
        <v>0</v>
      </c>
      <c r="O32" s="803" t="s">
        <v>648</v>
      </c>
      <c r="P32" s="804"/>
      <c r="Q32" s="805">
        <f>Input!$TI$19</f>
        <v>10092500</v>
      </c>
      <c r="R32" s="804"/>
      <c r="S32" s="806"/>
      <c r="U32" s="776"/>
      <c r="Y32" s="777"/>
      <c r="Z32" s="492"/>
    </row>
    <row r="33" spans="1:28" s="320" customFormat="1">
      <c r="A33" s="322"/>
      <c r="B33" s="320" t="s">
        <v>593</v>
      </c>
      <c r="D33" s="762">
        <f>Input!$FA$19</f>
        <v>0</v>
      </c>
      <c r="E33" s="762">
        <f>Input!$FB$19</f>
        <v>0</v>
      </c>
      <c r="F33" s="762">
        <f>Input!$FC$19</f>
        <v>0</v>
      </c>
      <c r="G33" s="762">
        <f>Input!$FD$19</f>
        <v>0</v>
      </c>
      <c r="H33" s="762">
        <f>Input!$FE$19</f>
        <v>0</v>
      </c>
      <c r="I33" s="762">
        <f>Input!$FF$19</f>
        <v>0</v>
      </c>
      <c r="J33" s="762">
        <f>Input!$FG$19</f>
        <v>0</v>
      </c>
      <c r="K33" s="762">
        <f>Input!$FH$19</f>
        <v>0</v>
      </c>
      <c r="L33" s="762">
        <f>Input!$FI$19</f>
        <v>0</v>
      </c>
      <c r="M33" s="650">
        <f t="shared" si="6"/>
        <v>0</v>
      </c>
      <c r="O33" s="803"/>
      <c r="P33" s="804"/>
      <c r="Q33" s="723"/>
      <c r="R33" s="804"/>
      <c r="S33" s="806"/>
      <c r="U33" s="776" t="s">
        <v>649</v>
      </c>
      <c r="X33" s="492">
        <f>(M19+M32)*-1</f>
        <v>0</v>
      </c>
      <c r="Y33" s="777"/>
    </row>
    <row r="34" spans="1:28" s="320" customFormat="1">
      <c r="A34" s="322"/>
      <c r="B34" s="320" t="s">
        <v>594</v>
      </c>
      <c r="D34" s="762">
        <f>Input!$FJ$19</f>
        <v>0</v>
      </c>
      <c r="E34" s="762">
        <f>Input!$FK$19</f>
        <v>0</v>
      </c>
      <c r="F34" s="762">
        <f>Input!$FL$19</f>
        <v>0</v>
      </c>
      <c r="G34" s="762">
        <f>Input!$FM$19</f>
        <v>0</v>
      </c>
      <c r="H34" s="762">
        <f>Input!$FN$19</f>
        <v>0</v>
      </c>
      <c r="I34" s="762">
        <f>Input!$FO$19</f>
        <v>0</v>
      </c>
      <c r="J34" s="762">
        <f>Input!$FP$19</f>
        <v>0</v>
      </c>
      <c r="K34" s="762">
        <f>Input!$FQ$19</f>
        <v>0</v>
      </c>
      <c r="L34" s="762">
        <f>Input!$FR$19</f>
        <v>0</v>
      </c>
      <c r="M34" s="650">
        <f t="shared" si="6"/>
        <v>0</v>
      </c>
      <c r="O34" s="807" t="s">
        <v>650</v>
      </c>
      <c r="P34" s="808"/>
      <c r="Q34" s="320" t="s">
        <v>651</v>
      </c>
      <c r="R34" s="805">
        <f>Input!$TJ$19</f>
        <v>0</v>
      </c>
      <c r="S34" s="809"/>
      <c r="U34" s="776" t="s">
        <v>652</v>
      </c>
      <c r="X34" s="739">
        <f>(M24+M37)*-1</f>
        <v>0</v>
      </c>
      <c r="Y34" s="777"/>
    </row>
    <row r="35" spans="1:28" s="320" customFormat="1" ht="13.8" thickBot="1">
      <c r="A35" s="322"/>
      <c r="B35" s="320" t="s">
        <v>595</v>
      </c>
      <c r="D35" s="762">
        <f>Input!$FS$19</f>
        <v>0</v>
      </c>
      <c r="E35" s="762">
        <f>Input!$FT$19</f>
        <v>0</v>
      </c>
      <c r="F35" s="762">
        <f>Input!$FU$19</f>
        <v>0</v>
      </c>
      <c r="G35" s="762">
        <f>Input!$FV$19</f>
        <v>0</v>
      </c>
      <c r="H35" s="762">
        <f>Input!$FW$19</f>
        <v>0</v>
      </c>
      <c r="I35" s="762">
        <f>Input!$FX$19</f>
        <v>0</v>
      </c>
      <c r="J35" s="762">
        <f>Input!$FY$19</f>
        <v>0</v>
      </c>
      <c r="K35" s="762">
        <f>Input!$FZ$19</f>
        <v>0</v>
      </c>
      <c r="L35" s="762">
        <f>Input!$GA$19</f>
        <v>0</v>
      </c>
      <c r="M35" s="650">
        <f t="shared" si="6"/>
        <v>0</v>
      </c>
      <c r="O35" s="810" t="s">
        <v>653</v>
      </c>
      <c r="P35" s="811"/>
      <c r="Q35" s="812">
        <f>Q30-Q32</f>
        <v>0</v>
      </c>
      <c r="R35" s="813">
        <f>R30-R34</f>
        <v>0</v>
      </c>
      <c r="S35" s="814"/>
      <c r="U35" s="780" t="s">
        <v>654</v>
      </c>
      <c r="V35" s="314"/>
      <c r="W35" s="314"/>
      <c r="X35" s="781">
        <f>SUM(X33:X34)</f>
        <v>0</v>
      </c>
      <c r="Y35" s="721"/>
    </row>
    <row r="36" spans="1:28" s="320" customFormat="1" ht="13.8" thickTop="1">
      <c r="A36" s="322"/>
      <c r="B36" s="772" t="s">
        <v>239</v>
      </c>
      <c r="C36" s="784"/>
      <c r="D36" s="785">
        <f>Input!$GB$19</f>
        <v>0</v>
      </c>
      <c r="E36" s="785">
        <f>Input!$GC$19</f>
        <v>0</v>
      </c>
      <c r="F36" s="785">
        <f>Input!$GD$19</f>
        <v>0</v>
      </c>
      <c r="G36" s="785">
        <f>Input!$GE$19</f>
        <v>0</v>
      </c>
      <c r="H36" s="785">
        <f>Input!$GF$19</f>
        <v>0</v>
      </c>
      <c r="I36" s="785">
        <f>Input!$GG$19</f>
        <v>0</v>
      </c>
      <c r="J36" s="785">
        <f>Input!$GH$19</f>
        <v>0</v>
      </c>
      <c r="K36" s="785">
        <f>Input!$GI$19</f>
        <v>0</v>
      </c>
      <c r="L36" s="785">
        <f>Input!$GJ$19</f>
        <v>0</v>
      </c>
      <c r="M36" s="786">
        <f t="shared" si="6"/>
        <v>0</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Input!$GK$19</f>
        <v>0</v>
      </c>
      <c r="E37" s="762">
        <f>Input!$GL$19</f>
        <v>0</v>
      </c>
      <c r="F37" s="762">
        <f>Input!$GM$19</f>
        <v>0</v>
      </c>
      <c r="G37" s="762">
        <f>Input!$GN$19</f>
        <v>0</v>
      </c>
      <c r="H37" s="762">
        <f>Input!$GO$19</f>
        <v>0</v>
      </c>
      <c r="I37" s="762">
        <f>Input!$GP$19</f>
        <v>0</v>
      </c>
      <c r="J37" s="762">
        <f>Input!$GQ$19</f>
        <v>0</v>
      </c>
      <c r="K37" s="762">
        <f>Input!$GR$19</f>
        <v>0</v>
      </c>
      <c r="L37" s="762">
        <f>Input!$GS$19</f>
        <v>0</v>
      </c>
      <c r="M37" s="650">
        <f t="shared" si="6"/>
        <v>0</v>
      </c>
      <c r="U37" s="776" t="s">
        <v>656</v>
      </c>
      <c r="X37" s="739">
        <f>(M25+M38)*-1</f>
        <v>0</v>
      </c>
      <c r="Y37" s="721"/>
    </row>
    <row r="38" spans="1:28" s="320" customFormat="1">
      <c r="A38" s="322"/>
      <c r="B38" s="320" t="s">
        <v>597</v>
      </c>
      <c r="C38" s="751"/>
      <c r="D38" s="762">
        <f>Input!$GT$19</f>
        <v>0</v>
      </c>
      <c r="E38" s="762">
        <f>Input!$GU$19</f>
        <v>0</v>
      </c>
      <c r="F38" s="762">
        <f>Input!$GV$19</f>
        <v>0</v>
      </c>
      <c r="G38" s="762">
        <f>Input!$GW$19</f>
        <v>0</v>
      </c>
      <c r="H38" s="762">
        <f>Input!$GX$19</f>
        <v>0</v>
      </c>
      <c r="I38" s="762">
        <f>Input!$GY$19</f>
        <v>0</v>
      </c>
      <c r="J38" s="762">
        <f>Input!$GZ$19</f>
        <v>0</v>
      </c>
      <c r="K38" s="762">
        <f>Input!$HA$19</f>
        <v>0</v>
      </c>
      <c r="L38" s="762">
        <f>Input!$HB$19</f>
        <v>0</v>
      </c>
      <c r="M38" s="650">
        <f t="shared" si="6"/>
        <v>0</v>
      </c>
      <c r="U38" s="780" t="s">
        <v>657</v>
      </c>
      <c r="V38" s="314"/>
      <c r="W38" s="314"/>
      <c r="X38" s="781">
        <f>SUM(X36:X37)</f>
        <v>0</v>
      </c>
      <c r="Y38" s="777"/>
    </row>
    <row r="39" spans="1:28" s="320" customFormat="1">
      <c r="A39" s="322"/>
      <c r="B39" s="320" t="s">
        <v>598</v>
      </c>
      <c r="C39" s="751"/>
      <c r="D39" s="762">
        <f>Input!$HC$19</f>
        <v>0</v>
      </c>
      <c r="E39" s="762">
        <f>Input!$HD$19</f>
        <v>0</v>
      </c>
      <c r="F39" s="762">
        <f>Input!$HE$19</f>
        <v>0</v>
      </c>
      <c r="G39" s="762">
        <f>Input!$HF$19</f>
        <v>0</v>
      </c>
      <c r="H39" s="762">
        <f>Input!$HG$19</f>
        <v>0</v>
      </c>
      <c r="I39" s="762">
        <f>Input!$HH$19</f>
        <v>0</v>
      </c>
      <c r="J39" s="762">
        <f>Input!$HI$19</f>
        <v>0</v>
      </c>
      <c r="K39" s="762">
        <f>Input!$HJ$19</f>
        <v>0</v>
      </c>
      <c r="L39" s="762">
        <f>Input!$HK$19</f>
        <v>0</v>
      </c>
      <c r="M39" s="650">
        <f t="shared" si="6"/>
        <v>0</v>
      </c>
      <c r="U39" s="776" t="s">
        <v>658</v>
      </c>
      <c r="X39" s="492"/>
      <c r="Y39" s="777">
        <f>X38+X35</f>
        <v>0</v>
      </c>
    </row>
    <row r="40" spans="1:28" s="320" customFormat="1">
      <c r="A40" s="322"/>
      <c r="B40" s="320" t="s">
        <v>599</v>
      </c>
      <c r="C40" s="751"/>
      <c r="D40" s="762">
        <f>Input!$HL$19</f>
        <v>0</v>
      </c>
      <c r="E40" s="762">
        <f>Input!$HM$19</f>
        <v>0</v>
      </c>
      <c r="F40" s="762">
        <f>Input!$HN$19</f>
        <v>0</v>
      </c>
      <c r="G40" s="762">
        <f>Input!$HO$19</f>
        <v>0</v>
      </c>
      <c r="H40" s="762">
        <f>Input!$HP$19</f>
        <v>0</v>
      </c>
      <c r="I40" s="762">
        <f>Input!$HQ$19</f>
        <v>0</v>
      </c>
      <c r="J40" s="762">
        <f>Input!$HR$19</f>
        <v>0</v>
      </c>
      <c r="K40" s="762">
        <f>Input!$HS$19</f>
        <v>0</v>
      </c>
      <c r="L40" s="762">
        <f>Input!$HT$19</f>
        <v>0</v>
      </c>
      <c r="M40" s="650">
        <f t="shared" si="6"/>
        <v>0</v>
      </c>
      <c r="U40" s="776"/>
      <c r="Y40" s="721"/>
    </row>
    <row r="41" spans="1:28" s="320" customFormat="1">
      <c r="A41" s="322"/>
      <c r="B41" s="320" t="s">
        <v>600</v>
      </c>
      <c r="C41" s="751"/>
      <c r="D41" s="762">
        <f>Input!$HU$19</f>
        <v>0</v>
      </c>
      <c r="E41" s="762">
        <f>Input!$HV$19</f>
        <v>0</v>
      </c>
      <c r="F41" s="762">
        <f>Input!$HW$19</f>
        <v>0</v>
      </c>
      <c r="G41" s="762">
        <f>Input!$HX$19</f>
        <v>0</v>
      </c>
      <c r="H41" s="762">
        <f>Input!$HY$19</f>
        <v>0</v>
      </c>
      <c r="I41" s="762">
        <f>Input!$HZ$19</f>
        <v>0</v>
      </c>
      <c r="J41" s="762">
        <f>Input!$IA$19</f>
        <v>0</v>
      </c>
      <c r="K41" s="762">
        <f>Input!$IB$19</f>
        <v>0</v>
      </c>
      <c r="L41" s="762">
        <f>Input!$IC$19</f>
        <v>0</v>
      </c>
      <c r="M41" s="650">
        <f t="shared" si="6"/>
        <v>0</v>
      </c>
      <c r="U41" s="776" t="s">
        <v>639</v>
      </c>
      <c r="X41" s="492">
        <f>(M21+M34)*-1</f>
        <v>0</v>
      </c>
      <c r="Y41" s="777"/>
    </row>
    <row r="42" spans="1:28" s="320" customFormat="1">
      <c r="A42" s="322"/>
      <c r="B42" s="795" t="s">
        <v>166</v>
      </c>
      <c r="C42" s="784"/>
      <c r="D42" s="769">
        <f t="shared" ref="D42:L42" si="7">SUM(D36:D41)</f>
        <v>0</v>
      </c>
      <c r="E42" s="769">
        <f t="shared" si="7"/>
        <v>0</v>
      </c>
      <c r="F42" s="769">
        <f t="shared" si="7"/>
        <v>0</v>
      </c>
      <c r="G42" s="769">
        <f t="shared" si="7"/>
        <v>0</v>
      </c>
      <c r="H42" s="769">
        <f t="shared" si="7"/>
        <v>0</v>
      </c>
      <c r="I42" s="769">
        <f t="shared" si="7"/>
        <v>0</v>
      </c>
      <c r="J42" s="769">
        <f t="shared" si="7"/>
        <v>0</v>
      </c>
      <c r="K42" s="769">
        <f t="shared" si="7"/>
        <v>0</v>
      </c>
      <c r="L42" s="769">
        <f t="shared" si="7"/>
        <v>0</v>
      </c>
      <c r="M42" s="769">
        <f t="shared" si="6"/>
        <v>0</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0</v>
      </c>
      <c r="E44" s="769">
        <f t="shared" si="8"/>
        <v>10092500</v>
      </c>
      <c r="F44" s="769">
        <f t="shared" si="8"/>
        <v>0</v>
      </c>
      <c r="G44" s="769">
        <f t="shared" si="8"/>
        <v>0</v>
      </c>
      <c r="H44" s="769">
        <f t="shared" si="8"/>
        <v>0</v>
      </c>
      <c r="I44" s="769">
        <f t="shared" si="8"/>
        <v>0</v>
      </c>
      <c r="J44" s="769">
        <f t="shared" si="8"/>
        <v>0</v>
      </c>
      <c r="K44" s="769">
        <f t="shared" si="8"/>
        <v>0</v>
      </c>
      <c r="L44" s="769">
        <f t="shared" si="8"/>
        <v>0</v>
      </c>
      <c r="M44" s="769">
        <f>D44+E44+F44+G44+H44+I44+J44+K44+L44</f>
        <v>10092500</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Input!$ID$19</f>
        <v>0</v>
      </c>
      <c r="E47" s="815">
        <f>Input!$IE$19</f>
        <v>0</v>
      </c>
      <c r="F47" s="815">
        <f>Input!$IF$19</f>
        <v>0</v>
      </c>
      <c r="G47" s="815">
        <f>Input!$IG$19</f>
        <v>277251</v>
      </c>
      <c r="H47" s="815">
        <f>Input!$IH$19</f>
        <v>0</v>
      </c>
      <c r="I47" s="815">
        <f>Input!$II$19</f>
        <v>0</v>
      </c>
      <c r="J47" s="815">
        <f>Input!$IJ$19</f>
        <v>0</v>
      </c>
      <c r="K47" s="815">
        <f>Input!$IK$19</f>
        <v>0</v>
      </c>
      <c r="L47" s="815">
        <f>Input!$IL$19</f>
        <v>0</v>
      </c>
      <c r="M47" s="769">
        <f>D47+E47+F47+G47+H47+I47+J47+K47+L47</f>
        <v>277251</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10092500</v>
      </c>
      <c r="Z49" s="320"/>
      <c r="AA49" s="320"/>
      <c r="AB49" s="320"/>
    </row>
    <row r="50" spans="1:28" s="752" customFormat="1">
      <c r="A50" s="460">
        <v>33</v>
      </c>
      <c r="B50" s="768" t="s">
        <v>200</v>
      </c>
      <c r="C50" s="768"/>
      <c r="D50" s="815">
        <f>Input!$IM$19</f>
        <v>0</v>
      </c>
      <c r="E50" s="815">
        <f>Input!$IN$19</f>
        <v>0</v>
      </c>
      <c r="F50" s="815">
        <f>Input!$IO$19</f>
        <v>0</v>
      </c>
      <c r="G50" s="815">
        <f>Input!$IP$19</f>
        <v>0</v>
      </c>
      <c r="H50" s="815">
        <f>Input!$IQ$19</f>
        <v>0</v>
      </c>
      <c r="I50" s="815">
        <f>Input!$IR$19</f>
        <v>0</v>
      </c>
      <c r="J50" s="815">
        <f>Input!$IS$19</f>
        <v>0</v>
      </c>
      <c r="K50" s="815">
        <f>Input!$IT$19</f>
        <v>0</v>
      </c>
      <c r="L50" s="815">
        <f>Input!$IU$19</f>
        <v>0</v>
      </c>
      <c r="M50" s="769">
        <f>D50+E50+F50+G50+H50+I50+J50+K50+L50</f>
        <v>0</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Input!$IV$19</f>
        <v>0</v>
      </c>
      <c r="E53" s="815">
        <f>Input!$IW$19</f>
        <v>0</v>
      </c>
      <c r="F53" s="815">
        <f>Input!$IX$19</f>
        <v>0</v>
      </c>
      <c r="G53" s="815">
        <f>Input!$IY$19</f>
        <v>0</v>
      </c>
      <c r="H53" s="815">
        <f>Input!$IZ$19</f>
        <v>0</v>
      </c>
      <c r="I53" s="815">
        <f>Input!$JA$19</f>
        <v>0</v>
      </c>
      <c r="J53" s="815">
        <f>Input!$JB$19</f>
        <v>0</v>
      </c>
      <c r="K53" s="815">
        <f>Input!$JC$19</f>
        <v>0</v>
      </c>
      <c r="L53" s="815">
        <f>Input!$JD$19</f>
        <v>0</v>
      </c>
      <c r="M53" s="769">
        <f>D53+E53+F53+G53+H53+I53+J53+K53+L53</f>
        <v>0</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Input!$JE$19</f>
        <v>0</v>
      </c>
      <c r="E56" s="762">
        <f>Input!$JF$19</f>
        <v>0</v>
      </c>
      <c r="F56" s="762">
        <f>Input!$JG$19</f>
        <v>0</v>
      </c>
      <c r="G56" s="762">
        <f>Input!$JH$19</f>
        <v>2667</v>
      </c>
      <c r="H56" s="762">
        <f>Input!$JI$19</f>
        <v>0</v>
      </c>
      <c r="I56" s="762">
        <f>Input!$JJ$19</f>
        <v>5454</v>
      </c>
      <c r="J56" s="762">
        <f>Input!$JK$19</f>
        <v>0</v>
      </c>
      <c r="K56" s="762">
        <f>Input!$JL$19</f>
        <v>0</v>
      </c>
      <c r="L56" s="762">
        <f>Input!$JM$19</f>
        <v>0</v>
      </c>
      <c r="M56" s="723">
        <f t="shared" ref="M56:M62" si="9">D56+E56+F56+G56+H56+I56+J56+K56+L56</f>
        <v>8121</v>
      </c>
      <c r="O56" s="320"/>
      <c r="P56" s="320"/>
      <c r="Q56" s="320"/>
      <c r="R56" s="320"/>
      <c r="S56" s="320"/>
      <c r="T56" s="320"/>
      <c r="U56" s="320"/>
      <c r="V56" s="320"/>
      <c r="W56" s="320"/>
      <c r="X56" s="322"/>
      <c r="Y56" s="320"/>
      <c r="Z56" s="320"/>
      <c r="AA56" s="320"/>
      <c r="AB56" s="320"/>
    </row>
    <row r="57" spans="1:28" s="752" customFormat="1">
      <c r="A57" s="460">
        <v>40</v>
      </c>
      <c r="B57" s="752" t="s">
        <v>173</v>
      </c>
      <c r="D57" s="762">
        <f>Input!$JN$19</f>
        <v>0</v>
      </c>
      <c r="E57" s="762">
        <f>Input!$JO$19</f>
        <v>0</v>
      </c>
      <c r="F57" s="762">
        <f>Input!$JP$19</f>
        <v>0</v>
      </c>
      <c r="G57" s="762">
        <f>Input!$JQ$19</f>
        <v>15755</v>
      </c>
      <c r="H57" s="762">
        <f>Input!$JR$19</f>
        <v>0</v>
      </c>
      <c r="I57" s="762">
        <f>Input!$JS$19</f>
        <v>0</v>
      </c>
      <c r="J57" s="762">
        <f>Input!$JT$19</f>
        <v>0</v>
      </c>
      <c r="K57" s="762">
        <f>Input!$JU$19</f>
        <v>0</v>
      </c>
      <c r="L57" s="762">
        <f>Input!$JV$19</f>
        <v>0</v>
      </c>
      <c r="M57" s="723">
        <f t="shared" si="9"/>
        <v>15755</v>
      </c>
      <c r="O57" s="320"/>
      <c r="P57" s="819"/>
      <c r="Q57" s="320"/>
      <c r="R57" s="320"/>
      <c r="S57" s="320"/>
      <c r="T57" s="320"/>
      <c r="U57" s="320"/>
      <c r="V57" s="320"/>
      <c r="W57" s="320"/>
      <c r="X57" s="320"/>
      <c r="Y57" s="320"/>
      <c r="Z57" s="320"/>
      <c r="AA57" s="320"/>
      <c r="AB57" s="320"/>
    </row>
    <row r="58" spans="1:28" s="752" customFormat="1">
      <c r="A58" s="460">
        <v>41</v>
      </c>
      <c r="B58" s="752" t="s">
        <v>174</v>
      </c>
      <c r="D58" s="762">
        <f>Input!$JW$19</f>
        <v>0</v>
      </c>
      <c r="E58" s="762">
        <f>Input!$JX$19</f>
        <v>250</v>
      </c>
      <c r="F58" s="762">
        <f>Input!$JY$19</f>
        <v>0</v>
      </c>
      <c r="G58" s="762">
        <f>Input!$JZ$19</f>
        <v>457410</v>
      </c>
      <c r="H58" s="762">
        <f>Input!$KA$19</f>
        <v>0</v>
      </c>
      <c r="I58" s="762">
        <f>Input!$KB$19</f>
        <v>0</v>
      </c>
      <c r="J58" s="762">
        <f>Input!$KC$19</f>
        <v>0</v>
      </c>
      <c r="K58" s="762">
        <f>Input!$KD$19</f>
        <v>0</v>
      </c>
      <c r="L58" s="762">
        <f>Input!$KE$19</f>
        <v>0</v>
      </c>
      <c r="M58" s="723">
        <f t="shared" si="9"/>
        <v>457660</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Input!$KF$19</f>
        <v>0</v>
      </c>
      <c r="E59" s="762">
        <f>Input!$KG$19</f>
        <v>146190</v>
      </c>
      <c r="F59" s="762">
        <f>Input!$KH$19</f>
        <v>0</v>
      </c>
      <c r="G59" s="762">
        <f>Input!$KI$19</f>
        <v>0</v>
      </c>
      <c r="H59" s="762">
        <f>Input!$KJ$19</f>
        <v>0</v>
      </c>
      <c r="I59" s="762">
        <f>Input!$KK$19</f>
        <v>0</v>
      </c>
      <c r="J59" s="762">
        <f>Input!$KL$19</f>
        <v>0</v>
      </c>
      <c r="K59" s="762">
        <f>Input!$KM$19</f>
        <v>0</v>
      </c>
      <c r="L59" s="762">
        <f>Input!$KN$19</f>
        <v>0</v>
      </c>
      <c r="M59" s="723">
        <f t="shared" si="9"/>
        <v>146190</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Input!$KO$19</f>
        <v>0</v>
      </c>
      <c r="E60" s="762">
        <f>Input!$KP$19</f>
        <v>0</v>
      </c>
      <c r="F60" s="762">
        <f>Input!$KQ$19</f>
        <v>605605</v>
      </c>
      <c r="G60" s="762">
        <f>Input!$KR$19</f>
        <v>0</v>
      </c>
      <c r="H60" s="762">
        <f>Input!$KS$19</f>
        <v>0</v>
      </c>
      <c r="I60" s="762">
        <f>Input!$KT$19</f>
        <v>0</v>
      </c>
      <c r="J60" s="762">
        <f>Input!$KU$19</f>
        <v>0</v>
      </c>
      <c r="K60" s="762">
        <f>Input!$KV$19</f>
        <v>0</v>
      </c>
      <c r="L60" s="762">
        <f>Input!$KW$19</f>
        <v>0</v>
      </c>
      <c r="M60" s="723">
        <f t="shared" si="9"/>
        <v>605605</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Input!$KX$19</f>
        <v>0</v>
      </c>
      <c r="E61" s="762">
        <f>Input!$KY$19</f>
        <v>52389</v>
      </c>
      <c r="F61" s="762">
        <f>Input!$KZ$19</f>
        <v>0</v>
      </c>
      <c r="G61" s="762">
        <f>Input!$LA$19</f>
        <v>360059</v>
      </c>
      <c r="H61" s="762">
        <f>Input!$LB$19</f>
        <v>0</v>
      </c>
      <c r="I61" s="762">
        <f>Input!$LC$19</f>
        <v>0</v>
      </c>
      <c r="J61" s="762">
        <f>Input!$LD$19</f>
        <v>0</v>
      </c>
      <c r="K61" s="762">
        <f>Input!$LE$19</f>
        <v>0</v>
      </c>
      <c r="L61" s="762">
        <f>Input!$LF$19</f>
        <v>0</v>
      </c>
      <c r="M61" s="723">
        <f t="shared" si="9"/>
        <v>412448</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0</v>
      </c>
      <c r="E62" s="769">
        <f t="shared" si="10"/>
        <v>198829</v>
      </c>
      <c r="F62" s="769">
        <f t="shared" si="10"/>
        <v>605605</v>
      </c>
      <c r="G62" s="769">
        <f t="shared" si="10"/>
        <v>835891</v>
      </c>
      <c r="H62" s="769">
        <f t="shared" si="10"/>
        <v>0</v>
      </c>
      <c r="I62" s="769">
        <f t="shared" si="10"/>
        <v>5454</v>
      </c>
      <c r="J62" s="769">
        <f t="shared" si="10"/>
        <v>0</v>
      </c>
      <c r="K62" s="769">
        <f t="shared" si="10"/>
        <v>0</v>
      </c>
      <c r="L62" s="769">
        <f t="shared" si="10"/>
        <v>0</v>
      </c>
      <c r="M62" s="769">
        <f t="shared" si="9"/>
        <v>1645779</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0</v>
      </c>
      <c r="E63" s="769">
        <f t="shared" ref="E63:M63" si="11">E15+E44+E47+E50+E53+E62</f>
        <v>10291329</v>
      </c>
      <c r="F63" s="769">
        <f t="shared" si="11"/>
        <v>605605</v>
      </c>
      <c r="G63" s="769">
        <f t="shared" si="11"/>
        <v>2255101</v>
      </c>
      <c r="H63" s="769">
        <f t="shared" si="11"/>
        <v>0</v>
      </c>
      <c r="I63" s="769">
        <f t="shared" si="11"/>
        <v>5454</v>
      </c>
      <c r="J63" s="769">
        <f t="shared" si="11"/>
        <v>0</v>
      </c>
      <c r="K63" s="769">
        <f t="shared" si="11"/>
        <v>0</v>
      </c>
      <c r="L63" s="769">
        <f t="shared" si="11"/>
        <v>0</v>
      </c>
      <c r="M63" s="769">
        <f t="shared" si="11"/>
        <v>13157489</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Input!$LG$19</f>
        <v>0</v>
      </c>
      <c r="E65" s="762">
        <f>Input!$LH$19</f>
        <v>9412392</v>
      </c>
      <c r="F65" s="762">
        <f>Input!$LI$19</f>
        <v>0</v>
      </c>
      <c r="G65" s="762">
        <f>Input!$LJ$19</f>
        <v>280606</v>
      </c>
      <c r="H65" s="762">
        <f>Input!$LK$19</f>
        <v>0</v>
      </c>
      <c r="I65" s="762">
        <f>Input!$LL$19</f>
        <v>0</v>
      </c>
      <c r="J65" s="762">
        <f>Input!$LM$19</f>
        <v>0</v>
      </c>
      <c r="K65" s="762">
        <f>Input!$LN$19</f>
        <v>0</v>
      </c>
      <c r="L65" s="762">
        <f>Input!$LO$19</f>
        <v>0</v>
      </c>
      <c r="M65" s="723">
        <f t="shared" ref="M65:M77" si="12">D65+E65+F65+G65+H65+I65+J65+K65+L65</f>
        <v>9692998</v>
      </c>
      <c r="O65" s="824">
        <f>D65+E65+G65</f>
        <v>9692998</v>
      </c>
      <c r="P65" s="825">
        <f>Input!$TK$19</f>
        <v>63459</v>
      </c>
      <c r="Q65" s="825">
        <f>Input!$TU$19</f>
        <v>0</v>
      </c>
      <c r="R65" s="825">
        <f>Input!$UD$19</f>
        <v>0</v>
      </c>
      <c r="S65" s="826">
        <f>O65+P65-Q65-R65</f>
        <v>9756457</v>
      </c>
      <c r="T65" s="492"/>
      <c r="U65" s="827">
        <f>D65+E65+F65+G65+J65</f>
        <v>9692998</v>
      </c>
      <c r="V65" s="492"/>
      <c r="W65" s="828" t="s">
        <v>92</v>
      </c>
      <c r="X65" s="829">
        <f>Input!$UO$19</f>
        <v>9692998</v>
      </c>
      <c r="Y65" s="830">
        <f t="shared" ref="Y65:Y74" si="13">X65-M65</f>
        <v>0</v>
      </c>
      <c r="Z65" s="492"/>
      <c r="AA65" s="492"/>
      <c r="AB65" s="492"/>
    </row>
    <row r="66" spans="1:28" s="752" customFormat="1" ht="14.4" thickTop="1" thickBot="1">
      <c r="A66" s="460">
        <v>49</v>
      </c>
      <c r="B66" s="823" t="s">
        <v>179</v>
      </c>
      <c r="C66" s="823"/>
      <c r="D66" s="762">
        <f>Input!$LP$19</f>
        <v>0</v>
      </c>
      <c r="E66" s="762">
        <f>Input!$LQ$19</f>
        <v>160495</v>
      </c>
      <c r="F66" s="762">
        <f>Input!$LR$19</f>
        <v>0</v>
      </c>
      <c r="G66" s="762">
        <f>Input!$LS$19</f>
        <v>191222</v>
      </c>
      <c r="H66" s="762">
        <f>Input!$LT$19</f>
        <v>0</v>
      </c>
      <c r="I66" s="762">
        <f>Input!$LU$19</f>
        <v>0</v>
      </c>
      <c r="J66" s="762">
        <f>Input!$LV$19</f>
        <v>0</v>
      </c>
      <c r="K66" s="762">
        <f>Input!$LW$19</f>
        <v>0</v>
      </c>
      <c r="L66" s="762">
        <f>Input!$LX$19</f>
        <v>0</v>
      </c>
      <c r="M66" s="723">
        <f t="shared" si="12"/>
        <v>351717</v>
      </c>
      <c r="O66" s="831">
        <f t="shared" ref="O66:O72" si="14">D66+E66+G66</f>
        <v>351717</v>
      </c>
      <c r="P66" s="832">
        <f>Input!$TL$19</f>
        <v>113793</v>
      </c>
      <c r="Q66" s="832">
        <f>Input!$TV$19</f>
        <v>0</v>
      </c>
      <c r="R66" s="832">
        <f>Input!$UE$19</f>
        <v>0</v>
      </c>
      <c r="S66" s="833">
        <f>O66+P66-Q66-R66</f>
        <v>465510</v>
      </c>
      <c r="T66" s="492"/>
      <c r="U66" s="834">
        <f t="shared" ref="U66:U76" si="15">D66+E66+F66+G66+J66</f>
        <v>351717</v>
      </c>
      <c r="V66" s="492"/>
      <c r="W66" s="828" t="s">
        <v>179</v>
      </c>
      <c r="X66" s="835">
        <f>Input!$UP$19</f>
        <v>351717</v>
      </c>
      <c r="Y66" s="836">
        <f t="shared" si="13"/>
        <v>0</v>
      </c>
      <c r="Z66" s="723"/>
      <c r="AA66" s="723"/>
      <c r="AB66" s="723"/>
    </row>
    <row r="67" spans="1:28" s="752" customFormat="1" ht="13.8" thickTop="1">
      <c r="A67" s="460">
        <v>50</v>
      </c>
      <c r="B67" s="823" t="s">
        <v>180</v>
      </c>
      <c r="C67" s="823"/>
      <c r="D67" s="762">
        <f>Input!$LY$19</f>
        <v>0</v>
      </c>
      <c r="E67" s="762">
        <f>Input!$LZ$19</f>
        <v>0</v>
      </c>
      <c r="F67" s="762">
        <f>Input!$MA$19</f>
        <v>0</v>
      </c>
      <c r="G67" s="762">
        <f>Input!$MB$19</f>
        <v>166411</v>
      </c>
      <c r="H67" s="762">
        <f>Input!$MC$19</f>
        <v>0</v>
      </c>
      <c r="I67" s="762">
        <f>Input!$MD$19</f>
        <v>0</v>
      </c>
      <c r="J67" s="762">
        <f>Input!$ME$19</f>
        <v>0</v>
      </c>
      <c r="K67" s="762">
        <f>Input!$MF$19</f>
        <v>0</v>
      </c>
      <c r="L67" s="762">
        <f>Input!$MG$19</f>
        <v>0</v>
      </c>
      <c r="M67" s="723">
        <f t="shared" si="12"/>
        <v>166411</v>
      </c>
      <c r="O67" s="831">
        <f t="shared" si="14"/>
        <v>166411</v>
      </c>
      <c r="P67" s="832">
        <f>Input!$TM$19</f>
        <v>5076</v>
      </c>
      <c r="Q67" s="832">
        <f>Input!$TW$19</f>
        <v>0</v>
      </c>
      <c r="R67" s="832">
        <f>Input!$UF$19</f>
        <v>0</v>
      </c>
      <c r="S67" s="837">
        <f t="shared" ref="S67:S72" si="16">O67+P67-Q67-R67</f>
        <v>171487</v>
      </c>
      <c r="T67" s="723"/>
      <c r="U67" s="834">
        <f t="shared" si="15"/>
        <v>166411</v>
      </c>
      <c r="V67" s="723"/>
      <c r="W67" s="828" t="s">
        <v>180</v>
      </c>
      <c r="X67" s="835">
        <f>Input!$UQ$19</f>
        <v>166411</v>
      </c>
      <c r="Y67" s="836">
        <f t="shared" si="13"/>
        <v>0</v>
      </c>
      <c r="Z67" s="723"/>
      <c r="AA67" s="723"/>
      <c r="AB67" s="723"/>
    </row>
    <row r="68" spans="1:28" s="752" customFormat="1">
      <c r="A68" s="460">
        <v>51</v>
      </c>
      <c r="B68" s="823" t="s">
        <v>164</v>
      </c>
      <c r="C68" s="823"/>
      <c r="D68" s="762">
        <f>Input!$MH$19</f>
        <v>0</v>
      </c>
      <c r="E68" s="762">
        <f>Input!$MI$19</f>
        <v>0</v>
      </c>
      <c r="F68" s="762">
        <f>Input!$MJ$19</f>
        <v>928264</v>
      </c>
      <c r="G68" s="762">
        <f>Input!$MK$19</f>
        <v>0</v>
      </c>
      <c r="H68" s="762">
        <f>Input!$ML$19</f>
        <v>0</v>
      </c>
      <c r="I68" s="762">
        <f>Input!$MM$19</f>
        <v>0</v>
      </c>
      <c r="J68" s="762">
        <f>Input!$MN$19</f>
        <v>0</v>
      </c>
      <c r="K68" s="762">
        <f>Input!$MO$19</f>
        <v>0</v>
      </c>
      <c r="L68" s="762">
        <f>Input!$MP$19</f>
        <v>0</v>
      </c>
      <c r="M68" s="723">
        <f t="shared" si="12"/>
        <v>928264</v>
      </c>
      <c r="O68" s="831">
        <f t="shared" si="14"/>
        <v>0</v>
      </c>
      <c r="P68" s="832">
        <f>Input!$TN$19</f>
        <v>0</v>
      </c>
      <c r="Q68" s="832">
        <f>Input!$TX$19</f>
        <v>0</v>
      </c>
      <c r="R68" s="832">
        <f>Input!$UG$19</f>
        <v>0</v>
      </c>
      <c r="S68" s="837">
        <f t="shared" si="16"/>
        <v>0</v>
      </c>
      <c r="T68" s="723"/>
      <c r="U68" s="834">
        <f t="shared" si="15"/>
        <v>928264</v>
      </c>
      <c r="V68" s="723"/>
      <c r="W68" s="828" t="s">
        <v>164</v>
      </c>
      <c r="X68" s="835">
        <f>Input!$UR$19</f>
        <v>928264</v>
      </c>
      <c r="Y68" s="836">
        <f t="shared" si="13"/>
        <v>0</v>
      </c>
      <c r="Z68" s="723"/>
      <c r="AA68" s="723"/>
      <c r="AB68" s="723"/>
    </row>
    <row r="69" spans="1:28" s="752" customFormat="1">
      <c r="A69" s="460">
        <v>52</v>
      </c>
      <c r="B69" s="823" t="s">
        <v>181</v>
      </c>
      <c r="C69" s="823"/>
      <c r="D69" s="762">
        <f>Input!$MQ$19</f>
        <v>0</v>
      </c>
      <c r="E69" s="762">
        <f>Input!$MR$19</f>
        <v>3477076</v>
      </c>
      <c r="F69" s="762">
        <f>Input!$MS$19</f>
        <v>0</v>
      </c>
      <c r="G69" s="762">
        <f>Input!$MT$19</f>
        <v>1132178</v>
      </c>
      <c r="H69" s="762">
        <f>Input!$MU$19</f>
        <v>0</v>
      </c>
      <c r="I69" s="762">
        <f>Input!$MV$19</f>
        <v>0</v>
      </c>
      <c r="J69" s="762">
        <f>Input!$MW$19</f>
        <v>0</v>
      </c>
      <c r="K69" s="762">
        <f>Input!$MX$19</f>
        <v>0</v>
      </c>
      <c r="L69" s="762">
        <f>Input!$MY$19</f>
        <v>0</v>
      </c>
      <c r="M69" s="723">
        <f t="shared" si="12"/>
        <v>4609254</v>
      </c>
      <c r="O69" s="831">
        <f t="shared" si="14"/>
        <v>4609254</v>
      </c>
      <c r="P69" s="832">
        <f>Input!$TO$19</f>
        <v>66719</v>
      </c>
      <c r="Q69" s="832">
        <f>Input!$TY$19</f>
        <v>0</v>
      </c>
      <c r="R69" s="832">
        <f>Input!$UH$19</f>
        <v>0</v>
      </c>
      <c r="S69" s="837">
        <f t="shared" si="16"/>
        <v>4675973</v>
      </c>
      <c r="T69" s="723"/>
      <c r="U69" s="834">
        <f t="shared" si="15"/>
        <v>4609254</v>
      </c>
      <c r="V69" s="723"/>
      <c r="W69" s="828" t="s">
        <v>181</v>
      </c>
      <c r="X69" s="835">
        <f>Input!$US$19</f>
        <v>4609254</v>
      </c>
      <c r="Y69" s="836">
        <f t="shared" si="13"/>
        <v>0</v>
      </c>
      <c r="Z69" s="723"/>
      <c r="AA69" s="723"/>
      <c r="AB69" s="723"/>
    </row>
    <row r="70" spans="1:28" s="752" customFormat="1">
      <c r="A70" s="460">
        <v>53</v>
      </c>
      <c r="B70" s="823" t="s">
        <v>182</v>
      </c>
      <c r="C70" s="823"/>
      <c r="D70" s="762">
        <f>Input!$MZ$19</f>
        <v>0</v>
      </c>
      <c r="E70" s="762">
        <f>Input!$NA$19</f>
        <v>1711382</v>
      </c>
      <c r="F70" s="762">
        <f>Input!$NB$19</f>
        <v>0</v>
      </c>
      <c r="G70" s="762">
        <f>Input!$NC$19</f>
        <v>7607</v>
      </c>
      <c r="H70" s="762">
        <f>Input!$ND$19</f>
        <v>0</v>
      </c>
      <c r="I70" s="762">
        <f>Input!$NE$19</f>
        <v>0</v>
      </c>
      <c r="J70" s="762">
        <f>Input!$NF$19</f>
        <v>0</v>
      </c>
      <c r="K70" s="762">
        <f>Input!$NG$19</f>
        <v>0</v>
      </c>
      <c r="L70" s="762">
        <f>Input!$NH$19</f>
        <v>0</v>
      </c>
      <c r="M70" s="723">
        <f t="shared" si="12"/>
        <v>1718989</v>
      </c>
      <c r="O70" s="831">
        <f t="shared" si="14"/>
        <v>1718989</v>
      </c>
      <c r="P70" s="832">
        <f>Input!$TP$19</f>
        <v>0</v>
      </c>
      <c r="Q70" s="832">
        <f>Input!$TZ$19</f>
        <v>0</v>
      </c>
      <c r="R70" s="832">
        <f>Input!$UI$19</f>
        <v>0</v>
      </c>
      <c r="S70" s="837">
        <f t="shared" si="16"/>
        <v>1718989</v>
      </c>
      <c r="T70" s="723"/>
      <c r="U70" s="834">
        <f t="shared" si="15"/>
        <v>1718989</v>
      </c>
      <c r="V70" s="723"/>
      <c r="W70" s="828" t="s">
        <v>182</v>
      </c>
      <c r="X70" s="835">
        <f>Input!$UT$19</f>
        <v>1718989</v>
      </c>
      <c r="Y70" s="836">
        <f t="shared" si="13"/>
        <v>0</v>
      </c>
      <c r="Z70" s="723"/>
      <c r="AA70" s="723"/>
      <c r="AB70" s="723"/>
    </row>
    <row r="71" spans="1:28" s="752" customFormat="1">
      <c r="A71" s="460">
        <v>54</v>
      </c>
      <c r="B71" s="823" t="s">
        <v>183</v>
      </c>
      <c r="C71" s="823"/>
      <c r="D71" s="762">
        <f>Input!$NI$19</f>
        <v>0</v>
      </c>
      <c r="E71" s="762">
        <f>Input!$NJ$19</f>
        <v>0</v>
      </c>
      <c r="F71" s="762">
        <f>Input!$NK$19</f>
        <v>0</v>
      </c>
      <c r="G71" s="762">
        <f>Input!$NL$19</f>
        <v>0</v>
      </c>
      <c r="H71" s="762">
        <f>Input!$NM$19</f>
        <v>0</v>
      </c>
      <c r="I71" s="762">
        <f>Input!$NN$19</f>
        <v>0</v>
      </c>
      <c r="J71" s="762">
        <f>Input!$NO$19</f>
        <v>0</v>
      </c>
      <c r="K71" s="762">
        <f>Input!$NP$19</f>
        <v>0</v>
      </c>
      <c r="L71" s="762">
        <f>Input!$NQ$19</f>
        <v>0</v>
      </c>
      <c r="M71" s="723">
        <f t="shared" si="12"/>
        <v>0</v>
      </c>
      <c r="O71" s="831">
        <f t="shared" si="14"/>
        <v>0</v>
      </c>
      <c r="P71" s="832">
        <f>Input!$TQ$19</f>
        <v>0</v>
      </c>
      <c r="Q71" s="832">
        <f>Input!$UA$19</f>
        <v>0</v>
      </c>
      <c r="R71" s="832">
        <f>Input!$UJ$19</f>
        <v>0</v>
      </c>
      <c r="S71" s="837">
        <f t="shared" si="16"/>
        <v>0</v>
      </c>
      <c r="T71" s="723"/>
      <c r="U71" s="834">
        <f t="shared" si="15"/>
        <v>0</v>
      </c>
      <c r="V71" s="723"/>
      <c r="W71" s="828" t="s">
        <v>183</v>
      </c>
      <c r="X71" s="835">
        <f>Input!$UU$19</f>
        <v>0</v>
      </c>
      <c r="Y71" s="836">
        <f t="shared" si="13"/>
        <v>0</v>
      </c>
      <c r="Z71" s="723"/>
      <c r="AA71" s="723"/>
      <c r="AB71" s="723"/>
    </row>
    <row r="72" spans="1:28" s="752" customFormat="1">
      <c r="A72" s="460">
        <v>55</v>
      </c>
      <c r="B72" s="823" t="s">
        <v>184</v>
      </c>
      <c r="C72" s="823"/>
      <c r="D72" s="762">
        <f>Input!$NR$19</f>
        <v>0</v>
      </c>
      <c r="E72" s="762">
        <f>Input!$NS$19</f>
        <v>639393</v>
      </c>
      <c r="F72" s="762">
        <f>Input!$NT$19</f>
        <v>0</v>
      </c>
      <c r="G72" s="762">
        <f>Input!$NU$19</f>
        <v>116</v>
      </c>
      <c r="H72" s="762">
        <f>Input!$NV$19</f>
        <v>0</v>
      </c>
      <c r="I72" s="762">
        <f>Input!$NW$19</f>
        <v>0</v>
      </c>
      <c r="J72" s="762">
        <f>Input!$NX$19</f>
        <v>0</v>
      </c>
      <c r="K72" s="762">
        <f>Input!$NY$19</f>
        <v>0</v>
      </c>
      <c r="L72" s="762">
        <f>Input!$NZ$19</f>
        <v>0</v>
      </c>
      <c r="M72" s="723">
        <f t="shared" si="12"/>
        <v>639509</v>
      </c>
      <c r="O72" s="831">
        <f t="shared" si="14"/>
        <v>639509</v>
      </c>
      <c r="P72" s="832">
        <f>Input!$TR$19</f>
        <v>0</v>
      </c>
      <c r="Q72" s="832">
        <f>Input!$UB$19</f>
        <v>0</v>
      </c>
      <c r="R72" s="832">
        <f>Input!$UK$19</f>
        <v>0</v>
      </c>
      <c r="S72" s="837">
        <f t="shared" si="16"/>
        <v>639509</v>
      </c>
      <c r="T72" s="723"/>
      <c r="U72" s="834">
        <f t="shared" si="15"/>
        <v>639509</v>
      </c>
      <c r="V72" s="723"/>
      <c r="W72" s="828" t="s">
        <v>671</v>
      </c>
      <c r="X72" s="835">
        <f>Input!$UV$19</f>
        <v>639509</v>
      </c>
      <c r="Y72" s="836">
        <f t="shared" si="13"/>
        <v>0</v>
      </c>
      <c r="Z72" s="723"/>
      <c r="AA72" s="723"/>
      <c r="AB72" s="723"/>
    </row>
    <row r="73" spans="1:28" s="752" customFormat="1" ht="13.8" thickBot="1">
      <c r="A73" s="460">
        <v>56</v>
      </c>
      <c r="B73" s="823" t="s">
        <v>185</v>
      </c>
      <c r="C73" s="823"/>
      <c r="D73" s="762">
        <f>Input!$OA$19</f>
        <v>0</v>
      </c>
      <c r="E73" s="762">
        <f>Input!$OB$19</f>
        <v>27266</v>
      </c>
      <c r="F73" s="762">
        <f>Input!$OC$19</f>
        <v>0</v>
      </c>
      <c r="G73" s="762">
        <f>Input!$OD$19</f>
        <v>60020</v>
      </c>
      <c r="H73" s="762">
        <f>Input!$OE$19</f>
        <v>0</v>
      </c>
      <c r="I73" s="762">
        <f>Input!$OF$19</f>
        <v>0</v>
      </c>
      <c r="J73" s="762">
        <f>Input!$OG$19</f>
        <v>0</v>
      </c>
      <c r="K73" s="762">
        <f>Input!$OH$19</f>
        <v>0</v>
      </c>
      <c r="L73" s="762">
        <f>Input!$OI$19</f>
        <v>0</v>
      </c>
      <c r="M73" s="723">
        <f t="shared" si="12"/>
        <v>87286</v>
      </c>
      <c r="O73" s="838">
        <f>D73+E73+G73</f>
        <v>87286</v>
      </c>
      <c r="P73" s="832">
        <f>Input!$TS$19</f>
        <v>0</v>
      </c>
      <c r="Q73" s="839">
        <f>Input!$UC$19</f>
        <v>0</v>
      </c>
      <c r="R73" s="839">
        <f>Input!$UL$19</f>
        <v>0</v>
      </c>
      <c r="S73" s="840">
        <f>O73+P73-Q73-R73</f>
        <v>87286</v>
      </c>
      <c r="T73" s="841"/>
      <c r="U73" s="834">
        <f t="shared" si="15"/>
        <v>87286</v>
      </c>
      <c r="V73" s="841"/>
      <c r="W73" s="828" t="s">
        <v>185</v>
      </c>
      <c r="X73" s="835">
        <f>Input!$UW$19</f>
        <v>87286</v>
      </c>
      <c r="Y73" s="836">
        <f t="shared" si="13"/>
        <v>0</v>
      </c>
      <c r="Z73" s="723"/>
      <c r="AA73" s="723"/>
      <c r="AB73" s="723"/>
    </row>
    <row r="74" spans="1:28" s="752" customFormat="1" ht="13.8" thickTop="1">
      <c r="A74" s="460">
        <v>57</v>
      </c>
      <c r="B74" s="823" t="s">
        <v>472</v>
      </c>
      <c r="C74" s="823"/>
      <c r="D74" s="762">
        <f>Input!$OJ$19</f>
        <v>0</v>
      </c>
      <c r="E74" s="762">
        <f>Input!$OK$19</f>
        <v>0</v>
      </c>
      <c r="F74" s="762">
        <f>Input!$OL$19</f>
        <v>0</v>
      </c>
      <c r="G74" s="762">
        <f>Input!$OM$19</f>
        <v>0</v>
      </c>
      <c r="H74" s="762">
        <f>Input!$ON$19</f>
        <v>0</v>
      </c>
      <c r="I74" s="762">
        <f>Input!$OO$19</f>
        <v>0</v>
      </c>
      <c r="J74" s="762">
        <f>Input!$OP$19</f>
        <v>0</v>
      </c>
      <c r="K74" s="762">
        <f>Input!$OQ$19</f>
        <v>0</v>
      </c>
      <c r="L74" s="762">
        <f>Input!$OR$19</f>
        <v>0</v>
      </c>
      <c r="M74" s="723">
        <f t="shared" si="12"/>
        <v>0</v>
      </c>
      <c r="O74" s="492"/>
      <c r="P74" s="842">
        <f>Input!$TT$19</f>
        <v>0</v>
      </c>
      <c r="Q74" s="843"/>
      <c r="R74" s="844"/>
      <c r="S74" s="845">
        <f>SUM(S65:S73)</f>
        <v>17515211</v>
      </c>
      <c r="T74" s="844"/>
      <c r="U74" s="834">
        <f t="shared" si="15"/>
        <v>0</v>
      </c>
      <c r="V74" s="844"/>
      <c r="W74" s="828" t="s">
        <v>186</v>
      </c>
      <c r="X74" s="835">
        <f>Input!$UX$19</f>
        <v>0</v>
      </c>
      <c r="Y74" s="836">
        <f t="shared" si="13"/>
        <v>0</v>
      </c>
      <c r="Z74" s="723"/>
      <c r="AA74" s="723"/>
      <c r="AB74" s="723"/>
    </row>
    <row r="75" spans="1:28" s="752" customFormat="1">
      <c r="A75" s="460">
        <v>58</v>
      </c>
      <c r="B75" s="846" t="s">
        <v>602</v>
      </c>
      <c r="C75" s="846"/>
      <c r="D75" s="762">
        <f>Input!$OS$19</f>
        <v>0</v>
      </c>
      <c r="E75" s="762">
        <f>Input!$OT$19</f>
        <v>139443</v>
      </c>
      <c r="F75" s="762">
        <f>Input!$OU$19</f>
        <v>0</v>
      </c>
      <c r="G75" s="762">
        <f>Input!$OV$19</f>
        <v>109604</v>
      </c>
      <c r="H75" s="762">
        <f>Input!$OW$19</f>
        <v>0</v>
      </c>
      <c r="I75" s="762">
        <f>Input!$OX$19</f>
        <v>0</v>
      </c>
      <c r="J75" s="762">
        <f>Input!$OY$19</f>
        <v>0</v>
      </c>
      <c r="K75" s="762">
        <f>Input!$OZ$19</f>
        <v>0</v>
      </c>
      <c r="L75" s="762">
        <f>Input!$PA$19</f>
        <v>0</v>
      </c>
      <c r="M75" s="723">
        <f t="shared" si="12"/>
        <v>249047</v>
      </c>
      <c r="O75" s="492"/>
      <c r="P75" s="492">
        <f>SUM(P65:P74)</f>
        <v>249047</v>
      </c>
      <c r="Q75" s="843" t="s">
        <v>672</v>
      </c>
      <c r="R75" s="844"/>
      <c r="S75" s="847"/>
      <c r="T75" s="844"/>
      <c r="U75" s="834">
        <f t="shared" si="15"/>
        <v>249047</v>
      </c>
      <c r="V75" s="844"/>
      <c r="W75" s="828" t="s">
        <v>673</v>
      </c>
      <c r="X75" s="848">
        <f>M93*-1</f>
        <v>441024</v>
      </c>
      <c r="Y75" s="836">
        <f>X75+M93</f>
        <v>0</v>
      </c>
      <c r="Z75" s="849"/>
      <c r="AA75" s="849"/>
      <c r="AB75" s="849"/>
    </row>
    <row r="76" spans="1:28" s="752" customFormat="1" ht="13.8" thickBot="1">
      <c r="A76" s="460">
        <v>59</v>
      </c>
      <c r="B76" s="850" t="s">
        <v>603</v>
      </c>
      <c r="C76" s="850"/>
      <c r="D76" s="851">
        <f>Input!$PB$19</f>
        <v>0</v>
      </c>
      <c r="E76" s="851">
        <f>Input!$PC$19</f>
        <v>0</v>
      </c>
      <c r="F76" s="851">
        <f>Input!$PD$19</f>
        <v>0</v>
      </c>
      <c r="G76" s="851">
        <f>Input!$PE$19</f>
        <v>0</v>
      </c>
      <c r="H76" s="851">
        <f>Input!$PF$19</f>
        <v>0</v>
      </c>
      <c r="I76" s="851">
        <f>Input!$PG$19</f>
        <v>0</v>
      </c>
      <c r="J76" s="851">
        <f>Input!$PH$19</f>
        <v>0</v>
      </c>
      <c r="K76" s="851">
        <f>Input!$PI$19</f>
        <v>0</v>
      </c>
      <c r="L76" s="851">
        <f>Input!$PJ$19</f>
        <v>0</v>
      </c>
      <c r="M76" s="723">
        <f t="shared" si="12"/>
        <v>0</v>
      </c>
      <c r="O76" s="492"/>
      <c r="P76" s="852" t="str">
        <f>IF(P75&lt;&gt;M75,"Out of Balance","Balanced")</f>
        <v>Balanced</v>
      </c>
      <c r="Q76" s="1213" t="s">
        <v>674</v>
      </c>
      <c r="R76" s="1214"/>
      <c r="S76" s="853">
        <f>Input!$UM$19</f>
        <v>1569655</v>
      </c>
      <c r="T76" s="492"/>
      <c r="U76" s="854">
        <f t="shared" si="15"/>
        <v>0</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0</v>
      </c>
      <c r="E77" s="769">
        <f t="shared" si="17"/>
        <v>15567447</v>
      </c>
      <c r="F77" s="769">
        <f t="shared" si="17"/>
        <v>928264</v>
      </c>
      <c r="G77" s="769">
        <f t="shared" si="17"/>
        <v>1947764</v>
      </c>
      <c r="H77" s="769">
        <f t="shared" si="17"/>
        <v>0</v>
      </c>
      <c r="I77" s="769">
        <f t="shared" si="17"/>
        <v>0</v>
      </c>
      <c r="J77" s="769">
        <f t="shared" si="17"/>
        <v>0</v>
      </c>
      <c r="K77" s="769">
        <f t="shared" si="17"/>
        <v>0</v>
      </c>
      <c r="L77" s="769">
        <f t="shared" si="17"/>
        <v>0</v>
      </c>
      <c r="M77" s="769">
        <f t="shared" si="12"/>
        <v>18443475</v>
      </c>
      <c r="O77" s="320"/>
      <c r="P77" s="492"/>
      <c r="Q77" s="859" t="s">
        <v>676</v>
      </c>
      <c r="R77" s="860"/>
      <c r="S77" s="861">
        <f>Input!$UN$19</f>
        <v>964050</v>
      </c>
      <c r="T77" s="320"/>
      <c r="U77" s="862">
        <f>SUM(U65:U76)</f>
        <v>18443475</v>
      </c>
      <c r="V77" s="320"/>
      <c r="W77" s="320"/>
      <c r="X77" s="863">
        <f>SUM(X65:X76)</f>
        <v>18635452</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16909606</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Input!$PK$19</f>
        <v>0</v>
      </c>
      <c r="E80" s="762">
        <f>Input!$PL$19</f>
        <v>0</v>
      </c>
      <c r="F80" s="762">
        <f>Input!$PM$19</f>
        <v>0</v>
      </c>
      <c r="G80" s="762">
        <f>Input!$PN$19</f>
        <v>0</v>
      </c>
      <c r="H80" s="762">
        <f>Input!$PO$19</f>
        <v>0</v>
      </c>
      <c r="I80" s="762">
        <f>Input!$PP$19</f>
        <v>0</v>
      </c>
      <c r="J80" s="762">
        <f>Input!$PQ$19</f>
        <v>0</v>
      </c>
      <c r="K80" s="762">
        <f>Input!$PR$19</f>
        <v>0</v>
      </c>
      <c r="L80" s="762">
        <f>Input!$PS$19</f>
        <v>0</v>
      </c>
      <c r="M80" s="723">
        <f>D80+E80+F80+G80+H80+I80+J80+K80+L80</f>
        <v>0</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Input!$PT$19</f>
        <v>0</v>
      </c>
      <c r="E81" s="762">
        <f>Input!$PU$19</f>
        <v>-575180</v>
      </c>
      <c r="F81" s="762">
        <f>Input!$PV$19</f>
        <v>371121</v>
      </c>
      <c r="G81" s="762">
        <f>Input!$PW$19</f>
        <v>14018</v>
      </c>
      <c r="H81" s="762">
        <f>Input!$PX$19</f>
        <v>0</v>
      </c>
      <c r="I81" s="762">
        <f>Input!$PY$19</f>
        <v>117049</v>
      </c>
      <c r="J81" s="762">
        <f>Input!$PZ$19</f>
        <v>20848</v>
      </c>
      <c r="K81" s="762">
        <f>Input!$QA$19</f>
        <v>0</v>
      </c>
      <c r="L81" s="762">
        <f>Input!$QB$19</f>
        <v>0</v>
      </c>
      <c r="M81" s="723">
        <f>D81+E81+F81+G81+H81+I81+J81+K81+L81</f>
        <v>-52144</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Input!$QC$19</f>
        <v>0</v>
      </c>
      <c r="E82" s="762">
        <f>Input!$QD$19</f>
        <v>0</v>
      </c>
      <c r="F82" s="762">
        <f>Input!$QE$19</f>
        <v>0</v>
      </c>
      <c r="G82" s="762">
        <f>Input!$QF$19</f>
        <v>0</v>
      </c>
      <c r="H82" s="762">
        <f>Input!$QG$19</f>
        <v>0</v>
      </c>
      <c r="I82" s="762">
        <f>Input!$QH$19</f>
        <v>0</v>
      </c>
      <c r="J82" s="762">
        <f>Input!$QI$19</f>
        <v>0</v>
      </c>
      <c r="K82" s="762">
        <f>Input!$QJ$19</f>
        <v>0</v>
      </c>
      <c r="L82" s="762">
        <f>Input!$QK$19</f>
        <v>0</v>
      </c>
      <c r="M82" s="723">
        <f>D82+E82+F82+G82+H82+I82+J82+K82+L82</f>
        <v>0</v>
      </c>
      <c r="O82" s="492"/>
      <c r="P82" s="1218" t="str">
        <f>IF(M91&lt;0,"Footnote 11 is N/A - No Data Entry Required","Footnote 11")</f>
        <v>Footnote 11 is N/A - No Data Entry Required</v>
      </c>
      <c r="Q82" s="1219"/>
      <c r="R82" s="1219"/>
      <c r="S82" s="1220"/>
      <c r="T82" s="443"/>
      <c r="U82" s="443"/>
      <c r="V82" s="320"/>
      <c r="W82" s="320"/>
      <c r="X82" s="320"/>
      <c r="Y82" s="320"/>
      <c r="Z82" s="320"/>
      <c r="AA82" s="320"/>
      <c r="AB82" s="320"/>
    </row>
    <row r="83" spans="1:28" s="752" customFormat="1" ht="13.8" thickTop="1">
      <c r="A83" s="460">
        <v>66</v>
      </c>
      <c r="B83" s="752" t="s">
        <v>477</v>
      </c>
      <c r="D83" s="762">
        <f>Input!$QL$19</f>
        <v>0</v>
      </c>
      <c r="E83" s="762">
        <f>Input!$QM$19</f>
        <v>0</v>
      </c>
      <c r="F83" s="762">
        <f>Input!$QN$19</f>
        <v>0</v>
      </c>
      <c r="G83" s="762">
        <f>Input!$QO$19</f>
        <v>0</v>
      </c>
      <c r="H83" s="762">
        <f>Input!$QP$19</f>
        <v>0</v>
      </c>
      <c r="I83" s="762">
        <f>Input!$QQ$19</f>
        <v>0</v>
      </c>
      <c r="J83" s="762">
        <f>Input!$QR$19</f>
        <v>0</v>
      </c>
      <c r="K83" s="762">
        <f>Input!$QS$19</f>
        <v>0</v>
      </c>
      <c r="L83" s="762">
        <f>Input!$QT$19</f>
        <v>0</v>
      </c>
      <c r="M83" s="723">
        <f>D83+E83+F83+G83+H83+I83+J83+K83+L83</f>
        <v>0</v>
      </c>
      <c r="O83" s="723"/>
      <c r="P83" s="869" t="s">
        <v>678</v>
      </c>
      <c r="Q83" s="870"/>
      <c r="R83" s="871"/>
      <c r="S83" s="872" t="str">
        <f>IF(M91&lt;0,"N/A",M91)</f>
        <v>N/A</v>
      </c>
      <c r="T83" s="492"/>
      <c r="U83" s="443"/>
      <c r="V83" s="320"/>
      <c r="W83" s="320"/>
      <c r="X83" s="443"/>
      <c r="Y83" s="443"/>
      <c r="Z83" s="320"/>
      <c r="AA83" s="320"/>
      <c r="AB83" s="320"/>
    </row>
    <row r="84" spans="1:28" s="752" customFormat="1">
      <c r="A84" s="460">
        <v>67</v>
      </c>
      <c r="B84" s="858" t="s">
        <v>155</v>
      </c>
      <c r="C84" s="858"/>
      <c r="D84" s="769">
        <f t="shared" ref="D84:L84" si="18">SUM(D80:D83)</f>
        <v>0</v>
      </c>
      <c r="E84" s="769">
        <f t="shared" si="18"/>
        <v>-575180</v>
      </c>
      <c r="F84" s="769">
        <f t="shared" si="18"/>
        <v>371121</v>
      </c>
      <c r="G84" s="769">
        <f t="shared" si="18"/>
        <v>14018</v>
      </c>
      <c r="H84" s="769">
        <f t="shared" si="18"/>
        <v>0</v>
      </c>
      <c r="I84" s="769">
        <f t="shared" si="18"/>
        <v>117049</v>
      </c>
      <c r="J84" s="769">
        <f t="shared" si="18"/>
        <v>20848</v>
      </c>
      <c r="K84" s="769">
        <f t="shared" si="18"/>
        <v>0</v>
      </c>
      <c r="L84" s="769">
        <f t="shared" si="18"/>
        <v>0</v>
      </c>
      <c r="M84" s="769">
        <f>D84+E84+F84+G84+H84+I84+J84+K84+L84</f>
        <v>-52144</v>
      </c>
      <c r="O84" s="723"/>
      <c r="P84" s="873" t="s">
        <v>679</v>
      </c>
      <c r="Q84" s="492"/>
      <c r="R84" s="492"/>
      <c r="S84" s="874">
        <f>Input!$UY$19</f>
        <v>0</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t="str">
        <f>IF(M91&lt;0,"",S83-S84)</f>
        <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Input!$QU$19</f>
        <v>0</v>
      </c>
      <c r="E87" s="762">
        <f>Input!$QV$19</f>
        <v>0</v>
      </c>
      <c r="F87" s="762">
        <f>Input!$QW$19</f>
        <v>0</v>
      </c>
      <c r="G87" s="762">
        <f>Input!$QX$19</f>
        <v>0</v>
      </c>
      <c r="H87" s="762">
        <f>Input!$QY$19</f>
        <v>0</v>
      </c>
      <c r="I87" s="762">
        <f>Input!$QZ$19</f>
        <v>-36508</v>
      </c>
      <c r="J87" s="762">
        <f>Input!$RA$19</f>
        <v>0</v>
      </c>
      <c r="K87" s="762">
        <f>Input!$RB$19</f>
        <v>0</v>
      </c>
      <c r="L87" s="762">
        <f>Input!$RC$19</f>
        <v>0</v>
      </c>
      <c r="M87" s="723">
        <f>D87+E87+F87+G87+H87+I87+J87+K87+L87</f>
        <v>-36508</v>
      </c>
      <c r="O87" s="320"/>
      <c r="P87" s="873" t="s">
        <v>681</v>
      </c>
      <c r="Q87" s="320"/>
      <c r="R87" s="492"/>
      <c r="S87" s="878">
        <f>Input!$UZ$19</f>
        <v>0</v>
      </c>
      <c r="T87" s="320"/>
      <c r="U87" s="320"/>
      <c r="V87" s="320"/>
      <c r="W87" s="320"/>
      <c r="X87" s="443"/>
      <c r="Y87" s="443"/>
      <c r="Z87" s="320"/>
      <c r="AA87" s="320"/>
      <c r="AB87" s="320"/>
    </row>
    <row r="88" spans="1:28" s="752" customFormat="1">
      <c r="A88" s="460">
        <v>71</v>
      </c>
      <c r="B88" s="752" t="s">
        <v>480</v>
      </c>
      <c r="D88" s="762">
        <f>Input!$RD$19</f>
        <v>0</v>
      </c>
      <c r="E88" s="762">
        <f>Input!$RE$19</f>
        <v>0</v>
      </c>
      <c r="F88" s="762">
        <f>Input!$RF$19</f>
        <v>0</v>
      </c>
      <c r="G88" s="762">
        <f>Input!$RG$19</f>
        <v>0</v>
      </c>
      <c r="H88" s="762">
        <f>Input!$RH$19</f>
        <v>0</v>
      </c>
      <c r="I88" s="762">
        <f>Input!$RI$19</f>
        <v>76270</v>
      </c>
      <c r="J88" s="762">
        <f>Input!$RJ$19</f>
        <v>0</v>
      </c>
      <c r="K88" s="762">
        <f>Input!$RK$19</f>
        <v>0</v>
      </c>
      <c r="L88" s="762">
        <f>Input!$RL$19</f>
        <v>0</v>
      </c>
      <c r="M88" s="723">
        <f>D88+E88+F88+G88+H88+I88+J88+K88+L88</f>
        <v>76270</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0</v>
      </c>
      <c r="E89" s="769">
        <f t="shared" si="19"/>
        <v>0</v>
      </c>
      <c r="F89" s="769">
        <f t="shared" si="19"/>
        <v>0</v>
      </c>
      <c r="G89" s="769">
        <f t="shared" si="19"/>
        <v>0</v>
      </c>
      <c r="H89" s="769">
        <f t="shared" si="19"/>
        <v>0</v>
      </c>
      <c r="I89" s="769">
        <f t="shared" si="19"/>
        <v>39762</v>
      </c>
      <c r="J89" s="769">
        <f t="shared" si="19"/>
        <v>0</v>
      </c>
      <c r="K89" s="769">
        <f t="shared" si="19"/>
        <v>0</v>
      </c>
      <c r="L89" s="769">
        <f t="shared" si="19"/>
        <v>0</v>
      </c>
      <c r="M89" s="769">
        <f>D89+E89+F89+G89+H89+I89+J89+K89+L89</f>
        <v>39762</v>
      </c>
      <c r="O89" s="320"/>
      <c r="P89" s="873" t="s">
        <v>683</v>
      </c>
      <c r="Q89" s="320"/>
      <c r="R89" s="320"/>
      <c r="S89" s="875" t="str">
        <f>IFERROR(S85-S87,"")</f>
        <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0</v>
      </c>
      <c r="E91" s="769">
        <f t="shared" si="20"/>
        <v>-5851298</v>
      </c>
      <c r="F91" s="769">
        <f t="shared" si="20"/>
        <v>48462</v>
      </c>
      <c r="G91" s="769">
        <f t="shared" si="20"/>
        <v>321355</v>
      </c>
      <c r="H91" s="769">
        <f t="shared" si="20"/>
        <v>0</v>
      </c>
      <c r="I91" s="769">
        <f t="shared" si="20"/>
        <v>162265</v>
      </c>
      <c r="J91" s="769">
        <f t="shared" si="20"/>
        <v>20848</v>
      </c>
      <c r="K91" s="769">
        <f t="shared" si="20"/>
        <v>0</v>
      </c>
      <c r="L91" s="769">
        <f>L63-L77+L84+L89</f>
        <v>0</v>
      </c>
      <c r="M91" s="769">
        <f>D91+E91+F91+G91+H91+I91+J91+K91+L91</f>
        <v>-5298368</v>
      </c>
      <c r="O91" s="320"/>
      <c r="P91" s="881" t="s">
        <v>684</v>
      </c>
      <c r="Q91" s="882"/>
      <c r="R91" s="882"/>
      <c r="S91" s="883" t="str">
        <f>IFERROR((S89+S87)-S85,"")</f>
        <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Input!$RM$19</f>
        <v>0</v>
      </c>
      <c r="E93" s="762">
        <f>Input!$RN$19</f>
        <v>0</v>
      </c>
      <c r="F93" s="762">
        <f>Input!$RO$19</f>
        <v>0</v>
      </c>
      <c r="G93" s="762">
        <f>Input!$RP$19</f>
        <v>0</v>
      </c>
      <c r="H93" s="762">
        <f>Input!$RQ$19</f>
        <v>0</v>
      </c>
      <c r="I93" s="762">
        <f>Input!$RR$19</f>
        <v>0</v>
      </c>
      <c r="J93" s="762">
        <f>Input!$RS$19</f>
        <v>-441024</v>
      </c>
      <c r="K93" s="762">
        <f>Input!$RT$19</f>
        <v>0</v>
      </c>
      <c r="L93" s="762">
        <f>Input!$RU$19</f>
        <v>0</v>
      </c>
      <c r="M93" s="723">
        <f>D93+E93+F93+G93+H93+I93+J93+K93+L93</f>
        <v>-441024</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Input!$RV$19</f>
        <v>0</v>
      </c>
      <c r="E94" s="762">
        <f>Input!$RW$19</f>
        <v>0</v>
      </c>
      <c r="F94" s="762">
        <f>Input!$RX$19</f>
        <v>0</v>
      </c>
      <c r="G94" s="762">
        <f>Input!$RY$19</f>
        <v>0</v>
      </c>
      <c r="H94" s="762">
        <f>Input!$RZ$19</f>
        <v>0</v>
      </c>
      <c r="I94" s="762">
        <f>Input!$SA$19</f>
        <v>0</v>
      </c>
      <c r="J94" s="762">
        <f>Input!$SB$19</f>
        <v>0</v>
      </c>
      <c r="K94" s="762">
        <f>Input!$SC$19</f>
        <v>0</v>
      </c>
      <c r="L94" s="762">
        <f>Input!$SD$19</f>
        <v>0</v>
      </c>
      <c r="M94" s="723">
        <f>D94+E94+F94+G94+H94+I94+J94+K94+L94</f>
        <v>0</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Input!$SE$19</f>
        <v>0</v>
      </c>
      <c r="E95" s="762">
        <f>Input!$SF$19</f>
        <v>0</v>
      </c>
      <c r="F95" s="762">
        <f>Input!$SG$19</f>
        <v>0</v>
      </c>
      <c r="G95" s="762">
        <f>Input!$SH$19</f>
        <v>0</v>
      </c>
      <c r="H95" s="762">
        <f>Input!$SI$19</f>
        <v>0</v>
      </c>
      <c r="I95" s="762">
        <f>Input!$SJ$19</f>
        <v>0</v>
      </c>
      <c r="J95" s="762">
        <f>Input!$SK$19</f>
        <v>0</v>
      </c>
      <c r="K95" s="762">
        <f>Input!$SL$19</f>
        <v>0</v>
      </c>
      <c r="L95" s="762">
        <f>Input!$SM$19</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Input!$SN$19</f>
        <v>0</v>
      </c>
      <c r="E96" s="762">
        <f>Input!$SO$19</f>
        <v>0</v>
      </c>
      <c r="F96" s="762">
        <f>Input!$SP$19</f>
        <v>0</v>
      </c>
      <c r="G96" s="762">
        <f>Input!$SQ$19</f>
        <v>0</v>
      </c>
      <c r="H96" s="762">
        <f>Input!$SR$19</f>
        <v>0</v>
      </c>
      <c r="I96" s="762">
        <f>Input!$SS$19</f>
        <v>0</v>
      </c>
      <c r="J96" s="762">
        <f>Input!$ST$19</f>
        <v>0</v>
      </c>
      <c r="K96" s="762">
        <f>Input!$SU$19</f>
        <v>0</v>
      </c>
      <c r="L96" s="762">
        <f>Input!$SV$19</f>
        <v>0</v>
      </c>
      <c r="M96" s="723">
        <f>D96+E96+F96+G96+H96+I96+J96+K96+L96</f>
        <v>0</v>
      </c>
      <c r="O96" s="884"/>
      <c r="P96" s="320"/>
      <c r="Q96" s="320"/>
      <c r="R96" s="320"/>
      <c r="S96" s="320"/>
      <c r="Y96" s="320"/>
      <c r="Z96" s="320"/>
      <c r="AA96" s="320"/>
      <c r="AB96" s="320"/>
    </row>
    <row r="97" spans="1:28" s="752" customFormat="1">
      <c r="A97" s="460">
        <v>79</v>
      </c>
      <c r="B97" s="320" t="s">
        <v>486</v>
      </c>
      <c r="C97" s="320"/>
      <c r="D97" s="762">
        <f>Input!$SW$19</f>
        <v>0</v>
      </c>
      <c r="E97" s="762">
        <f>Input!$SX$19</f>
        <v>139443</v>
      </c>
      <c r="F97" s="762">
        <f>Input!$SY$19</f>
        <v>0</v>
      </c>
      <c r="G97" s="762">
        <f>Input!$SZ$19</f>
        <v>109604</v>
      </c>
      <c r="H97" s="762">
        <f>Input!$TA$19</f>
        <v>0</v>
      </c>
      <c r="I97" s="762">
        <f>Input!$TB$19</f>
        <v>0</v>
      </c>
      <c r="J97" s="762">
        <f>Input!$TC$19</f>
        <v>0</v>
      </c>
      <c r="K97" s="762">
        <f>Input!$TD$19</f>
        <v>0</v>
      </c>
      <c r="L97" s="762">
        <f>Input!$TE$19</f>
        <v>0</v>
      </c>
      <c r="M97" s="723">
        <f>D97+E97+F97+G97+H97+I97+J97+K97+L97</f>
        <v>249047</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0</v>
      </c>
      <c r="E98" s="886">
        <f t="shared" si="21"/>
        <v>-5711855</v>
      </c>
      <c r="F98" s="886">
        <f t="shared" si="21"/>
        <v>48462</v>
      </c>
      <c r="G98" s="886">
        <f t="shared" si="21"/>
        <v>430959</v>
      </c>
      <c r="H98" s="886">
        <f t="shared" si="21"/>
        <v>0</v>
      </c>
      <c r="I98" s="886">
        <f t="shared" si="21"/>
        <v>162265</v>
      </c>
      <c r="J98" s="886">
        <f t="shared" si="21"/>
        <v>-420176</v>
      </c>
      <c r="K98" s="886">
        <f t="shared" si="21"/>
        <v>0</v>
      </c>
      <c r="L98" s="886">
        <f t="shared" si="21"/>
        <v>0</v>
      </c>
      <c r="M98" s="886">
        <f>SUM(M91:M97)</f>
        <v>-5490345</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9" t="str">
        <f>Input!$VC$19</f>
        <v>Jennifer Jones</v>
      </c>
      <c r="Q103" s="1225"/>
      <c r="R103" s="1224" t="str">
        <f>Input!$VD$19</f>
        <v>936-294-3405</v>
      </c>
      <c r="S103" s="1225"/>
      <c r="T103" s="320"/>
      <c r="U103" s="1226" t="str">
        <f>HYPERLINK("Mailto:"&amp;Input!$VE$19,Input!$VE$19)</f>
        <v>jlj093@shsu.edu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Input!$TF$19</f>
        <v>-5490345</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IF($L$123&lt;&gt;Input!$F$19,"Out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0</v>
      </c>
      <c r="E110" s="723">
        <f>SUM($E$10:$E$14)+SUM($E$19:$E$28)+SUM($E$50)+$E$53+SUM($E$56:$E$61)+SUM($E$65:$E$76)+SUM($E$80:$E$83)+SUM($E$87:$E$88)+SUM($E$93:$E$97)+SUM($E$32:$E$41)+$E$47</f>
        <v>25423039</v>
      </c>
      <c r="F110" s="723">
        <f>SUM($F$10:$F$14)+SUM($F$19:$F$28)+SUM($F$50)+$F$53+SUM($F$56:$F$61)+SUM($F$65:$F$76)+SUM($F$80:$F$83)+SUM($F$87:$F$88)+SUM($F$93:$F$97)+SUM($F$32:$F$41)+$F$47</f>
        <v>1904990</v>
      </c>
      <c r="G110" s="723">
        <f>SUM($G$10:$G$14)+SUM($G$19:$G$28)+SUM($G$50)+$G$53+SUM($G$56:$G$61)+SUM($G$65:$G$76)+SUM($G$80:$G$83)+SUM($G$87:$G$88)+SUM($G$93:$G$97)+SUM($G$32:$G$41)+$G$47</f>
        <v>4326487</v>
      </c>
      <c r="H110" s="723">
        <f>SUM($H$10:$H$14)+SUM($H$19:$H$28)+SUM($H$50)+$H$53+SUM($H$56:$H$61)+SUM($H$65:$H$76)+SUM($H$80:$H$83)+SUM($H$87:$H$88)+SUM($H$93:$H$97)+SUM($H$32:$H$41)+$H$47</f>
        <v>0</v>
      </c>
      <c r="I110" s="723">
        <f>SUM($I$10:$I$14)+SUM($I$19:$I$28)+SUM($I$50)+$I$53+SUM($I$56:$I$61)+SUM($I$65:$I$76)+SUM($I$80:$I$83)+SUM($I$87:$I$88)+SUM($I$93:$I$97)+SUM($I$32:$I$41)+$I$47</f>
        <v>162265</v>
      </c>
      <c r="J110" s="723">
        <f>SUM($J$10:$J$14)+SUM($J$19:$J$28)+SUM($J$50)+$J$53+SUM($J$56:$J$61)+SUM($J$65:$J$76)+SUM($J$80:$J$83)+SUM($J$87:$J$88)+SUM($J$93:$J$97)+SUM($J$32:$J$41)+$J$47</f>
        <v>-420176</v>
      </c>
      <c r="K110" s="723">
        <f>SUM($K$10:$K$14)+SUM($K$19:$K$28)+SUM($K$50)+$K$53+SUM($K$56:$K$61)+SUM($K$65:$K$76)+SUM($K$80:$K$83)+SUM($K$87:$K$88)+SUM($K$93:$K$97)+SUM($K$32:$K$41)+$K$47</f>
        <v>0</v>
      </c>
      <c r="L110" s="723">
        <f>SUM($L$10:$L$14)+SUM($L$19:$L$28)+SUM($L$50)+$L$53+SUM($L$56:$L$61)+SUM($L$65:$L$76)+SUM($L$80:$L$83)+SUM($L$87:$L$88)+SUM($L$93:$L$97)+SUM($L$32:$L$41)+$L$47</f>
        <v>0</v>
      </c>
    </row>
    <row r="111" spans="1:28" s="320" customFormat="1">
      <c r="A111" s="322"/>
      <c r="L111" s="723">
        <f>SUM($D$110:$L$110)</f>
        <v>31396605</v>
      </c>
    </row>
    <row r="112" spans="1:28" s="320" customFormat="1">
      <c r="A112" s="322"/>
      <c r="J112" s="320" t="s">
        <v>690</v>
      </c>
      <c r="L112" s="723">
        <f>$M$105</f>
        <v>-5490345</v>
      </c>
    </row>
    <row r="113" spans="1:12" s="320" customFormat="1">
      <c r="A113" s="322"/>
      <c r="J113" s="320" t="s">
        <v>691</v>
      </c>
      <c r="L113" s="492">
        <f>$Q$32</f>
        <v>10092500</v>
      </c>
    </row>
    <row r="114" spans="1:12" s="320" customFormat="1">
      <c r="A114" s="322"/>
      <c r="J114" s="320" t="s">
        <v>691</v>
      </c>
      <c r="L114" s="492">
        <f>$R$34</f>
        <v>0</v>
      </c>
    </row>
    <row r="115" spans="1:12" s="320" customFormat="1">
      <c r="A115" s="322"/>
      <c r="J115" s="320" t="s">
        <v>521</v>
      </c>
      <c r="L115" s="492">
        <f>SUM($P$65:$P$74)</f>
        <v>249047</v>
      </c>
    </row>
    <row r="116" spans="1:12" s="320" customFormat="1">
      <c r="A116" s="322"/>
      <c r="J116" s="320" t="s">
        <v>692</v>
      </c>
      <c r="L116" s="492">
        <f>$S$76+$S$77</f>
        <v>2533705</v>
      </c>
    </row>
    <row r="117" spans="1:12" s="320" customFormat="1">
      <c r="A117" s="322"/>
      <c r="J117" s="320" t="s">
        <v>693</v>
      </c>
      <c r="L117" s="492">
        <f>SUM($Q$65:$Q$73)</f>
        <v>0</v>
      </c>
    </row>
    <row r="118" spans="1:12" s="320" customFormat="1">
      <c r="A118" s="322"/>
      <c r="J118" s="320" t="s">
        <v>694</v>
      </c>
      <c r="L118" s="492">
        <f>SUM($R$65:$R$73)</f>
        <v>0</v>
      </c>
    </row>
    <row r="119" spans="1:12" s="320" customFormat="1">
      <c r="A119" s="322"/>
      <c r="J119" s="320" t="s">
        <v>695</v>
      </c>
      <c r="L119" s="492">
        <f>SUM($X$65:$X$74)</f>
        <v>18194428</v>
      </c>
    </row>
    <row r="120" spans="1:12" s="320" customFormat="1">
      <c r="A120" s="322"/>
      <c r="J120" s="320" t="s">
        <v>696</v>
      </c>
      <c r="L120" s="492">
        <f>$S$84</f>
        <v>0</v>
      </c>
    </row>
    <row r="121" spans="1:12" s="320" customFormat="1">
      <c r="A121" s="322"/>
      <c r="J121" s="320" t="s">
        <v>696</v>
      </c>
      <c r="L121" s="492">
        <f>$S$87</f>
        <v>0</v>
      </c>
    </row>
    <row r="122" spans="1:12" s="320" customFormat="1">
      <c r="A122" s="322"/>
      <c r="J122" s="320" t="s">
        <v>697</v>
      </c>
      <c r="L122" s="443">
        <f>VLOOKUP(B2,Names!$B$10:$C$96,2,FALSE)</f>
        <v>103606</v>
      </c>
    </row>
    <row r="123" spans="1:12" s="320" customFormat="1">
      <c r="A123" s="322"/>
      <c r="L123" s="898">
        <f>SUM($L$111:$L$122)</f>
        <v>57079546</v>
      </c>
    </row>
    <row r="128" spans="1:12">
      <c r="L128" s="724"/>
    </row>
  </sheetData>
  <mergeCells count="27">
    <mergeCell ref="P105:V106"/>
    <mergeCell ref="G64:K64"/>
    <mergeCell ref="Q76:R76"/>
    <mergeCell ref="P100:V100"/>
    <mergeCell ref="P103:Q103"/>
    <mergeCell ref="R103:S103"/>
    <mergeCell ref="U103:V103"/>
    <mergeCell ref="P82:S82"/>
    <mergeCell ref="O19:S19"/>
    <mergeCell ref="U19:Y19"/>
    <mergeCell ref="O60:S60"/>
    <mergeCell ref="W60:Y60"/>
    <mergeCell ref="O61:O64"/>
    <mergeCell ref="P61:P64"/>
    <mergeCell ref="Q61:Q64"/>
    <mergeCell ref="R61:R64"/>
    <mergeCell ref="S61:S64"/>
    <mergeCell ref="U61:U64"/>
    <mergeCell ref="W61:W64"/>
    <mergeCell ref="X61:X64"/>
    <mergeCell ref="Y61:Y64"/>
    <mergeCell ref="P10:P11"/>
    <mergeCell ref="B2:F2"/>
    <mergeCell ref="B3:F3"/>
    <mergeCell ref="B4:F4"/>
    <mergeCell ref="P4:Q4"/>
    <mergeCell ref="B6:M6"/>
  </mergeCells>
  <conditionalFormatting sqref="D98:L98">
    <cfRule type="cellIs" dxfId="80" priority="15" stopIfTrue="1" operator="notEqual">
      <formula>#REF!</formula>
    </cfRule>
  </conditionalFormatting>
  <conditionalFormatting sqref="D99:M99">
    <cfRule type="cellIs" dxfId="79" priority="21" stopIfTrue="1" operator="notEqual">
      <formula>#REF!</formula>
    </cfRule>
  </conditionalFormatting>
  <conditionalFormatting sqref="G64:K64">
    <cfRule type="expression" dxfId="78" priority="14">
      <formula>$R$98&lt;&gt;0</formula>
    </cfRule>
    <cfRule type="expression" dxfId="77" priority="37">
      <formula>$T$93&gt;0</formula>
    </cfRule>
  </conditionalFormatting>
  <conditionalFormatting sqref="M15">
    <cfRule type="cellIs" dxfId="76" priority="16" stopIfTrue="1" operator="notEqual">
      <formula>SUM($M$10:$M$14)</formula>
    </cfRule>
  </conditionalFormatting>
  <conditionalFormatting sqref="M62">
    <cfRule type="cellIs" dxfId="75" priority="17" stopIfTrue="1" operator="notEqual">
      <formula>SUM($M$56:$M$61)</formula>
    </cfRule>
  </conditionalFormatting>
  <conditionalFormatting sqref="M77">
    <cfRule type="cellIs" dxfId="74" priority="20" stopIfTrue="1" operator="notEqual">
      <formula>SUM($M$65:$M$76)</formula>
    </cfRule>
  </conditionalFormatting>
  <conditionalFormatting sqref="M84">
    <cfRule type="cellIs" dxfId="73" priority="18" stopIfTrue="1" operator="notEqual">
      <formula>SUM($M$80:$M$83)</formula>
    </cfRule>
  </conditionalFormatting>
  <conditionalFormatting sqref="M89">
    <cfRule type="cellIs" dxfId="72" priority="19" stopIfTrue="1" operator="notEqual">
      <formula>SUM($M$87:$M$88)</formula>
    </cfRule>
  </conditionalFormatting>
  <conditionalFormatting sqref="O12">
    <cfRule type="expression" dxfId="71" priority="11">
      <formula>$Q$12&lt;&gt;$N$12</formula>
    </cfRule>
    <cfRule type="expression" dxfId="70" priority="56">
      <formula>$P$12&lt;&gt;$M$12</formula>
    </cfRule>
  </conditionalFormatting>
  <conditionalFormatting sqref="O13">
    <cfRule type="expression" dxfId="69" priority="12">
      <formula>$Q$13&lt;&gt;$N$13</formula>
    </cfRule>
    <cfRule type="expression" dxfId="68" priority="57">
      <formula>$P$13&lt;&gt;$M$13</formula>
    </cfRule>
  </conditionalFormatting>
  <conditionalFormatting sqref="O11:P11">
    <cfRule type="expression" dxfId="67" priority="13">
      <formula>#REF!&lt;&gt;$N$11</formula>
    </cfRule>
  </conditionalFormatting>
  <conditionalFormatting sqref="P76">
    <cfRule type="expression" dxfId="66" priority="5">
      <formula>$P$75&lt;&gt;$M$75</formula>
    </cfRule>
  </conditionalFormatting>
  <conditionalFormatting sqref="P94:P101 Q100:R100 U100:V100 S100:T102 U101 R102 S105:U106">
    <cfRule type="cellIs" dxfId="65" priority="6" stopIfTrue="1" operator="notEqual">
      <formula>#REF!</formula>
    </cfRule>
  </conditionalFormatting>
  <conditionalFormatting sqref="Q35">
    <cfRule type="expression" dxfId="64" priority="1">
      <formula>#REF!&lt;&gt;0</formula>
    </cfRule>
  </conditionalFormatting>
  <conditionalFormatting sqref="Q93:Q100 U93:W100 T95:T102 R99:S102 O93:O100 R95:R97 S95:S98 X95:AB102">
    <cfRule type="cellIs" dxfId="63" priority="38" stopIfTrue="1" operator="notEqual">
      <formula>#REF!</formula>
    </cfRule>
  </conditionalFormatting>
  <conditionalFormatting sqref="Q36:R36">
    <cfRule type="expression" dxfId="62" priority="3">
      <formula>#REF!&lt;&gt;#REF!</formula>
    </cfRule>
  </conditionalFormatting>
  <conditionalFormatting sqref="R35">
    <cfRule type="expression" dxfId="61" priority="2">
      <formula>#REF!&lt;&gt;0</formula>
    </cfRule>
  </conditionalFormatting>
  <conditionalFormatting sqref="S84 S87">
    <cfRule type="expression" dxfId="60" priority="7" stopIfTrue="1">
      <formula>$M$91&gt;=0</formula>
    </cfRule>
    <cfRule type="expression" priority="8">
      <formula>$M$91&lt;0</formula>
    </cfRule>
    <cfRule type="expression" dxfId="59" priority="29" stopIfTrue="1">
      <formula>$M$91&gt;=0</formula>
    </cfRule>
    <cfRule type="expression" priority="30">
      <formula>$M$91&lt;0</formula>
    </cfRule>
    <cfRule type="expression" dxfId="58" priority="52" stopIfTrue="1">
      <formula>$N$91&gt;=0</formula>
    </cfRule>
    <cfRule type="expression" priority="53">
      <formula>$N$91&lt;0</formula>
    </cfRule>
  </conditionalFormatting>
  <conditionalFormatting sqref="S91">
    <cfRule type="expression" priority="9" stopIfTrue="1">
      <formula>$N$91&lt;0</formula>
    </cfRule>
    <cfRule type="expression" dxfId="57" priority="10">
      <formula>$T$91&lt;&gt;0</formula>
    </cfRule>
    <cfRule type="expression" priority="31" stopIfTrue="1">
      <formula>$N$91&lt;0</formula>
    </cfRule>
    <cfRule type="expression" dxfId="56" priority="32">
      <formula>$T$91&lt;&gt;0</formula>
    </cfRule>
    <cfRule type="expression" priority="54" stopIfTrue="1">
      <formula>$N$91&lt;0</formula>
    </cfRule>
    <cfRule type="expression" dxfId="55" priority="55">
      <formula>$T$91&lt;&gt;0</formula>
    </cfRule>
  </conditionalFormatting>
  <conditionalFormatting sqref="Y78">
    <cfRule type="expression" dxfId="54" priority="4">
      <formula>$Y$77&lt;&gt;0</formula>
    </cfRule>
  </conditionalFormatting>
  <hyperlinks>
    <hyperlink ref="O2" location="Index!A1" display="Return to Index" xr:uid="{00000000-0004-0000-4C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1"/>
    <pageSetUpPr fitToPage="1"/>
  </sheetPr>
  <dimension ref="A1:AB779"/>
  <sheetViews>
    <sheetView showGridLines="0" zoomScale="80" zoomScaleNormal="80" workbookViewId="0">
      <pane xSplit="7" ySplit="9" topLeftCell="H63" activePane="bottomRight" state="frozen"/>
      <selection pane="topRight" activeCell="D38" sqref="D38"/>
      <selection pane="bottomLeft" activeCell="D38" sqref="D38"/>
      <selection pane="bottomRight" activeCell="J64" sqref="J64"/>
    </sheetView>
  </sheetViews>
  <sheetFormatPr defaultColWidth="9.109375" defaultRowHeight="13.2" outlineLevelRow="1"/>
  <cols>
    <col min="1" max="1" width="7.33203125" style="10" customWidth="1"/>
    <col min="2" max="2" width="6" style="10" customWidth="1"/>
    <col min="3" max="3" width="7.88671875" style="10" customWidth="1"/>
    <col min="4" max="4" width="36.5546875" style="7" customWidth="1"/>
    <col min="5" max="5" width="10.33203125" style="7" customWidth="1"/>
    <col min="6" max="6" width="12" style="7" customWidth="1"/>
    <col min="7" max="7" width="13.33203125" style="7" customWidth="1"/>
    <col min="8" max="11" width="14" style="7" customWidth="1"/>
    <col min="12" max="12" width="17.5546875" style="149" customWidth="1"/>
    <col min="13" max="13" width="15.5546875" style="149" customWidth="1"/>
    <col min="14" max="14" width="18.44140625" style="149" customWidth="1"/>
    <col min="15" max="15" width="13.33203125" style="149" hidden="1" customWidth="1"/>
    <col min="16" max="16" width="12.88671875" style="149" hidden="1" customWidth="1"/>
    <col min="17" max="17" width="16.88671875" style="157" hidden="1" customWidth="1"/>
    <col min="18" max="22" width="12.109375" style="149" hidden="1" customWidth="1"/>
    <col min="23" max="23" width="7.33203125" style="7" customWidth="1"/>
    <col min="24" max="24" width="12.88671875" style="7" customWidth="1"/>
    <col min="25" max="25" width="4" style="7" customWidth="1"/>
    <col min="26" max="26" width="19.44140625" style="7" customWidth="1"/>
    <col min="27" max="27" width="16.5546875" style="7" customWidth="1"/>
    <col min="28" max="28" width="26.88671875" style="7" customWidth="1"/>
    <col min="29" max="16384" width="9.109375" style="7"/>
  </cols>
  <sheetData>
    <row r="1" spans="1:28" ht="13.8" thickBot="1">
      <c r="H1" s="16" t="s">
        <v>82</v>
      </c>
      <c r="L1" s="16"/>
      <c r="M1" s="16"/>
      <c r="N1" s="162" t="s">
        <v>51</v>
      </c>
      <c r="O1" s="15"/>
      <c r="P1" s="15"/>
      <c r="Q1" s="14"/>
      <c r="R1" s="15"/>
      <c r="S1" s="15"/>
      <c r="T1" s="15"/>
      <c r="U1" s="15"/>
      <c r="V1" s="162" t="s">
        <v>51</v>
      </c>
    </row>
    <row r="2" spans="1:28">
      <c r="H2" s="16" t="s">
        <v>433</v>
      </c>
      <c r="L2" s="16"/>
      <c r="M2" s="16"/>
      <c r="N2" s="15"/>
      <c r="O2" s="15"/>
      <c r="P2" s="15"/>
      <c r="Q2" s="14"/>
      <c r="R2" s="15"/>
      <c r="S2" s="15"/>
      <c r="T2" s="15"/>
      <c r="U2" s="15"/>
      <c r="V2" s="15"/>
    </row>
    <row r="3" spans="1:28">
      <c r="A3" s="109" t="s">
        <v>434</v>
      </c>
      <c r="H3" s="264">
        <v>45008</v>
      </c>
      <c r="L3" s="16"/>
      <c r="M3" s="16"/>
      <c r="N3" s="15"/>
      <c r="O3" s="15"/>
      <c r="P3" s="15"/>
      <c r="Q3" s="14"/>
      <c r="R3" s="15"/>
      <c r="S3" s="15"/>
      <c r="T3" s="15"/>
      <c r="U3" s="15"/>
      <c r="V3" s="15"/>
    </row>
    <row r="4" spans="1:28">
      <c r="E4" s="10">
        <v>2022</v>
      </c>
      <c r="L4" s="15"/>
      <c r="M4" s="15"/>
      <c r="N4" s="15"/>
      <c r="O4" s="1123" t="s">
        <v>394</v>
      </c>
      <c r="P4" s="1124"/>
      <c r="Q4" s="1124"/>
      <c r="R4" s="1124"/>
      <c r="S4" s="1124"/>
      <c r="T4" s="1124"/>
      <c r="U4" s="1124"/>
      <c r="V4" s="1125"/>
    </row>
    <row r="5" spans="1:28">
      <c r="D5" s="7" t="s">
        <v>421</v>
      </c>
      <c r="G5" s="10"/>
      <c r="H5" s="1126" t="s">
        <v>435</v>
      </c>
      <c r="I5" s="1127"/>
      <c r="J5" s="1127"/>
      <c r="K5" s="1127"/>
      <c r="L5" s="1128"/>
      <c r="M5" s="16"/>
      <c r="N5" s="15"/>
      <c r="O5" s="1129"/>
      <c r="P5" s="1129"/>
      <c r="Q5" s="1129"/>
      <c r="R5" s="1129"/>
      <c r="S5" s="1129"/>
      <c r="T5" s="1129"/>
      <c r="U5" s="1129"/>
      <c r="V5" s="1129"/>
    </row>
    <row r="6" spans="1:28">
      <c r="D6" s="7" t="s">
        <v>436</v>
      </c>
      <c r="E6" s="10"/>
      <c r="F6" s="10"/>
      <c r="G6" s="10"/>
      <c r="H6" s="221">
        <v>1</v>
      </c>
      <c r="I6" s="221">
        <v>2</v>
      </c>
      <c r="J6" s="221">
        <v>3</v>
      </c>
      <c r="K6" s="221">
        <v>4</v>
      </c>
      <c r="L6" s="221">
        <v>5</v>
      </c>
      <c r="M6" s="14"/>
      <c r="N6" s="14"/>
      <c r="O6" s="14"/>
      <c r="P6" s="14"/>
      <c r="Q6" s="14"/>
      <c r="R6" s="14"/>
      <c r="S6" s="14"/>
      <c r="T6" s="15"/>
      <c r="U6" s="7"/>
      <c r="V6" s="7"/>
    </row>
    <row r="7" spans="1:28">
      <c r="A7" s="7"/>
      <c r="G7" s="10"/>
      <c r="H7" s="10"/>
      <c r="I7" s="10"/>
      <c r="J7" s="10"/>
      <c r="K7" s="10"/>
      <c r="L7" s="14"/>
      <c r="M7" s="14"/>
      <c r="N7" s="14"/>
      <c r="O7" s="14"/>
      <c r="P7" s="14"/>
      <c r="Q7" s="14"/>
      <c r="R7" s="14"/>
      <c r="S7" s="15"/>
      <c r="T7" s="15"/>
      <c r="U7" s="15"/>
      <c r="V7" s="15"/>
    </row>
    <row r="8" spans="1:28" s="142" customFormat="1" ht="48.6" thickBot="1">
      <c r="A8" s="151" t="s">
        <v>227</v>
      </c>
      <c r="B8" s="1122" t="s">
        <v>321</v>
      </c>
      <c r="C8" s="1122"/>
      <c r="D8" s="116" t="s">
        <v>322</v>
      </c>
      <c r="E8" s="216" t="s">
        <v>437</v>
      </c>
      <c r="F8" s="216" t="s">
        <v>425</v>
      </c>
      <c r="G8" s="222" t="s">
        <v>99</v>
      </c>
      <c r="H8" s="223" t="s">
        <v>438</v>
      </c>
      <c r="I8" s="223" t="s">
        <v>439</v>
      </c>
      <c r="J8" s="223" t="s">
        <v>440</v>
      </c>
      <c r="K8" s="223" t="s">
        <v>441</v>
      </c>
      <c r="L8" s="223" t="s">
        <v>442</v>
      </c>
      <c r="M8" s="217"/>
      <c r="N8" s="217" t="s">
        <v>443</v>
      </c>
      <c r="O8" s="217"/>
      <c r="P8" s="217"/>
      <c r="Q8" s="217"/>
      <c r="R8" s="217"/>
      <c r="S8" s="217"/>
      <c r="T8" s="217"/>
      <c r="U8" s="217"/>
      <c r="V8" s="217"/>
      <c r="W8" s="117"/>
      <c r="X8" s="117" t="s">
        <v>105</v>
      </c>
      <c r="Y8" s="164"/>
      <c r="Z8" s="7"/>
      <c r="AA8" s="7"/>
      <c r="AB8" s="7"/>
    </row>
    <row r="9" spans="1:28" ht="26.4">
      <c r="A9" s="7"/>
      <c r="D9" s="172"/>
      <c r="E9" s="218" t="s">
        <v>437</v>
      </c>
      <c r="F9" s="218" t="s">
        <v>425</v>
      </c>
      <c r="G9" s="10" t="s">
        <v>56</v>
      </c>
      <c r="H9" s="224" t="s">
        <v>444</v>
      </c>
      <c r="I9" s="225" t="s">
        <v>445</v>
      </c>
      <c r="J9" s="225" t="s">
        <v>446</v>
      </c>
      <c r="K9" s="225" t="s">
        <v>447</v>
      </c>
      <c r="L9" s="226" t="s">
        <v>448</v>
      </c>
      <c r="M9" s="210"/>
      <c r="N9" s="210" t="s">
        <v>406</v>
      </c>
      <c r="O9" s="210" t="s">
        <v>407</v>
      </c>
      <c r="P9" s="210" t="s">
        <v>408</v>
      </c>
      <c r="Q9" s="210" t="s">
        <v>409</v>
      </c>
      <c r="R9" s="210" t="s">
        <v>410</v>
      </c>
      <c r="S9" s="210" t="s">
        <v>411</v>
      </c>
      <c r="T9" s="210" t="s">
        <v>412</v>
      </c>
      <c r="U9" s="210" t="s">
        <v>413</v>
      </c>
      <c r="V9" s="227" t="s">
        <v>414</v>
      </c>
      <c r="W9" s="219"/>
      <c r="X9" s="228"/>
      <c r="Z9" s="48"/>
      <c r="AA9" s="48"/>
      <c r="AB9" s="48"/>
    </row>
    <row r="10" spans="1:28" ht="15">
      <c r="A10" s="10">
        <v>390</v>
      </c>
      <c r="B10" s="139"/>
      <c r="D10" s="25" t="s">
        <v>112</v>
      </c>
      <c r="E10" s="137">
        <f t="shared" ref="E10:E23" si="0">$E$4</f>
        <v>2022</v>
      </c>
      <c r="F10" s="220" t="s">
        <v>427</v>
      </c>
      <c r="G10" s="190">
        <v>30</v>
      </c>
      <c r="H10" s="182">
        <f>'SWM Sum'!$I$42</f>
        <v>539995</v>
      </c>
      <c r="I10" s="183">
        <f>'SWM Sum'!$I$46</f>
        <v>35225</v>
      </c>
      <c r="J10" s="183">
        <f>'SWM Sum'!$I$48</f>
        <v>43420</v>
      </c>
      <c r="K10" s="183">
        <f>'SWM Sum'!$I$53</f>
        <v>266392</v>
      </c>
      <c r="L10" s="183">
        <f>'SWM Sum'!$I$55</f>
        <v>885033</v>
      </c>
      <c r="M10" s="229"/>
      <c r="N10" s="229">
        <f>'SWM Sum'!$I$57</f>
        <v>708107</v>
      </c>
      <c r="O10" s="230"/>
      <c r="P10" s="230"/>
      <c r="Q10" s="231"/>
      <c r="R10" s="230"/>
      <c r="S10" s="230"/>
      <c r="T10" s="231"/>
      <c r="U10" s="231"/>
      <c r="V10" s="240"/>
      <c r="W10" s="176"/>
      <c r="X10" s="177">
        <f>'SWM Sum'!$C$6</f>
        <v>2301.35</v>
      </c>
      <c r="Z10" s="48"/>
      <c r="AA10" s="48"/>
      <c r="AB10" s="48"/>
    </row>
    <row r="11" spans="1:28" ht="15">
      <c r="A11" s="10">
        <v>420</v>
      </c>
      <c r="B11" s="139"/>
      <c r="C11" s="7"/>
      <c r="D11" s="25" t="s">
        <v>114</v>
      </c>
      <c r="E11" s="137">
        <f t="shared" si="0"/>
        <v>2022</v>
      </c>
      <c r="F11" s="137" t="s">
        <v>427</v>
      </c>
      <c r="G11" s="190">
        <v>40</v>
      </c>
      <c r="H11" s="182">
        <f>'HSSA Sum'!$I$42</f>
        <v>112619</v>
      </c>
      <c r="I11" s="183">
        <f>'HSSA Sum'!$I$46</f>
        <v>13576</v>
      </c>
      <c r="J11" s="183">
        <f>'HSSA Sum'!$I$48</f>
        <v>16041</v>
      </c>
      <c r="K11" s="183">
        <f>'HSSA Sum'!$I$53</f>
        <v>62935</v>
      </c>
      <c r="L11" s="183">
        <f>'HSSA Sum'!$I$55</f>
        <v>205171</v>
      </c>
      <c r="M11" s="229"/>
      <c r="N11" s="229">
        <f>'HSSA Sum'!$I$57</f>
        <v>507982</v>
      </c>
      <c r="O11" s="230"/>
      <c r="P11" s="230"/>
      <c r="Q11" s="231"/>
      <c r="R11" s="230"/>
      <c r="S11" s="230"/>
      <c r="T11" s="230"/>
      <c r="U11" s="231"/>
      <c r="V11" s="240"/>
      <c r="W11" s="177"/>
      <c r="X11" s="177">
        <f>'HSSA Sum'!$C$6</f>
        <v>3971.78</v>
      </c>
      <c r="Z11" s="13"/>
      <c r="AA11" s="13"/>
      <c r="AB11" s="13"/>
    </row>
    <row r="12" spans="1:28" ht="15">
      <c r="A12" s="10">
        <v>450</v>
      </c>
      <c r="B12" s="139"/>
      <c r="C12" s="7"/>
      <c r="D12" s="25" t="s">
        <v>116</v>
      </c>
      <c r="E12" s="137">
        <f t="shared" si="0"/>
        <v>2022</v>
      </c>
      <c r="F12" s="137" t="s">
        <v>427</v>
      </c>
      <c r="G12" s="190">
        <v>89</v>
      </c>
      <c r="H12" s="182">
        <f>'TAMHSC Sum'!$I$42</f>
        <v>34856</v>
      </c>
      <c r="I12" s="183">
        <f>'TAMHSC Sum'!$I$46</f>
        <v>10653</v>
      </c>
      <c r="J12" s="183">
        <f>'TAMHSC Sum'!$I$48</f>
        <v>3143</v>
      </c>
      <c r="K12" s="183">
        <f>'TAMHSC Sum'!$I$53</f>
        <v>41361</v>
      </c>
      <c r="L12" s="183">
        <f>'TAMHSC Sum'!$I$55</f>
        <v>90013</v>
      </c>
      <c r="M12" s="229"/>
      <c r="N12" s="229">
        <f>'TAMHSC Sum'!$I$57</f>
        <v>539071</v>
      </c>
      <c r="O12" s="230"/>
      <c r="P12" s="230"/>
      <c r="Q12" s="231"/>
      <c r="R12" s="230"/>
      <c r="S12" s="230"/>
      <c r="T12" s="230"/>
      <c r="U12" s="230"/>
      <c r="V12" s="232"/>
      <c r="W12" s="177"/>
      <c r="X12" s="177">
        <f>'TAMHSC Sum'!$C$6</f>
        <v>3607.6499999999996</v>
      </c>
      <c r="Z12" s="13"/>
      <c r="AA12" s="13"/>
      <c r="AB12" s="13"/>
    </row>
    <row r="13" spans="1:28" ht="15">
      <c r="A13" s="10">
        <v>460</v>
      </c>
      <c r="B13" s="203"/>
      <c r="C13" s="7"/>
      <c r="D13" s="25" t="s">
        <v>415</v>
      </c>
      <c r="E13" s="137">
        <f t="shared" si="0"/>
        <v>2022</v>
      </c>
      <c r="F13" s="137" t="s">
        <v>427</v>
      </c>
      <c r="G13" s="190">
        <v>130</v>
      </c>
      <c r="H13" s="182">
        <f>'UNTHS1 Sum'!$I$42</f>
        <v>26616</v>
      </c>
      <c r="I13" s="183">
        <f>'UNTHS1 Sum'!$I$46</f>
        <v>9172</v>
      </c>
      <c r="J13" s="183">
        <f>'UNTHS1 Sum'!$I$48</f>
        <v>7315</v>
      </c>
      <c r="K13" s="183">
        <f>'UNTHS1 Sum'!$I$53</f>
        <v>28944</v>
      </c>
      <c r="L13" s="183">
        <f>'UNTHS1 Sum'!$I$55</f>
        <v>72047</v>
      </c>
      <c r="M13" s="229"/>
      <c r="N13" s="229">
        <f>'UNTHS1 Sum'!$I$57</f>
        <v>694557</v>
      </c>
      <c r="O13" s="230"/>
      <c r="P13" s="230"/>
      <c r="Q13" s="231"/>
      <c r="R13" s="230"/>
      <c r="S13" s="230"/>
      <c r="T13" s="231"/>
      <c r="U13" s="230"/>
      <c r="V13" s="240"/>
      <c r="W13" s="177"/>
      <c r="X13" s="177">
        <f>'UNTHS1 Sum'!$C$6</f>
        <v>2988.4</v>
      </c>
      <c r="Z13" s="13"/>
      <c r="AA13" s="13"/>
      <c r="AB13" s="13"/>
    </row>
    <row r="14" spans="1:28" ht="15">
      <c r="A14" s="10">
        <v>470</v>
      </c>
      <c r="B14" s="139"/>
      <c r="C14" s="7"/>
      <c r="D14" s="25" t="s">
        <v>123</v>
      </c>
      <c r="E14" s="137">
        <f t="shared" si="0"/>
        <v>2022</v>
      </c>
      <c r="F14" s="137" t="s">
        <v>427</v>
      </c>
      <c r="G14" s="190">
        <v>412</v>
      </c>
      <c r="H14" s="182">
        <f>'TTUHSC Sum'!$I$42</f>
        <v>37804</v>
      </c>
      <c r="I14" s="183">
        <f>'TTUHSC Sum'!$I$46</f>
        <v>22027</v>
      </c>
      <c r="J14" s="183">
        <f>'TTUHSC Sum'!$I$48</f>
        <v>5700</v>
      </c>
      <c r="K14" s="183">
        <f>'TTUHSC Sum'!$I$53</f>
        <v>19188</v>
      </c>
      <c r="L14" s="183">
        <f>'TTUHSC Sum'!$I$55</f>
        <v>84719</v>
      </c>
      <c r="M14" s="229"/>
      <c r="N14" s="229">
        <f>'TTUHSC Sum'!$I$57</f>
        <v>642855</v>
      </c>
      <c r="O14" s="230"/>
      <c r="P14" s="230"/>
      <c r="Q14" s="231"/>
      <c r="R14" s="230"/>
      <c r="S14" s="230"/>
      <c r="T14" s="230"/>
      <c r="U14" s="231"/>
      <c r="V14" s="232"/>
      <c r="W14" s="177"/>
      <c r="X14" s="177">
        <f>'TTUHSC Sum'!$C$6</f>
        <v>6016.07</v>
      </c>
      <c r="Z14" s="13"/>
      <c r="AA14" s="13"/>
      <c r="AB14" s="13"/>
    </row>
    <row r="15" spans="1:28" ht="15">
      <c r="A15" s="10">
        <v>480</v>
      </c>
      <c r="B15" s="139"/>
      <c r="C15" s="7"/>
      <c r="D15" s="25" t="s">
        <v>243</v>
      </c>
      <c r="E15" s="137">
        <f t="shared" si="0"/>
        <v>2022</v>
      </c>
      <c r="F15" s="137" t="s">
        <v>427</v>
      </c>
      <c r="G15" s="190">
        <v>862</v>
      </c>
      <c r="H15" s="182">
        <f>'TTUHSCEP Sum'!$I$42</f>
        <v>146796</v>
      </c>
      <c r="I15" s="183">
        <f>'TTUHSCEP Sum'!$I$46</f>
        <v>69485</v>
      </c>
      <c r="J15" s="183">
        <f>'TTUHSCEP Sum'!$I$48</f>
        <v>22328</v>
      </c>
      <c r="K15" s="183">
        <f>'TTUHSCEP Sum'!$I$53</f>
        <v>47047</v>
      </c>
      <c r="L15" s="183">
        <f>'TTUHSCEP Sum'!$I$55</f>
        <v>285657</v>
      </c>
      <c r="M15" s="229"/>
      <c r="N15" s="229">
        <f>'TTUHSCEP Sum'!$I$57</f>
        <v>729483</v>
      </c>
      <c r="O15" s="230"/>
      <c r="P15" s="230"/>
      <c r="Q15" s="231"/>
      <c r="R15" s="230"/>
      <c r="S15" s="230"/>
      <c r="T15" s="230"/>
      <c r="U15" s="230"/>
      <c r="V15" s="232"/>
      <c r="W15" s="177"/>
      <c r="X15" s="177">
        <f>'TTUHSCEP Sum'!$C$6</f>
        <v>851.1</v>
      </c>
      <c r="Z15" s="13"/>
      <c r="AA15" s="13"/>
      <c r="AB15" s="13"/>
    </row>
    <row r="16" spans="1:28" ht="15">
      <c r="A16" s="10">
        <v>410</v>
      </c>
      <c r="B16" s="139"/>
      <c r="C16" s="7"/>
      <c r="D16" s="25" t="s">
        <v>125</v>
      </c>
      <c r="E16" s="137">
        <f t="shared" si="0"/>
        <v>2022</v>
      </c>
      <c r="F16" s="137" t="s">
        <v>427</v>
      </c>
      <c r="G16" s="190">
        <v>11618</v>
      </c>
      <c r="H16" s="182">
        <f>'HSH Sum'!$I$42</f>
        <v>174818</v>
      </c>
      <c r="I16" s="183">
        <f>'HSH Sum'!$I$46</f>
        <v>12784</v>
      </c>
      <c r="J16" s="183">
        <f>'HSH Sum'!$I$48</f>
        <v>16866</v>
      </c>
      <c r="K16" s="183">
        <f>'HSH Sum'!$I$53</f>
        <v>63977</v>
      </c>
      <c r="L16" s="183">
        <f>'HSH Sum'!$I$55</f>
        <v>268445</v>
      </c>
      <c r="M16" s="229"/>
      <c r="N16" s="229">
        <f>'HSH Sum'!$I$57</f>
        <v>710802</v>
      </c>
      <c r="O16" s="230"/>
      <c r="P16" s="230"/>
      <c r="Q16" s="231"/>
      <c r="R16" s="230"/>
      <c r="S16" s="230"/>
      <c r="T16" s="230"/>
      <c r="U16" s="230"/>
      <c r="V16" s="240"/>
      <c r="W16" s="177"/>
      <c r="X16" s="177">
        <f>'HSH Sum'!$C$6</f>
        <v>5267.72</v>
      </c>
      <c r="Z16" s="13"/>
      <c r="AA16" s="13"/>
      <c r="AB16" s="13"/>
    </row>
    <row r="17" spans="1:28" ht="15">
      <c r="A17" s="10">
        <v>430</v>
      </c>
      <c r="B17" s="139"/>
      <c r="C17" s="7"/>
      <c r="D17" s="25" t="s">
        <v>127</v>
      </c>
      <c r="E17" s="137">
        <f t="shared" si="0"/>
        <v>2022</v>
      </c>
      <c r="F17" s="137" t="s">
        <v>427</v>
      </c>
      <c r="G17" s="190">
        <v>25554</v>
      </c>
      <c r="H17" s="233"/>
      <c r="I17" s="211"/>
      <c r="J17" s="211"/>
      <c r="K17" s="211"/>
      <c r="L17" s="211"/>
      <c r="M17" s="234"/>
      <c r="N17" s="234"/>
      <c r="O17" s="230"/>
      <c r="P17" s="231"/>
      <c r="Q17" s="231"/>
      <c r="R17" s="231"/>
      <c r="S17" s="230"/>
      <c r="T17" s="231"/>
      <c r="U17" s="231"/>
      <c r="V17" s="240"/>
      <c r="W17" s="177"/>
      <c r="X17" s="177">
        <f>'MDA Sum'!$C$6</f>
        <v>382.05</v>
      </c>
      <c r="Z17" s="13"/>
      <c r="AA17" s="13"/>
      <c r="AB17" s="13"/>
    </row>
    <row r="18" spans="1:28" ht="15">
      <c r="A18" s="10">
        <v>440</v>
      </c>
      <c r="B18" s="139"/>
      <c r="C18" s="7"/>
      <c r="D18" s="25" t="s">
        <v>120</v>
      </c>
      <c r="E18" s="137">
        <f t="shared" si="0"/>
        <v>2022</v>
      </c>
      <c r="F18" s="137" t="s">
        <v>427</v>
      </c>
      <c r="G18" s="190">
        <v>42439</v>
      </c>
      <c r="H18" s="233"/>
      <c r="I18" s="211"/>
      <c r="J18" s="211"/>
      <c r="K18" s="211"/>
      <c r="L18" s="211"/>
      <c r="M18" s="234"/>
      <c r="N18" s="234"/>
      <c r="O18" s="230"/>
      <c r="P18" s="231"/>
      <c r="Q18" s="231"/>
      <c r="R18" s="230"/>
      <c r="S18" s="231"/>
      <c r="T18" s="231"/>
      <c r="U18" s="231"/>
      <c r="V18" s="240"/>
      <c r="W18" s="177"/>
      <c r="X18" s="177">
        <f>'THC Sum'!$C$6</f>
        <v>80.5</v>
      </c>
      <c r="Z18" s="13"/>
      <c r="AA18" s="13"/>
      <c r="AB18" s="13"/>
    </row>
    <row r="19" spans="1:28" ht="15">
      <c r="A19" s="10">
        <v>400</v>
      </c>
      <c r="B19" s="139"/>
      <c r="C19" s="7"/>
      <c r="D19" s="25" t="s">
        <v>128</v>
      </c>
      <c r="E19" s="137">
        <f t="shared" si="0"/>
        <v>2022</v>
      </c>
      <c r="F19" s="137" t="s">
        <v>427</v>
      </c>
      <c r="G19" s="190">
        <v>104952</v>
      </c>
      <c r="H19" s="182">
        <f>'MBG Sum'!$I$42</f>
        <v>111428</v>
      </c>
      <c r="I19" s="183">
        <f>'MBG Sum'!$I$46</f>
        <v>10441</v>
      </c>
      <c r="J19" s="183">
        <f>'MBG Sum'!$I$48</f>
        <v>26644</v>
      </c>
      <c r="K19" s="183">
        <f>'MBG Sum'!$I$53</f>
        <v>60645</v>
      </c>
      <c r="L19" s="183">
        <f>'MBG Sum'!$I$55</f>
        <v>209158</v>
      </c>
      <c r="M19" s="229"/>
      <c r="N19" s="229">
        <f>'MBG Sum'!$I$57</f>
        <v>568537</v>
      </c>
      <c r="O19" s="230"/>
      <c r="P19" s="230"/>
      <c r="Q19" s="231"/>
      <c r="R19" s="230"/>
      <c r="S19" s="230"/>
      <c r="T19" s="230"/>
      <c r="U19" s="231"/>
      <c r="V19" s="240"/>
      <c r="W19" s="209"/>
      <c r="X19" s="209">
        <f>'MBG Sum'!$C$6</f>
        <v>3859.84</v>
      </c>
      <c r="Z19" s="13"/>
      <c r="AA19" s="13"/>
      <c r="AB19" s="13"/>
    </row>
    <row r="20" spans="1:28" ht="15">
      <c r="A20" s="10">
        <v>510</v>
      </c>
      <c r="B20" s="139"/>
      <c r="C20" s="7"/>
      <c r="D20" s="25" t="s">
        <v>245</v>
      </c>
      <c r="E20" s="137">
        <f t="shared" si="0"/>
        <v>2022</v>
      </c>
      <c r="F20" s="137" t="s">
        <v>427</v>
      </c>
      <c r="G20" s="190">
        <v>203599</v>
      </c>
      <c r="H20" s="182">
        <f>'RGVM Sum'!$I$42</f>
        <v>204229</v>
      </c>
      <c r="I20" s="183">
        <f>'RGVM Sum'!$I$46</f>
        <v>96433</v>
      </c>
      <c r="J20" s="183">
        <f>'RGVM Sum'!$I$48</f>
        <v>94</v>
      </c>
      <c r="K20" s="183">
        <f>'RGVM Sum'!$I$53</f>
        <v>130826</v>
      </c>
      <c r="L20" s="183">
        <f>'RGVM Sum'!$I$55</f>
        <v>431582</v>
      </c>
      <c r="M20" s="229"/>
      <c r="N20" s="229">
        <f>'RGVM Sum'!$I$57</f>
        <v>613978</v>
      </c>
      <c r="O20" s="230"/>
      <c r="P20" s="230"/>
      <c r="Q20" s="231"/>
      <c r="R20" s="231"/>
      <c r="S20" s="231"/>
      <c r="T20" s="231"/>
      <c r="U20" s="231"/>
      <c r="V20" s="240"/>
      <c r="W20" s="177"/>
      <c r="X20" s="177">
        <f>'RGVM Sum'!$C$6</f>
        <v>222</v>
      </c>
      <c r="Z20" s="13"/>
      <c r="AA20" s="13"/>
      <c r="AB20" s="13"/>
    </row>
    <row r="21" spans="1:28" ht="15">
      <c r="A21" s="10">
        <v>500</v>
      </c>
      <c r="B21" s="139"/>
      <c r="C21" s="7"/>
      <c r="D21" s="25" t="s">
        <v>244</v>
      </c>
      <c r="E21" s="137">
        <f t="shared" si="0"/>
        <v>2022</v>
      </c>
      <c r="F21" s="137" t="s">
        <v>427</v>
      </c>
      <c r="G21" s="190">
        <v>203658</v>
      </c>
      <c r="H21" s="182">
        <f>'AUSM Sum'!$I$42</f>
        <v>41712</v>
      </c>
      <c r="I21" s="183">
        <f>'AUSM Sum'!$I$46</f>
        <v>196342</v>
      </c>
      <c r="J21" s="183">
        <f>'AUSM Sum'!$I$48</f>
        <v>124988</v>
      </c>
      <c r="K21" s="183">
        <f>'AUSM Sum'!$I$53</f>
        <v>230538</v>
      </c>
      <c r="L21" s="183">
        <f>'AUSM Sum'!$I$55</f>
        <v>593580</v>
      </c>
      <c r="M21" s="229"/>
      <c r="N21" s="229">
        <f>'AUSM Sum'!$I$57</f>
        <v>402808</v>
      </c>
      <c r="O21" s="230"/>
      <c r="P21" s="230"/>
      <c r="Q21" s="231"/>
      <c r="R21" s="231"/>
      <c r="S21" s="231"/>
      <c r="T21" s="231"/>
      <c r="U21" s="231"/>
      <c r="V21" s="240"/>
      <c r="W21" s="177"/>
      <c r="X21" s="177">
        <f>'AUSM Sum'!$C$6</f>
        <v>197</v>
      </c>
      <c r="Z21" s="13"/>
      <c r="AA21" s="13"/>
      <c r="AB21" s="13"/>
    </row>
    <row r="22" spans="1:28">
      <c r="A22" s="10">
        <v>520</v>
      </c>
      <c r="C22" s="190"/>
      <c r="D22" s="25" t="s">
        <v>31</v>
      </c>
      <c r="E22" s="137">
        <v>2019</v>
      </c>
      <c r="F22" s="137" t="s">
        <v>427</v>
      </c>
      <c r="G22" s="190">
        <v>203652</v>
      </c>
      <c r="H22" s="182">
        <f>'UHM Sum'!$I$42</f>
        <v>143029</v>
      </c>
      <c r="I22" s="183">
        <f>'UHM Sum'!$I$46</f>
        <v>152833</v>
      </c>
      <c r="J22" s="183">
        <f>'UHM Sum'!$I$48</f>
        <v>5889</v>
      </c>
      <c r="K22" s="183">
        <f>'UHM Sum'!$I$53</f>
        <v>32645</v>
      </c>
      <c r="L22" s="183">
        <f>'UHM Sum'!$I$55</f>
        <v>334396</v>
      </c>
      <c r="M22" s="229"/>
      <c r="N22" s="229">
        <f>'UHM Sum'!$I$57</f>
        <v>215276</v>
      </c>
      <c r="O22" s="230"/>
      <c r="P22" s="230"/>
      <c r="Q22" s="231"/>
      <c r="R22" s="231"/>
      <c r="S22" s="231"/>
      <c r="T22" s="231"/>
      <c r="U22" s="231"/>
      <c r="V22" s="240"/>
      <c r="W22" s="177"/>
      <c r="X22" s="177">
        <f>'UHM Sum'!$C$6</f>
        <v>60</v>
      </c>
      <c r="Z22" s="13"/>
      <c r="AA22" s="13"/>
      <c r="AB22" s="13"/>
    </row>
    <row r="23" spans="1:28" ht="13.8" thickBot="1">
      <c r="A23" s="146"/>
      <c r="B23" s="146"/>
      <c r="C23" s="146">
        <f>COUNTA(D10:D22)</f>
        <v>13</v>
      </c>
      <c r="D23" s="147" t="s">
        <v>129</v>
      </c>
      <c r="E23" s="146">
        <f t="shared" si="0"/>
        <v>2022</v>
      </c>
      <c r="F23" s="146" t="s">
        <v>427</v>
      </c>
      <c r="G23" s="191">
        <v>999999</v>
      </c>
      <c r="H23" s="184">
        <f>'Smmy Sum'!$I$55</f>
        <v>128864</v>
      </c>
      <c r="I23" s="185">
        <f>'Smmy Sum'!$I$59</f>
        <v>25954</v>
      </c>
      <c r="J23" s="185">
        <f>'Smmy Sum'!$I$61</f>
        <v>22682</v>
      </c>
      <c r="K23" s="185">
        <f>'Smmy Sum'!$I$66</f>
        <v>107703</v>
      </c>
      <c r="L23" s="185">
        <f>'Smmy Sum'!$I$68</f>
        <v>285203</v>
      </c>
      <c r="M23" s="235"/>
      <c r="N23" s="235">
        <f>'Smmy Sum'!$I$70</f>
        <v>523117</v>
      </c>
      <c r="O23" s="241"/>
      <c r="P23" s="242"/>
      <c r="Q23" s="243"/>
      <c r="R23" s="242"/>
      <c r="S23" s="241"/>
      <c r="T23" s="241"/>
      <c r="U23" s="241"/>
      <c r="V23" s="244"/>
      <c r="W23" s="179"/>
      <c r="X23" s="194">
        <f>SUM(X10:X22)</f>
        <v>29805.46</v>
      </c>
      <c r="Z23" s="15"/>
      <c r="AA23" s="15"/>
      <c r="AB23" s="15"/>
    </row>
    <row r="24" spans="1:28" s="15" customFormat="1" ht="13.8" thickTop="1">
      <c r="A24" s="14"/>
      <c r="B24" s="14"/>
      <c r="C24" s="14"/>
      <c r="D24" s="15" t="s">
        <v>286</v>
      </c>
      <c r="Q24" s="14"/>
      <c r="W24" s="148"/>
      <c r="X24" s="148"/>
    </row>
    <row r="25" spans="1:28" s="15" customFormat="1">
      <c r="A25" s="14"/>
      <c r="B25" s="14"/>
      <c r="C25" s="14"/>
      <c r="D25" s="15" t="s">
        <v>287</v>
      </c>
      <c r="Q25" s="14"/>
      <c r="W25" s="148"/>
      <c r="X25" s="148"/>
    </row>
    <row r="26" spans="1:28" s="15" customFormat="1">
      <c r="A26" s="14"/>
      <c r="B26" s="14"/>
      <c r="C26" s="14" t="s">
        <v>449</v>
      </c>
      <c r="L26" s="10"/>
      <c r="M26" s="10"/>
      <c r="N26" s="10"/>
      <c r="O26" s="10"/>
      <c r="P26" s="10"/>
      <c r="Q26" s="10"/>
      <c r="R26" s="10"/>
      <c r="S26" s="10"/>
      <c r="T26" s="10"/>
      <c r="U26" s="10"/>
      <c r="V26" s="10"/>
    </row>
    <row r="27" spans="1:28" s="15" customFormat="1" ht="26.4" hidden="1" outlineLevel="1">
      <c r="A27" s="14"/>
      <c r="B27" s="14"/>
      <c r="C27" s="14"/>
      <c r="D27" s="15" t="s">
        <v>131</v>
      </c>
      <c r="L27" s="159" t="s">
        <v>417</v>
      </c>
      <c r="M27" s="159"/>
      <c r="N27" s="159" t="s">
        <v>417</v>
      </c>
      <c r="O27" s="159"/>
      <c r="P27" s="159"/>
      <c r="Q27" s="197"/>
      <c r="R27" s="159"/>
      <c r="S27" s="195"/>
      <c r="T27" s="195"/>
      <c r="U27" s="195"/>
      <c r="V27" s="195"/>
    </row>
    <row r="28" spans="1:28" s="15" customFormat="1" ht="39.6" hidden="1" outlineLevel="1">
      <c r="A28" s="14"/>
      <c r="B28" s="14"/>
      <c r="C28" s="14"/>
      <c r="L28" s="160" t="s">
        <v>418</v>
      </c>
      <c r="M28" s="160"/>
      <c r="N28" s="160" t="s">
        <v>418</v>
      </c>
      <c r="O28" s="160"/>
      <c r="P28" s="160"/>
      <c r="Q28" s="198"/>
      <c r="R28" s="160"/>
      <c r="S28" s="196"/>
      <c r="T28" s="196"/>
      <c r="U28" s="196"/>
      <c r="V28" s="196"/>
    </row>
    <row r="29" spans="1:28" s="15" customFormat="1" hidden="1" outlineLevel="1">
      <c r="A29" s="14"/>
      <c r="B29" s="14"/>
      <c r="C29" s="14"/>
      <c r="L29" s="160" t="s">
        <v>419</v>
      </c>
      <c r="M29" s="160"/>
      <c r="N29" s="160" t="s">
        <v>419</v>
      </c>
      <c r="O29" s="160"/>
      <c r="Q29" s="198"/>
      <c r="R29" s="160"/>
      <c r="S29" s="196"/>
      <c r="T29" s="196"/>
      <c r="U29" s="196"/>
      <c r="V29" s="196"/>
    </row>
    <row r="30" spans="1:28" s="15" customFormat="1" hidden="1" outlineLevel="1">
      <c r="A30" s="14"/>
      <c r="B30" s="14"/>
      <c r="C30" s="14"/>
      <c r="Q30" s="14"/>
    </row>
    <row r="31" spans="1:28" s="15" customFormat="1" hidden="1" outlineLevel="1">
      <c r="A31" s="14"/>
      <c r="B31" s="14"/>
      <c r="C31" s="14"/>
      <c r="Q31" s="14"/>
    </row>
    <row r="32" spans="1:28" s="15" customFormat="1" hidden="1" outlineLevel="1">
      <c r="A32" s="14"/>
      <c r="B32" s="14"/>
      <c r="C32" s="14"/>
      <c r="L32" s="16"/>
      <c r="M32" s="16"/>
      <c r="N32" s="16"/>
      <c r="O32" s="16"/>
      <c r="P32" s="16"/>
      <c r="Q32" s="16"/>
      <c r="R32" s="16"/>
      <c r="S32" s="16"/>
      <c r="T32" s="16"/>
      <c r="U32" s="16"/>
      <c r="V32" s="16"/>
    </row>
    <row r="33" spans="1:26" s="15" customFormat="1" hidden="1" outlineLevel="1">
      <c r="A33" s="14"/>
      <c r="B33" s="14"/>
      <c r="C33" s="14"/>
      <c r="L33" s="47"/>
      <c r="M33" s="47"/>
      <c r="N33" s="47"/>
      <c r="O33" s="47"/>
      <c r="P33" s="47"/>
      <c r="Q33" s="14"/>
      <c r="R33" s="47"/>
      <c r="S33" s="47"/>
      <c r="T33" s="47"/>
      <c r="U33" s="47"/>
      <c r="V33" s="47"/>
    </row>
    <row r="34" spans="1:26" s="15" customFormat="1" hidden="1" outlineLevel="1">
      <c r="A34" s="14"/>
      <c r="B34" s="14"/>
      <c r="C34" s="14"/>
      <c r="L34" s="47"/>
      <c r="M34" s="47"/>
      <c r="N34" s="47"/>
      <c r="O34" s="47"/>
      <c r="P34" s="47"/>
      <c r="Q34" s="14"/>
      <c r="R34" s="47"/>
      <c r="S34" s="47"/>
      <c r="T34" s="47"/>
      <c r="U34" s="47"/>
      <c r="V34" s="47"/>
    </row>
    <row r="35" spans="1:26" s="15" customFormat="1" hidden="1" outlineLevel="1">
      <c r="A35" s="14"/>
      <c r="B35" s="14"/>
      <c r="C35" s="14"/>
      <c r="L35" s="47"/>
      <c r="M35" s="47"/>
      <c r="N35" s="47"/>
      <c r="O35" s="47"/>
      <c r="P35" s="47"/>
      <c r="Q35" s="14"/>
      <c r="R35" s="47"/>
      <c r="S35" s="47"/>
      <c r="T35" s="47"/>
      <c r="U35" s="47"/>
      <c r="V35" s="47"/>
    </row>
    <row r="36" spans="1:26" s="15" customFormat="1" hidden="1" outlineLevel="1">
      <c r="A36" s="14"/>
      <c r="B36" s="14"/>
      <c r="C36" s="14"/>
      <c r="L36" s="47"/>
      <c r="M36" s="47"/>
      <c r="N36" s="47"/>
      <c r="O36" s="47"/>
      <c r="P36" s="47"/>
      <c r="Q36" s="14"/>
      <c r="R36" s="47"/>
      <c r="S36" s="47"/>
      <c r="T36" s="47"/>
      <c r="U36" s="47"/>
      <c r="V36" s="47"/>
    </row>
    <row r="37" spans="1:26" s="15" customFormat="1" collapsed="1">
      <c r="A37" s="14"/>
      <c r="B37" s="14"/>
      <c r="C37" s="14"/>
      <c r="Q37" s="14"/>
      <c r="Z37" s="18"/>
    </row>
    <row r="38" spans="1:26" s="15" customFormat="1">
      <c r="A38" s="14"/>
      <c r="B38" s="14"/>
      <c r="C38" s="14"/>
      <c r="Q38" s="14"/>
    </row>
    <row r="39" spans="1:26" s="15" customFormat="1">
      <c r="A39" s="14"/>
      <c r="B39" s="14"/>
      <c r="C39" s="14"/>
      <c r="Q39" s="14"/>
      <c r="W39" s="154"/>
      <c r="X39" s="154"/>
    </row>
    <row r="40" spans="1:26" s="15" customFormat="1">
      <c r="A40" s="14"/>
      <c r="B40" s="14"/>
      <c r="C40" s="14"/>
      <c r="Q40" s="14"/>
    </row>
    <row r="41" spans="1:26" s="15" customFormat="1">
      <c r="A41" s="14"/>
      <c r="B41" s="14"/>
      <c r="C41" s="14"/>
      <c r="H41" s="14" t="s">
        <v>450</v>
      </c>
      <c r="I41" s="14" t="s">
        <v>451</v>
      </c>
      <c r="J41" s="14" t="s">
        <v>292</v>
      </c>
      <c r="K41" s="14" t="s">
        <v>452</v>
      </c>
      <c r="L41" s="14" t="s">
        <v>453</v>
      </c>
      <c r="M41" s="14"/>
      <c r="N41" s="14" t="s">
        <v>454</v>
      </c>
      <c r="O41" s="14"/>
      <c r="P41" s="14"/>
      <c r="Q41" s="14"/>
      <c r="R41" s="14"/>
      <c r="S41" s="14"/>
      <c r="T41" s="14"/>
      <c r="U41" s="14"/>
      <c r="V41" s="14"/>
      <c r="W41" s="14"/>
      <c r="X41" s="14"/>
    </row>
    <row r="42" spans="1:26" s="15" customFormat="1">
      <c r="A42" s="14"/>
      <c r="B42" s="14"/>
      <c r="C42" s="14"/>
      <c r="L42" s="193"/>
      <c r="M42" s="193"/>
      <c r="N42" s="193"/>
      <c r="Q42" s="14"/>
      <c r="X42" s="193"/>
    </row>
    <row r="43" spans="1:26" s="15" customFormat="1">
      <c r="A43" s="14"/>
      <c r="B43" s="14"/>
      <c r="C43" s="14"/>
      <c r="Q43" s="14"/>
      <c r="W43" s="180"/>
      <c r="X43" s="180"/>
    </row>
    <row r="44" spans="1:26" s="15" customFormat="1">
      <c r="A44" s="14"/>
      <c r="B44" s="14"/>
      <c r="C44" s="14"/>
      <c r="Q44" s="14"/>
      <c r="X44" s="15" t="s">
        <v>455</v>
      </c>
    </row>
    <row r="45" spans="1:26" s="15" customFormat="1">
      <c r="A45" s="14"/>
      <c r="B45" s="14"/>
      <c r="C45" s="14"/>
      <c r="Q45" s="14"/>
    </row>
    <row r="46" spans="1:26" s="15" customFormat="1">
      <c r="A46" s="14"/>
      <c r="B46" s="14"/>
      <c r="C46" s="14"/>
      <c r="D46" s="16" t="s">
        <v>456</v>
      </c>
      <c r="G46" s="181">
        <f t="shared" ref="G46:V46" si="1">SUM(G10:G22)+G23</f>
        <v>1797034</v>
      </c>
      <c r="H46" s="181">
        <f t="shared" si="1"/>
        <v>1702766</v>
      </c>
      <c r="I46" s="181">
        <f t="shared" si="1"/>
        <v>654925</v>
      </c>
      <c r="J46" s="181">
        <f t="shared" si="1"/>
        <v>295110</v>
      </c>
      <c r="K46" s="181">
        <f t="shared" si="1"/>
        <v>1092201</v>
      </c>
      <c r="L46" s="181">
        <f t="shared" si="1"/>
        <v>3745004</v>
      </c>
      <c r="M46" s="181">
        <f t="shared" si="1"/>
        <v>0</v>
      </c>
      <c r="N46" s="181">
        <f t="shared" si="1"/>
        <v>6856573</v>
      </c>
      <c r="O46" s="181">
        <f t="shared" si="1"/>
        <v>0</v>
      </c>
      <c r="P46" s="181">
        <f t="shared" si="1"/>
        <v>0</v>
      </c>
      <c r="Q46" s="181">
        <f t="shared" si="1"/>
        <v>0</v>
      </c>
      <c r="R46" s="181">
        <f t="shared" si="1"/>
        <v>0</v>
      </c>
      <c r="S46" s="181">
        <f t="shared" si="1"/>
        <v>0</v>
      </c>
      <c r="T46" s="181">
        <f t="shared" si="1"/>
        <v>0</v>
      </c>
      <c r="U46" s="181">
        <f t="shared" si="1"/>
        <v>0</v>
      </c>
      <c r="V46" s="181">
        <f t="shared" si="1"/>
        <v>0</v>
      </c>
      <c r="X46" s="181">
        <f>SUM(G46:W46)</f>
        <v>16143613</v>
      </c>
    </row>
    <row r="47" spans="1:26" s="15" customFormat="1">
      <c r="A47" s="14"/>
      <c r="B47" s="14"/>
      <c r="C47" s="14"/>
      <c r="O47" s="199"/>
      <c r="P47" s="199"/>
      <c r="Q47" s="200"/>
      <c r="R47" s="199"/>
      <c r="S47" s="199"/>
      <c r="T47" s="199"/>
      <c r="U47" s="199"/>
      <c r="V47" s="199"/>
    </row>
    <row r="48" spans="1:26" s="15" customFormat="1">
      <c r="A48" s="14"/>
      <c r="B48" s="14"/>
      <c r="C48" s="14"/>
      <c r="O48" s="199"/>
      <c r="P48" s="199"/>
      <c r="Q48" s="200"/>
      <c r="R48" s="199"/>
      <c r="S48" s="199"/>
      <c r="T48" s="199"/>
      <c r="U48" s="199"/>
      <c r="V48" s="199"/>
    </row>
    <row r="49" spans="1:24" s="15" customFormat="1">
      <c r="A49" s="14"/>
      <c r="B49" s="14"/>
      <c r="C49" s="14"/>
      <c r="D49" s="15" t="s">
        <v>431</v>
      </c>
      <c r="G49" s="15">
        <v>1797034</v>
      </c>
      <c r="H49" s="15">
        <v>1673512</v>
      </c>
      <c r="I49" s="15">
        <v>584583</v>
      </c>
      <c r="J49" s="15">
        <v>304248</v>
      </c>
      <c r="K49" s="15">
        <v>1092156</v>
      </c>
      <c r="L49" s="15">
        <v>3654501</v>
      </c>
      <c r="M49" s="15">
        <v>0</v>
      </c>
      <c r="N49" s="15">
        <v>6612964</v>
      </c>
      <c r="O49" s="199">
        <v>0</v>
      </c>
      <c r="P49" s="199">
        <v>0</v>
      </c>
      <c r="Q49" s="200">
        <v>0</v>
      </c>
      <c r="R49" s="199">
        <v>0</v>
      </c>
      <c r="S49" s="199">
        <v>0</v>
      </c>
      <c r="T49" s="199">
        <v>0</v>
      </c>
      <c r="U49" s="199">
        <v>0</v>
      </c>
      <c r="V49" s="199">
        <v>0</v>
      </c>
      <c r="X49" s="181">
        <v>15718998</v>
      </c>
    </row>
    <row r="50" spans="1:24" s="15" customFormat="1">
      <c r="A50" s="14"/>
      <c r="B50" s="14"/>
      <c r="C50" s="14"/>
      <c r="G50" s="32">
        <f t="shared" ref="G50:X50" si="2">G46-G49</f>
        <v>0</v>
      </c>
      <c r="H50" s="32">
        <f t="shared" si="2"/>
        <v>29254</v>
      </c>
      <c r="I50" s="32">
        <f t="shared" si="2"/>
        <v>70342</v>
      </c>
      <c r="J50" s="32">
        <f t="shared" si="2"/>
        <v>-9138</v>
      </c>
      <c r="K50" s="32">
        <f t="shared" si="2"/>
        <v>45</v>
      </c>
      <c r="L50" s="32">
        <f t="shared" si="2"/>
        <v>90503</v>
      </c>
      <c r="M50" s="32">
        <f t="shared" si="2"/>
        <v>0</v>
      </c>
      <c r="N50" s="32">
        <f t="shared" si="2"/>
        <v>243609</v>
      </c>
      <c r="O50" s="32">
        <f t="shared" si="2"/>
        <v>0</v>
      </c>
      <c r="P50" s="32">
        <f t="shared" si="2"/>
        <v>0</v>
      </c>
      <c r="Q50" s="32">
        <f t="shared" si="2"/>
        <v>0</v>
      </c>
      <c r="R50" s="32">
        <f t="shared" si="2"/>
        <v>0</v>
      </c>
      <c r="S50" s="32">
        <f t="shared" si="2"/>
        <v>0</v>
      </c>
      <c r="T50" s="32">
        <f t="shared" si="2"/>
        <v>0</v>
      </c>
      <c r="U50" s="32">
        <f t="shared" si="2"/>
        <v>0</v>
      </c>
      <c r="V50" s="32">
        <f t="shared" si="2"/>
        <v>0</v>
      </c>
      <c r="W50" s="32">
        <f t="shared" si="2"/>
        <v>0</v>
      </c>
      <c r="X50" s="32">
        <f t="shared" si="2"/>
        <v>424615</v>
      </c>
    </row>
    <row r="51" spans="1:24" s="15" customFormat="1">
      <c r="A51" s="14"/>
      <c r="B51" s="14"/>
      <c r="C51" s="14"/>
      <c r="Q51" s="14"/>
      <c r="S51" s="32"/>
      <c r="T51" s="32"/>
      <c r="U51" s="32"/>
      <c r="V51" s="32"/>
    </row>
    <row r="52" spans="1:24" s="15" customFormat="1">
      <c r="A52" s="14"/>
      <c r="B52" s="14"/>
      <c r="C52" s="14"/>
      <c r="D52" s="15" t="s">
        <v>432</v>
      </c>
      <c r="Q52" s="14"/>
    </row>
    <row r="53" spans="1:24" s="15" customFormat="1">
      <c r="A53" s="14"/>
      <c r="B53" s="14"/>
      <c r="C53" s="14"/>
      <c r="D53" s="161">
        <v>44232</v>
      </c>
      <c r="Q53" s="14"/>
    </row>
    <row r="54" spans="1:24" s="15" customFormat="1">
      <c r="A54" s="14"/>
      <c r="B54" s="14"/>
      <c r="C54" s="14"/>
      <c r="Q54" s="14"/>
    </row>
    <row r="55" spans="1:24" s="15" customFormat="1">
      <c r="A55" s="14"/>
      <c r="B55" s="14"/>
      <c r="C55" s="14"/>
      <c r="Q55" s="14"/>
    </row>
    <row r="56" spans="1:24" s="15" customFormat="1">
      <c r="A56" s="14"/>
      <c r="B56" s="14"/>
      <c r="C56" s="14"/>
      <c r="Q56" s="14"/>
    </row>
    <row r="57" spans="1:24" s="15" customFormat="1">
      <c r="A57" s="14"/>
      <c r="B57" s="14"/>
      <c r="C57" s="14"/>
      <c r="Q57" s="14"/>
    </row>
    <row r="58" spans="1:24" s="15" customFormat="1">
      <c r="A58" s="14"/>
      <c r="B58" s="14"/>
      <c r="C58" s="14"/>
      <c r="Q58" s="14"/>
    </row>
    <row r="59" spans="1:24" s="15" customFormat="1">
      <c r="A59" s="14"/>
      <c r="B59" s="14"/>
      <c r="C59" s="14"/>
      <c r="Q59" s="14"/>
    </row>
    <row r="60" spans="1:24" s="15" customFormat="1">
      <c r="A60" s="14"/>
      <c r="B60" s="14"/>
      <c r="C60" s="14"/>
      <c r="Q60" s="14"/>
    </row>
    <row r="61" spans="1:24" s="15" customFormat="1">
      <c r="A61" s="14"/>
      <c r="B61" s="14"/>
      <c r="C61" s="14"/>
      <c r="Q61" s="14"/>
    </row>
    <row r="62" spans="1:24" s="15" customFormat="1">
      <c r="A62" s="14"/>
      <c r="B62" s="14"/>
      <c r="C62" s="14"/>
      <c r="Q62" s="14"/>
    </row>
    <row r="63" spans="1:24" s="15" customFormat="1">
      <c r="A63" s="14"/>
      <c r="B63" s="14"/>
      <c r="C63" s="14"/>
      <c r="Q63" s="14"/>
    </row>
    <row r="64" spans="1:24" s="15" customFormat="1" ht="30">
      <c r="A64" s="14"/>
      <c r="B64" s="14"/>
      <c r="C64" s="14"/>
      <c r="D64" s="139" t="s">
        <v>206</v>
      </c>
      <c r="E64" s="236">
        <v>30</v>
      </c>
      <c r="Q64" s="14"/>
    </row>
    <row r="65" spans="1:17" s="15" customFormat="1" ht="30">
      <c r="A65" s="14"/>
      <c r="B65" s="14"/>
      <c r="C65" s="14"/>
      <c r="D65" s="139" t="s">
        <v>22</v>
      </c>
      <c r="E65" s="236">
        <v>40</v>
      </c>
      <c r="Q65" s="14"/>
    </row>
    <row r="66" spans="1:17" s="15" customFormat="1" ht="30">
      <c r="A66" s="14"/>
      <c r="B66" s="14"/>
      <c r="C66" s="14"/>
      <c r="D66" s="139" t="s">
        <v>25</v>
      </c>
      <c r="E66" s="236">
        <v>89</v>
      </c>
      <c r="Q66" s="14"/>
    </row>
    <row r="67" spans="1:17" s="15" customFormat="1" ht="30">
      <c r="A67" s="14"/>
      <c r="B67" s="14"/>
      <c r="C67" s="14"/>
      <c r="D67" s="203" t="s">
        <v>207</v>
      </c>
      <c r="E67" s="236">
        <v>130</v>
      </c>
      <c r="Q67" s="14"/>
    </row>
    <row r="68" spans="1:17" s="15" customFormat="1" ht="30">
      <c r="A68" s="14"/>
      <c r="B68" s="14"/>
      <c r="C68" s="14"/>
      <c r="D68" s="139" t="s">
        <v>27</v>
      </c>
      <c r="E68" s="236">
        <v>412</v>
      </c>
      <c r="Q68" s="14"/>
    </row>
    <row r="69" spans="1:17" s="15" customFormat="1" ht="30">
      <c r="A69" s="14"/>
      <c r="B69" s="14"/>
      <c r="C69" s="14"/>
      <c r="D69" s="139" t="s">
        <v>28</v>
      </c>
      <c r="E69" s="236">
        <v>862</v>
      </c>
      <c r="Q69" s="14"/>
    </row>
    <row r="70" spans="1:17" s="15" customFormat="1" ht="30">
      <c r="A70" s="14"/>
      <c r="B70" s="14"/>
      <c r="C70" s="14"/>
      <c r="D70" s="139" t="s">
        <v>21</v>
      </c>
      <c r="E70" s="236">
        <v>11618</v>
      </c>
      <c r="Q70" s="14"/>
    </row>
    <row r="71" spans="1:17" s="15" customFormat="1" ht="30">
      <c r="A71" s="14"/>
      <c r="B71" s="14"/>
      <c r="C71" s="14"/>
      <c r="D71" s="139" t="s">
        <v>23</v>
      </c>
      <c r="E71" s="236">
        <v>25554</v>
      </c>
      <c r="Q71" s="14"/>
    </row>
    <row r="72" spans="1:17" s="15" customFormat="1" ht="30">
      <c r="A72" s="14"/>
      <c r="B72" s="14"/>
      <c r="C72" s="14"/>
      <c r="D72" s="139" t="s">
        <v>24</v>
      </c>
      <c r="E72" s="237">
        <v>42439</v>
      </c>
      <c r="Q72" s="14"/>
    </row>
    <row r="73" spans="1:17" s="15" customFormat="1" ht="30">
      <c r="A73" s="14"/>
      <c r="B73" s="14"/>
      <c r="C73" s="14"/>
      <c r="D73" s="139" t="s">
        <v>20</v>
      </c>
      <c r="E73" s="236">
        <v>104952</v>
      </c>
      <c r="Q73" s="14"/>
    </row>
    <row r="74" spans="1:17" s="15" customFormat="1" ht="46.8">
      <c r="A74" s="14"/>
      <c r="B74" s="14"/>
      <c r="C74" s="14"/>
      <c r="D74" s="202" t="s">
        <v>30</v>
      </c>
      <c r="E74" s="238">
        <v>203599</v>
      </c>
      <c r="Q74" s="14"/>
    </row>
    <row r="75" spans="1:17" s="15" customFormat="1" ht="31.2">
      <c r="A75" s="14"/>
      <c r="B75" s="14"/>
      <c r="C75" s="14"/>
      <c r="D75" s="201" t="s">
        <v>29</v>
      </c>
      <c r="E75" s="239">
        <v>203658</v>
      </c>
      <c r="Q75" s="14"/>
    </row>
    <row r="76" spans="1:17" s="15" customFormat="1">
      <c r="A76" s="14"/>
      <c r="B76" s="14"/>
      <c r="C76" s="14"/>
      <c r="Q76" s="14"/>
    </row>
    <row r="77" spans="1:17" s="15" customFormat="1">
      <c r="A77" s="14"/>
      <c r="B77" s="14"/>
      <c r="C77" s="14"/>
      <c r="Q77" s="14"/>
    </row>
    <row r="78" spans="1:17" s="15" customFormat="1">
      <c r="A78" s="14"/>
      <c r="B78" s="14"/>
      <c r="C78" s="14"/>
      <c r="Q78" s="14"/>
    </row>
    <row r="79" spans="1:17" s="15" customFormat="1">
      <c r="A79" s="14"/>
      <c r="B79" s="14"/>
      <c r="C79" s="14"/>
      <c r="Q79" s="14"/>
    </row>
    <row r="80" spans="1:17" s="15" customFormat="1">
      <c r="A80" s="14"/>
      <c r="B80" s="14"/>
      <c r="C80" s="14"/>
      <c r="Q80" s="14"/>
    </row>
    <row r="81" spans="1:17" s="15" customFormat="1">
      <c r="A81" s="14"/>
      <c r="B81" s="14"/>
      <c r="C81" s="14"/>
      <c r="Q81" s="14"/>
    </row>
    <row r="82" spans="1:17" s="15" customFormat="1">
      <c r="A82" s="14"/>
      <c r="B82" s="14"/>
      <c r="C82" s="14"/>
      <c r="Q82" s="14"/>
    </row>
    <row r="83" spans="1:17" s="15" customFormat="1">
      <c r="A83" s="14"/>
      <c r="B83" s="14"/>
      <c r="C83" s="14"/>
      <c r="Q83" s="14"/>
    </row>
    <row r="84" spans="1:17" s="15" customFormat="1">
      <c r="A84" s="14"/>
      <c r="B84" s="14"/>
      <c r="C84" s="14"/>
      <c r="Q84" s="14"/>
    </row>
    <row r="85" spans="1:17" s="15" customFormat="1">
      <c r="A85" s="14"/>
      <c r="B85" s="14"/>
      <c r="C85" s="14"/>
      <c r="Q85" s="14"/>
    </row>
    <row r="86" spans="1:17" s="15" customFormat="1">
      <c r="A86" s="14"/>
      <c r="B86" s="14"/>
      <c r="C86" s="14"/>
      <c r="Q86" s="14"/>
    </row>
    <row r="87" spans="1:17" s="15" customFormat="1">
      <c r="A87" s="14"/>
      <c r="B87" s="14"/>
      <c r="C87" s="14"/>
      <c r="Q87" s="14"/>
    </row>
    <row r="88" spans="1:17" s="15" customFormat="1">
      <c r="A88" s="14"/>
      <c r="B88" s="14"/>
      <c r="C88" s="14"/>
      <c r="Q88" s="14"/>
    </row>
    <row r="89" spans="1:17" s="15" customFormat="1">
      <c r="A89" s="14"/>
      <c r="B89" s="14"/>
      <c r="C89" s="14"/>
      <c r="Q89" s="14"/>
    </row>
    <row r="90" spans="1:17" s="15" customFormat="1">
      <c r="A90" s="14"/>
      <c r="B90" s="14"/>
      <c r="C90" s="14"/>
      <c r="Q90" s="14"/>
    </row>
    <row r="91" spans="1:17" s="15" customFormat="1">
      <c r="A91" s="14"/>
      <c r="B91" s="14"/>
      <c r="C91" s="14"/>
      <c r="Q91" s="14"/>
    </row>
    <row r="92" spans="1:17" s="15" customFormat="1">
      <c r="A92" s="14"/>
      <c r="B92" s="14"/>
      <c r="C92" s="14"/>
      <c r="Q92" s="14"/>
    </row>
    <row r="93" spans="1:17" s="15" customFormat="1">
      <c r="A93" s="14"/>
      <c r="B93" s="14"/>
      <c r="C93" s="14"/>
      <c r="Q93" s="14"/>
    </row>
    <row r="94" spans="1:17" s="15" customFormat="1">
      <c r="A94" s="14"/>
      <c r="B94" s="14"/>
      <c r="C94" s="14"/>
      <c r="Q94" s="14"/>
    </row>
    <row r="95" spans="1:17" s="15" customFormat="1">
      <c r="A95" s="14"/>
      <c r="B95" s="14"/>
      <c r="C95" s="14"/>
      <c r="Q95" s="14"/>
    </row>
    <row r="96" spans="1:17" s="15" customFormat="1">
      <c r="A96" s="14"/>
      <c r="B96" s="14"/>
      <c r="C96" s="14"/>
      <c r="Q96" s="14"/>
    </row>
    <row r="97" spans="1:17" s="15" customFormat="1">
      <c r="A97" s="14"/>
      <c r="B97" s="14"/>
      <c r="C97" s="14"/>
      <c r="Q97" s="14"/>
    </row>
    <row r="98" spans="1:17" s="15" customFormat="1">
      <c r="A98" s="14"/>
      <c r="B98" s="14"/>
      <c r="C98" s="14"/>
      <c r="Q98" s="14"/>
    </row>
    <row r="99" spans="1:17" s="15" customFormat="1">
      <c r="A99" s="14"/>
      <c r="B99" s="14"/>
      <c r="C99" s="14"/>
      <c r="Q99" s="14"/>
    </row>
    <row r="100" spans="1:17" s="15" customFormat="1">
      <c r="A100" s="14"/>
      <c r="B100" s="14"/>
      <c r="C100" s="14"/>
      <c r="Q100" s="14"/>
    </row>
    <row r="101" spans="1:17" s="15" customFormat="1">
      <c r="A101" s="14"/>
      <c r="B101" s="14"/>
      <c r="C101" s="14"/>
      <c r="Q101" s="14"/>
    </row>
    <row r="102" spans="1:17" s="15" customFormat="1">
      <c r="A102" s="14"/>
      <c r="B102" s="14"/>
      <c r="C102" s="14"/>
      <c r="Q102" s="14"/>
    </row>
    <row r="103" spans="1:17" s="15" customFormat="1">
      <c r="A103" s="14"/>
      <c r="B103" s="14"/>
      <c r="C103" s="14"/>
      <c r="Q103" s="14"/>
    </row>
    <row r="104" spans="1:17" s="15" customFormat="1">
      <c r="A104" s="14"/>
      <c r="B104" s="14"/>
      <c r="C104" s="14"/>
      <c r="Q104" s="14"/>
    </row>
    <row r="105" spans="1:17" s="15" customFormat="1">
      <c r="A105" s="14"/>
      <c r="B105" s="14"/>
      <c r="C105" s="14"/>
      <c r="Q105" s="14"/>
    </row>
    <row r="106" spans="1:17" s="15" customFormat="1">
      <c r="A106" s="14"/>
      <c r="B106" s="14"/>
      <c r="C106" s="14"/>
      <c r="Q106" s="14"/>
    </row>
    <row r="107" spans="1:17" s="15" customFormat="1">
      <c r="A107" s="14"/>
      <c r="B107" s="14"/>
      <c r="C107" s="14"/>
      <c r="Q107" s="14"/>
    </row>
    <row r="108" spans="1:17" s="15" customFormat="1">
      <c r="A108" s="14"/>
      <c r="B108" s="14"/>
      <c r="C108" s="14"/>
      <c r="Q108" s="14"/>
    </row>
    <row r="109" spans="1:17" s="15" customFormat="1">
      <c r="A109" s="14"/>
      <c r="B109" s="14"/>
      <c r="C109" s="14"/>
      <c r="Q109" s="14"/>
    </row>
    <row r="110" spans="1:17" s="15" customFormat="1">
      <c r="A110" s="14"/>
      <c r="B110" s="14"/>
      <c r="C110" s="14"/>
      <c r="Q110" s="14"/>
    </row>
    <row r="111" spans="1:17" s="15" customFormat="1">
      <c r="A111" s="14"/>
      <c r="B111" s="14"/>
      <c r="C111" s="14"/>
      <c r="Q111" s="14"/>
    </row>
    <row r="112" spans="1:17" s="15" customFormat="1">
      <c r="A112" s="14"/>
      <c r="B112" s="14"/>
      <c r="C112" s="14"/>
      <c r="Q112" s="14"/>
    </row>
    <row r="113" spans="1:17" s="15" customFormat="1">
      <c r="A113" s="14"/>
      <c r="B113" s="14"/>
      <c r="C113" s="14"/>
      <c r="Q113" s="14"/>
    </row>
    <row r="114" spans="1:17" s="15" customFormat="1">
      <c r="A114" s="14"/>
      <c r="B114" s="14"/>
      <c r="C114" s="14"/>
      <c r="Q114" s="14"/>
    </row>
    <row r="115" spans="1:17" s="15" customFormat="1">
      <c r="A115" s="14"/>
      <c r="B115" s="14"/>
      <c r="C115" s="14"/>
      <c r="Q115" s="14"/>
    </row>
    <row r="116" spans="1:17" s="15" customFormat="1">
      <c r="A116" s="14"/>
      <c r="B116" s="14"/>
      <c r="C116" s="14"/>
      <c r="Q116" s="14"/>
    </row>
    <row r="117" spans="1:17" s="15" customFormat="1">
      <c r="A117" s="14"/>
      <c r="B117" s="14"/>
      <c r="C117" s="14"/>
      <c r="Q117" s="14"/>
    </row>
    <row r="118" spans="1:17" s="15" customFormat="1">
      <c r="A118" s="14"/>
      <c r="B118" s="14"/>
      <c r="C118" s="14"/>
      <c r="Q118" s="14"/>
    </row>
    <row r="119" spans="1:17" s="15" customFormat="1">
      <c r="A119" s="14"/>
      <c r="B119" s="14"/>
      <c r="C119" s="14"/>
      <c r="Q119" s="14"/>
    </row>
    <row r="120" spans="1:17" s="15" customFormat="1">
      <c r="A120" s="14"/>
      <c r="B120" s="14"/>
      <c r="C120" s="14"/>
      <c r="Q120" s="14"/>
    </row>
    <row r="121" spans="1:17" s="15" customFormat="1">
      <c r="A121" s="14"/>
      <c r="B121" s="14"/>
      <c r="C121" s="14"/>
      <c r="Q121" s="14"/>
    </row>
    <row r="122" spans="1:17" s="15" customFormat="1">
      <c r="A122" s="14"/>
      <c r="B122" s="14"/>
      <c r="C122" s="14"/>
      <c r="Q122" s="14"/>
    </row>
    <row r="123" spans="1:17" s="15" customFormat="1">
      <c r="A123" s="14"/>
      <c r="B123" s="14"/>
      <c r="C123" s="14"/>
      <c r="Q123" s="14"/>
    </row>
    <row r="124" spans="1:17" s="15" customFormat="1">
      <c r="A124" s="14"/>
      <c r="B124" s="14"/>
      <c r="C124" s="14"/>
      <c r="Q124" s="14"/>
    </row>
    <row r="125" spans="1:17" s="15" customFormat="1">
      <c r="A125" s="14"/>
      <c r="B125" s="14"/>
      <c r="C125" s="14"/>
      <c r="Q125" s="14"/>
    </row>
    <row r="126" spans="1:17" s="15" customFormat="1">
      <c r="A126" s="14"/>
      <c r="B126" s="14"/>
      <c r="C126" s="14"/>
      <c r="Q126" s="14"/>
    </row>
    <row r="127" spans="1:17" s="15" customFormat="1">
      <c r="A127" s="14"/>
      <c r="B127" s="14"/>
      <c r="C127" s="14"/>
      <c r="Q127" s="14"/>
    </row>
    <row r="128" spans="1:17" s="15" customFormat="1">
      <c r="A128" s="14"/>
      <c r="B128" s="14"/>
      <c r="C128" s="14"/>
      <c r="Q128" s="14"/>
    </row>
    <row r="129" spans="1:17" s="15" customFormat="1">
      <c r="A129" s="14"/>
      <c r="B129" s="14"/>
      <c r="C129" s="14"/>
      <c r="Q129" s="14"/>
    </row>
    <row r="130" spans="1:17" s="15" customFormat="1">
      <c r="A130" s="14"/>
      <c r="B130" s="14"/>
      <c r="C130" s="14"/>
      <c r="Q130" s="14"/>
    </row>
    <row r="131" spans="1:17" s="15" customFormat="1">
      <c r="A131" s="14"/>
      <c r="B131" s="14"/>
      <c r="C131" s="14"/>
      <c r="Q131" s="14"/>
    </row>
    <row r="132" spans="1:17" s="15" customFormat="1">
      <c r="A132" s="14"/>
      <c r="B132" s="14"/>
      <c r="C132" s="14"/>
      <c r="Q132" s="14"/>
    </row>
    <row r="133" spans="1:17" s="15" customFormat="1">
      <c r="A133" s="14"/>
      <c r="B133" s="14"/>
      <c r="C133" s="14"/>
      <c r="Q133" s="14"/>
    </row>
    <row r="134" spans="1:17" s="15" customFormat="1">
      <c r="A134" s="14"/>
      <c r="B134" s="14"/>
      <c r="C134" s="14"/>
      <c r="Q134" s="14"/>
    </row>
    <row r="135" spans="1:17" s="15" customFormat="1">
      <c r="A135" s="14"/>
      <c r="B135" s="14"/>
      <c r="C135" s="14"/>
      <c r="Q135" s="14"/>
    </row>
    <row r="136" spans="1:17" s="15" customFormat="1">
      <c r="A136" s="14"/>
      <c r="B136" s="14"/>
      <c r="C136" s="14"/>
      <c r="Q136" s="14"/>
    </row>
    <row r="137" spans="1:17" s="15" customFormat="1">
      <c r="A137" s="14"/>
      <c r="B137" s="14"/>
      <c r="C137" s="14"/>
      <c r="Q137" s="14"/>
    </row>
    <row r="138" spans="1:17" s="15" customFormat="1">
      <c r="A138" s="14"/>
      <c r="B138" s="14"/>
      <c r="C138" s="14"/>
      <c r="Q138" s="14"/>
    </row>
    <row r="139" spans="1:17" s="15" customFormat="1">
      <c r="A139" s="14"/>
      <c r="B139" s="14"/>
      <c r="C139" s="14"/>
      <c r="Q139" s="14"/>
    </row>
    <row r="140" spans="1:17" s="15" customFormat="1">
      <c r="A140" s="14"/>
      <c r="B140" s="14"/>
      <c r="C140" s="14"/>
      <c r="Q140" s="14"/>
    </row>
    <row r="141" spans="1:17" s="15" customFormat="1">
      <c r="A141" s="14"/>
      <c r="B141" s="14"/>
      <c r="C141" s="14"/>
      <c r="Q141" s="14"/>
    </row>
    <row r="142" spans="1:17" s="15" customFormat="1">
      <c r="A142" s="14"/>
      <c r="B142" s="14"/>
      <c r="C142" s="14"/>
      <c r="Q142" s="14"/>
    </row>
    <row r="143" spans="1:17" s="15" customFormat="1">
      <c r="A143" s="14"/>
      <c r="B143" s="14"/>
      <c r="C143" s="14"/>
      <c r="Q143" s="14"/>
    </row>
    <row r="144" spans="1:17" s="15" customFormat="1">
      <c r="A144" s="14"/>
      <c r="B144" s="14"/>
      <c r="C144" s="14"/>
      <c r="Q144" s="14"/>
    </row>
    <row r="145" spans="1:17" s="15" customFormat="1">
      <c r="A145" s="14"/>
      <c r="B145" s="14"/>
      <c r="C145" s="14"/>
      <c r="Q145" s="14"/>
    </row>
    <row r="146" spans="1:17" s="15" customFormat="1">
      <c r="A146" s="14"/>
      <c r="B146" s="14"/>
      <c r="C146" s="14"/>
      <c r="Q146" s="14"/>
    </row>
    <row r="147" spans="1:17" s="15" customFormat="1">
      <c r="A147" s="14"/>
      <c r="B147" s="14"/>
      <c r="C147" s="14"/>
      <c r="Q147" s="14"/>
    </row>
    <row r="148" spans="1:17" s="15" customFormat="1">
      <c r="A148" s="14"/>
      <c r="B148" s="14"/>
      <c r="C148" s="14"/>
      <c r="Q148" s="14"/>
    </row>
    <row r="149" spans="1:17" s="15" customFormat="1">
      <c r="A149" s="14"/>
      <c r="B149" s="14"/>
      <c r="C149" s="14"/>
      <c r="Q149" s="14"/>
    </row>
    <row r="150" spans="1:17" s="15" customFormat="1">
      <c r="A150" s="14"/>
      <c r="B150" s="14"/>
      <c r="C150" s="14"/>
      <c r="Q150" s="14"/>
    </row>
    <row r="151" spans="1:17" s="15" customFormat="1">
      <c r="A151" s="14"/>
      <c r="B151" s="14"/>
      <c r="C151" s="14"/>
      <c r="Q151" s="14"/>
    </row>
    <row r="152" spans="1:17" s="15" customFormat="1">
      <c r="A152" s="14"/>
      <c r="B152" s="14"/>
      <c r="C152" s="14"/>
      <c r="Q152" s="14"/>
    </row>
    <row r="153" spans="1:17" s="15" customFormat="1">
      <c r="A153" s="14"/>
      <c r="B153" s="14"/>
      <c r="C153" s="14"/>
      <c r="Q153" s="14"/>
    </row>
    <row r="154" spans="1:17" s="15" customFormat="1">
      <c r="A154" s="14"/>
      <c r="B154" s="14"/>
      <c r="C154" s="14"/>
      <c r="Q154" s="14"/>
    </row>
    <row r="155" spans="1:17" s="15" customFormat="1">
      <c r="A155" s="14"/>
      <c r="B155" s="14"/>
      <c r="C155" s="14"/>
      <c r="Q155" s="14"/>
    </row>
    <row r="156" spans="1:17" s="15" customFormat="1">
      <c r="A156" s="14"/>
      <c r="B156" s="14"/>
      <c r="C156" s="14"/>
      <c r="Q156" s="14"/>
    </row>
    <row r="157" spans="1:17" s="15" customFormat="1">
      <c r="A157" s="14"/>
      <c r="B157" s="14"/>
      <c r="C157" s="14"/>
      <c r="Q157" s="14"/>
    </row>
    <row r="158" spans="1:17" s="15" customFormat="1">
      <c r="A158" s="14"/>
      <c r="B158" s="14"/>
      <c r="C158" s="14"/>
      <c r="Q158" s="14"/>
    </row>
    <row r="159" spans="1:17" s="15" customFormat="1">
      <c r="A159" s="14"/>
      <c r="B159" s="14"/>
      <c r="C159" s="14"/>
      <c r="Q159" s="14"/>
    </row>
    <row r="160" spans="1:17" s="15" customFormat="1">
      <c r="A160" s="14"/>
      <c r="B160" s="14"/>
      <c r="C160" s="14"/>
      <c r="Q160" s="14"/>
    </row>
    <row r="161" spans="1:17" s="15" customFormat="1">
      <c r="A161" s="14"/>
      <c r="B161" s="14"/>
      <c r="C161" s="14"/>
      <c r="Q161" s="14"/>
    </row>
    <row r="162" spans="1:17" s="15" customFormat="1">
      <c r="A162" s="14"/>
      <c r="B162" s="14"/>
      <c r="C162" s="14"/>
      <c r="Q162" s="14"/>
    </row>
    <row r="163" spans="1:17" s="15" customFormat="1">
      <c r="A163" s="14"/>
      <c r="B163" s="14"/>
      <c r="C163" s="14"/>
      <c r="Q163" s="14"/>
    </row>
    <row r="164" spans="1:17" s="15" customFormat="1">
      <c r="A164" s="14"/>
      <c r="B164" s="14"/>
      <c r="C164" s="14"/>
      <c r="Q164" s="14"/>
    </row>
    <row r="165" spans="1:17" s="15" customFormat="1">
      <c r="A165" s="14"/>
      <c r="B165" s="14"/>
      <c r="C165" s="14"/>
      <c r="Q165" s="14"/>
    </row>
    <row r="166" spans="1:17" s="15" customFormat="1">
      <c r="A166" s="14"/>
      <c r="B166" s="14"/>
      <c r="C166" s="14"/>
      <c r="Q166" s="14"/>
    </row>
    <row r="167" spans="1:17" s="15" customFormat="1">
      <c r="A167" s="14"/>
      <c r="B167" s="14"/>
      <c r="C167" s="14"/>
      <c r="Q167" s="14"/>
    </row>
    <row r="168" spans="1:17" s="15" customFormat="1">
      <c r="A168" s="14"/>
      <c r="B168" s="14"/>
      <c r="C168" s="14"/>
      <c r="Q168" s="14"/>
    </row>
    <row r="169" spans="1:17" s="15" customFormat="1">
      <c r="A169" s="14"/>
      <c r="B169" s="14"/>
      <c r="C169" s="14"/>
      <c r="Q169" s="14"/>
    </row>
    <row r="170" spans="1:17" s="15" customFormat="1">
      <c r="A170" s="14"/>
      <c r="B170" s="14"/>
      <c r="C170" s="14"/>
      <c r="Q170" s="14"/>
    </row>
    <row r="171" spans="1:17" s="15" customFormat="1">
      <c r="A171" s="14"/>
      <c r="B171" s="14"/>
      <c r="C171" s="14"/>
      <c r="Q171" s="14"/>
    </row>
    <row r="172" spans="1:17" s="15" customFormat="1">
      <c r="A172" s="14"/>
      <c r="B172" s="14"/>
      <c r="C172" s="14"/>
      <c r="Q172" s="14"/>
    </row>
    <row r="173" spans="1:17" s="15" customFormat="1">
      <c r="A173" s="14"/>
      <c r="B173" s="14"/>
      <c r="C173" s="14"/>
      <c r="Q173" s="14"/>
    </row>
    <row r="174" spans="1:17" s="15" customFormat="1">
      <c r="A174" s="14"/>
      <c r="B174" s="14"/>
      <c r="C174" s="14"/>
      <c r="Q174" s="14"/>
    </row>
    <row r="175" spans="1:17" s="15" customFormat="1">
      <c r="A175" s="14"/>
      <c r="B175" s="14"/>
      <c r="C175" s="14"/>
      <c r="Q175" s="14"/>
    </row>
    <row r="176" spans="1:17" s="15" customFormat="1">
      <c r="A176" s="14"/>
      <c r="B176" s="14"/>
      <c r="C176" s="14"/>
      <c r="Q176" s="14"/>
    </row>
    <row r="177" spans="1:17" s="15" customFormat="1">
      <c r="A177" s="14"/>
      <c r="B177" s="14"/>
      <c r="C177" s="14"/>
      <c r="Q177" s="14"/>
    </row>
    <row r="178" spans="1:17" s="15" customFormat="1">
      <c r="A178" s="14"/>
      <c r="B178" s="14"/>
      <c r="C178" s="14"/>
      <c r="Q178" s="14"/>
    </row>
    <row r="179" spans="1:17" s="15" customFormat="1">
      <c r="A179" s="14"/>
      <c r="B179" s="14"/>
      <c r="C179" s="14"/>
      <c r="Q179" s="14"/>
    </row>
    <row r="180" spans="1:17" s="15" customFormat="1">
      <c r="A180" s="14"/>
      <c r="B180" s="14"/>
      <c r="C180" s="14"/>
      <c r="Q180" s="14"/>
    </row>
    <row r="181" spans="1:17" s="15" customFormat="1">
      <c r="A181" s="14"/>
      <c r="B181" s="14"/>
      <c r="C181" s="14"/>
      <c r="Q181" s="14"/>
    </row>
    <row r="182" spans="1:17" s="15" customFormat="1">
      <c r="A182" s="14"/>
      <c r="B182" s="14"/>
      <c r="C182" s="14"/>
      <c r="Q182" s="14"/>
    </row>
    <row r="183" spans="1:17" s="15" customFormat="1">
      <c r="A183" s="14"/>
      <c r="B183" s="14"/>
      <c r="C183" s="14"/>
      <c r="Q183" s="14"/>
    </row>
    <row r="184" spans="1:17" s="15" customFormat="1">
      <c r="A184" s="14"/>
      <c r="B184" s="14"/>
      <c r="C184" s="14"/>
      <c r="Q184" s="14"/>
    </row>
    <row r="185" spans="1:17" s="15" customFormat="1">
      <c r="A185" s="14"/>
      <c r="B185" s="14"/>
      <c r="C185" s="14"/>
      <c r="Q185" s="14"/>
    </row>
    <row r="186" spans="1:17" s="15" customFormat="1">
      <c r="A186" s="14"/>
      <c r="B186" s="14"/>
      <c r="C186" s="14"/>
      <c r="Q186" s="14"/>
    </row>
    <row r="187" spans="1:17" s="15" customFormat="1">
      <c r="A187" s="14"/>
      <c r="B187" s="14"/>
      <c r="C187" s="14"/>
      <c r="Q187" s="14"/>
    </row>
    <row r="188" spans="1:17" s="15" customFormat="1">
      <c r="A188" s="14"/>
      <c r="B188" s="14"/>
      <c r="C188" s="14"/>
      <c r="Q188" s="14"/>
    </row>
    <row r="189" spans="1:17" s="15" customFormat="1">
      <c r="A189" s="14"/>
      <c r="B189" s="14"/>
      <c r="C189" s="14"/>
      <c r="Q189" s="14"/>
    </row>
    <row r="190" spans="1:17" s="15" customFormat="1">
      <c r="A190" s="14"/>
      <c r="B190" s="14"/>
      <c r="C190" s="14"/>
      <c r="Q190" s="14"/>
    </row>
    <row r="191" spans="1:17" s="15" customFormat="1">
      <c r="A191" s="14"/>
      <c r="B191" s="14"/>
      <c r="C191" s="14"/>
      <c r="Q191" s="14"/>
    </row>
    <row r="192" spans="1:17" s="15" customFormat="1">
      <c r="A192" s="14"/>
      <c r="B192" s="14"/>
      <c r="C192" s="14"/>
      <c r="Q192" s="14"/>
    </row>
    <row r="193" spans="1:17" s="15" customFormat="1">
      <c r="A193" s="14"/>
      <c r="B193" s="14"/>
      <c r="C193" s="14"/>
      <c r="Q193" s="14"/>
    </row>
    <row r="194" spans="1:17" s="15" customFormat="1">
      <c r="A194" s="14"/>
      <c r="B194" s="14"/>
      <c r="C194" s="14"/>
      <c r="Q194" s="14"/>
    </row>
    <row r="195" spans="1:17" s="15" customFormat="1">
      <c r="A195" s="14"/>
      <c r="B195" s="14"/>
      <c r="C195" s="14"/>
      <c r="Q195" s="14"/>
    </row>
    <row r="196" spans="1:17" s="15" customFormat="1">
      <c r="A196" s="14"/>
      <c r="B196" s="14"/>
      <c r="C196" s="14"/>
      <c r="Q196" s="14"/>
    </row>
    <row r="197" spans="1:17" s="15" customFormat="1">
      <c r="A197" s="14"/>
      <c r="B197" s="14"/>
      <c r="C197" s="14"/>
      <c r="Q197" s="14"/>
    </row>
    <row r="198" spans="1:17" s="15" customFormat="1">
      <c r="A198" s="14"/>
      <c r="B198" s="14"/>
      <c r="C198" s="14"/>
      <c r="Q198" s="14"/>
    </row>
    <row r="199" spans="1:17" s="15" customFormat="1">
      <c r="A199" s="14"/>
      <c r="B199" s="14"/>
      <c r="C199" s="14"/>
      <c r="Q199" s="14"/>
    </row>
    <row r="200" spans="1:17" s="15" customFormat="1">
      <c r="A200" s="14"/>
      <c r="B200" s="14"/>
      <c r="C200" s="14"/>
      <c r="Q200" s="14"/>
    </row>
    <row r="201" spans="1:17" s="15" customFormat="1">
      <c r="A201" s="14"/>
      <c r="B201" s="14"/>
      <c r="C201" s="14"/>
      <c r="Q201" s="14"/>
    </row>
    <row r="202" spans="1:17" s="15" customFormat="1">
      <c r="A202" s="14"/>
      <c r="B202" s="14"/>
      <c r="C202" s="14"/>
      <c r="Q202" s="14"/>
    </row>
    <row r="203" spans="1:17" s="15" customFormat="1">
      <c r="A203" s="14"/>
      <c r="B203" s="14"/>
      <c r="C203" s="14"/>
      <c r="Q203" s="14"/>
    </row>
    <row r="204" spans="1:17" s="15" customFormat="1">
      <c r="A204" s="14"/>
      <c r="B204" s="14"/>
      <c r="C204" s="14"/>
      <c r="Q204" s="14"/>
    </row>
    <row r="205" spans="1:17" s="15" customFormat="1">
      <c r="A205" s="14"/>
      <c r="B205" s="14"/>
      <c r="C205" s="14"/>
      <c r="Q205" s="14"/>
    </row>
    <row r="206" spans="1:17" s="15" customFormat="1">
      <c r="A206" s="14"/>
      <c r="B206" s="14"/>
      <c r="C206" s="14"/>
      <c r="Q206" s="14"/>
    </row>
    <row r="207" spans="1:17" s="15" customFormat="1">
      <c r="A207" s="14"/>
      <c r="B207" s="14"/>
      <c r="C207" s="14"/>
      <c r="Q207" s="14"/>
    </row>
    <row r="208" spans="1:17" s="15" customFormat="1">
      <c r="A208" s="14"/>
      <c r="B208" s="14"/>
      <c r="C208" s="14"/>
      <c r="Q208" s="14"/>
    </row>
    <row r="209" spans="1:17" s="15" customFormat="1">
      <c r="A209" s="14"/>
      <c r="B209" s="14"/>
      <c r="C209" s="14"/>
      <c r="Q209" s="14"/>
    </row>
    <row r="210" spans="1:17" s="15" customFormat="1">
      <c r="A210" s="14"/>
      <c r="B210" s="14"/>
      <c r="C210" s="14"/>
      <c r="Q210" s="14"/>
    </row>
    <row r="211" spans="1:17" s="15" customFormat="1">
      <c r="A211" s="14"/>
      <c r="B211" s="14"/>
      <c r="C211" s="14"/>
      <c r="Q211" s="14"/>
    </row>
    <row r="212" spans="1:17" s="15" customFormat="1">
      <c r="A212" s="14"/>
      <c r="B212" s="14"/>
      <c r="C212" s="14"/>
      <c r="Q212" s="14"/>
    </row>
    <row r="213" spans="1:17" s="15" customFormat="1">
      <c r="A213" s="14"/>
      <c r="B213" s="14"/>
      <c r="C213" s="14"/>
      <c r="Q213" s="14"/>
    </row>
    <row r="214" spans="1:17" s="15" customFormat="1">
      <c r="A214" s="14"/>
      <c r="B214" s="14"/>
      <c r="C214" s="14"/>
      <c r="Q214" s="14"/>
    </row>
    <row r="215" spans="1:17" s="15" customFormat="1">
      <c r="A215" s="14"/>
      <c r="B215" s="14"/>
      <c r="C215" s="14"/>
      <c r="Q215" s="14"/>
    </row>
    <row r="216" spans="1:17" s="15" customFormat="1">
      <c r="A216" s="14"/>
      <c r="B216" s="14"/>
      <c r="C216" s="14"/>
      <c r="Q216" s="14"/>
    </row>
    <row r="217" spans="1:17" s="15" customFormat="1">
      <c r="A217" s="14"/>
      <c r="B217" s="14"/>
      <c r="C217" s="14"/>
      <c r="Q217" s="14"/>
    </row>
    <row r="218" spans="1:17" s="15" customFormat="1">
      <c r="A218" s="14"/>
      <c r="B218" s="14"/>
      <c r="C218" s="14"/>
      <c r="Q218" s="14"/>
    </row>
    <row r="219" spans="1:17" s="15" customFormat="1">
      <c r="A219" s="14"/>
      <c r="B219" s="14"/>
      <c r="C219" s="14"/>
      <c r="Q219" s="14"/>
    </row>
    <row r="220" spans="1:17" s="15" customFormat="1">
      <c r="A220" s="14"/>
      <c r="B220" s="14"/>
      <c r="C220" s="14"/>
      <c r="Q220" s="14"/>
    </row>
    <row r="221" spans="1:17" s="15" customFormat="1">
      <c r="A221" s="14"/>
      <c r="B221" s="14"/>
      <c r="C221" s="14"/>
      <c r="Q221" s="14"/>
    </row>
    <row r="222" spans="1:17" s="15" customFormat="1">
      <c r="A222" s="14"/>
      <c r="B222" s="14"/>
      <c r="C222" s="14"/>
      <c r="Q222" s="14"/>
    </row>
    <row r="223" spans="1:17" s="15" customFormat="1">
      <c r="A223" s="14"/>
      <c r="B223" s="14"/>
      <c r="C223" s="14"/>
      <c r="Q223" s="14"/>
    </row>
    <row r="224" spans="1:17" s="15" customFormat="1">
      <c r="A224" s="14"/>
      <c r="B224" s="14"/>
      <c r="C224" s="14"/>
      <c r="Q224" s="14"/>
    </row>
    <row r="225" spans="1:17" s="15" customFormat="1">
      <c r="A225" s="14"/>
      <c r="B225" s="14"/>
      <c r="C225" s="14"/>
      <c r="Q225" s="14"/>
    </row>
    <row r="226" spans="1:17" s="15" customFormat="1">
      <c r="A226" s="14"/>
      <c r="B226" s="14"/>
      <c r="C226" s="14"/>
      <c r="Q226" s="14"/>
    </row>
    <row r="227" spans="1:17" s="15" customFormat="1">
      <c r="A227" s="14"/>
      <c r="B227" s="14"/>
      <c r="C227" s="14"/>
      <c r="Q227" s="14"/>
    </row>
    <row r="228" spans="1:17" s="15" customFormat="1">
      <c r="A228" s="14"/>
      <c r="B228" s="14"/>
      <c r="C228" s="14"/>
      <c r="Q228" s="14"/>
    </row>
    <row r="229" spans="1:17" s="15" customFormat="1">
      <c r="A229" s="14"/>
      <c r="B229" s="14"/>
      <c r="C229" s="14"/>
      <c r="Q229" s="14"/>
    </row>
    <row r="230" spans="1:17" s="15" customFormat="1">
      <c r="A230" s="14"/>
      <c r="B230" s="14"/>
      <c r="C230" s="14"/>
      <c r="Q230" s="14"/>
    </row>
    <row r="231" spans="1:17" s="15" customFormat="1">
      <c r="A231" s="14"/>
      <c r="B231" s="14"/>
      <c r="C231" s="14"/>
      <c r="Q231" s="14"/>
    </row>
    <row r="232" spans="1:17" s="15" customFormat="1">
      <c r="A232" s="14"/>
      <c r="B232" s="14"/>
      <c r="C232" s="14"/>
      <c r="Q232" s="14"/>
    </row>
    <row r="233" spans="1:17" s="15" customFormat="1">
      <c r="A233" s="14"/>
      <c r="B233" s="14"/>
      <c r="C233" s="14"/>
      <c r="Q233" s="14"/>
    </row>
    <row r="234" spans="1:17" s="15" customFormat="1">
      <c r="A234" s="14"/>
      <c r="B234" s="14"/>
      <c r="C234" s="14"/>
      <c r="Q234" s="14"/>
    </row>
    <row r="235" spans="1:17" s="15" customFormat="1">
      <c r="A235" s="14"/>
      <c r="B235" s="14"/>
      <c r="C235" s="14"/>
      <c r="Q235" s="14"/>
    </row>
    <row r="236" spans="1:17" s="15" customFormat="1">
      <c r="A236" s="14"/>
      <c r="B236" s="14"/>
      <c r="C236" s="14"/>
      <c r="Q236" s="14"/>
    </row>
    <row r="237" spans="1:17" s="15" customFormat="1">
      <c r="A237" s="14"/>
      <c r="B237" s="14"/>
      <c r="C237" s="14"/>
      <c r="Q237" s="14"/>
    </row>
    <row r="238" spans="1:17" s="15" customFormat="1">
      <c r="A238" s="14"/>
      <c r="B238" s="14"/>
      <c r="C238" s="14"/>
      <c r="Q238" s="14"/>
    </row>
    <row r="239" spans="1:17" s="15" customFormat="1">
      <c r="A239" s="14"/>
      <c r="B239" s="14"/>
      <c r="C239" s="14"/>
      <c r="Q239" s="14"/>
    </row>
    <row r="240" spans="1:17" s="15" customFormat="1">
      <c r="A240" s="14"/>
      <c r="B240" s="14"/>
      <c r="C240" s="14"/>
      <c r="Q240" s="14"/>
    </row>
    <row r="241" spans="1:17" s="15" customFormat="1">
      <c r="A241" s="14"/>
      <c r="B241" s="14"/>
      <c r="C241" s="14"/>
      <c r="Q241" s="14"/>
    </row>
    <row r="242" spans="1:17" s="15" customFormat="1">
      <c r="A242" s="14"/>
      <c r="B242" s="14"/>
      <c r="C242" s="14"/>
      <c r="Q242" s="14"/>
    </row>
    <row r="243" spans="1:17" s="15" customFormat="1">
      <c r="A243" s="14"/>
      <c r="B243" s="14"/>
      <c r="C243" s="14"/>
      <c r="Q243" s="14"/>
    </row>
    <row r="244" spans="1:17" s="15" customFormat="1">
      <c r="A244" s="14"/>
      <c r="B244" s="14"/>
      <c r="C244" s="14"/>
      <c r="Q244" s="14"/>
    </row>
    <row r="245" spans="1:17" s="15" customFormat="1">
      <c r="A245" s="14"/>
      <c r="B245" s="14"/>
      <c r="C245" s="14"/>
      <c r="Q245" s="14"/>
    </row>
    <row r="246" spans="1:17" s="15" customFormat="1">
      <c r="A246" s="14"/>
      <c r="B246" s="14"/>
      <c r="C246" s="14"/>
      <c r="Q246" s="14"/>
    </row>
    <row r="247" spans="1:17" s="15" customFormat="1">
      <c r="A247" s="14"/>
      <c r="B247" s="14"/>
      <c r="C247" s="14"/>
      <c r="Q247" s="14"/>
    </row>
    <row r="248" spans="1:17" s="15" customFormat="1">
      <c r="A248" s="14"/>
      <c r="B248" s="14"/>
      <c r="C248" s="14"/>
      <c r="Q248" s="14"/>
    </row>
    <row r="249" spans="1:17" s="15" customFormat="1">
      <c r="A249" s="14"/>
      <c r="B249" s="14"/>
      <c r="C249" s="14"/>
      <c r="Q249" s="14"/>
    </row>
    <row r="250" spans="1:17" s="15" customFormat="1">
      <c r="A250" s="14"/>
      <c r="B250" s="14"/>
      <c r="C250" s="14"/>
      <c r="Q250" s="14"/>
    </row>
    <row r="251" spans="1:17" s="15" customFormat="1">
      <c r="A251" s="14"/>
      <c r="B251" s="14"/>
      <c r="C251" s="14"/>
      <c r="Q251" s="14"/>
    </row>
    <row r="252" spans="1:17" s="15" customFormat="1">
      <c r="A252" s="14"/>
      <c r="B252" s="14"/>
      <c r="C252" s="14"/>
      <c r="Q252" s="14"/>
    </row>
    <row r="253" spans="1:17" s="15" customFormat="1">
      <c r="A253" s="14"/>
      <c r="B253" s="14"/>
      <c r="C253" s="14"/>
      <c r="Q253" s="14"/>
    </row>
    <row r="254" spans="1:17" s="15" customFormat="1">
      <c r="A254" s="14"/>
      <c r="B254" s="14"/>
      <c r="C254" s="14"/>
      <c r="Q254" s="14"/>
    </row>
    <row r="255" spans="1:17" s="15" customFormat="1">
      <c r="A255" s="14"/>
      <c r="B255" s="14"/>
      <c r="C255" s="14"/>
      <c r="Q255" s="14"/>
    </row>
    <row r="256" spans="1:17" s="15" customFormat="1">
      <c r="A256" s="14"/>
      <c r="B256" s="14"/>
      <c r="C256" s="14"/>
      <c r="Q256" s="14"/>
    </row>
    <row r="257" spans="1:17" s="15" customFormat="1">
      <c r="A257" s="14"/>
      <c r="B257" s="14"/>
      <c r="C257" s="14"/>
      <c r="Q257" s="14"/>
    </row>
    <row r="258" spans="1:17" s="15" customFormat="1">
      <c r="A258" s="14"/>
      <c r="B258" s="14"/>
      <c r="C258" s="14"/>
      <c r="Q258" s="14"/>
    </row>
    <row r="259" spans="1:17" s="15" customFormat="1">
      <c r="A259" s="14"/>
      <c r="B259" s="14"/>
      <c r="C259" s="14"/>
      <c r="Q259" s="14"/>
    </row>
    <row r="260" spans="1:17" s="15" customFormat="1">
      <c r="A260" s="14"/>
      <c r="B260" s="14"/>
      <c r="C260" s="14"/>
      <c r="Q260" s="14"/>
    </row>
    <row r="261" spans="1:17" s="15" customFormat="1">
      <c r="A261" s="14"/>
      <c r="B261" s="14"/>
      <c r="C261" s="14"/>
      <c r="Q261" s="14"/>
    </row>
    <row r="262" spans="1:17" s="15" customFormat="1">
      <c r="A262" s="14"/>
      <c r="B262" s="14"/>
      <c r="C262" s="14"/>
      <c r="Q262" s="14"/>
    </row>
    <row r="263" spans="1:17" s="15" customFormat="1">
      <c r="A263" s="14"/>
      <c r="B263" s="14"/>
      <c r="C263" s="14"/>
      <c r="Q263" s="14"/>
    </row>
    <row r="264" spans="1:17" s="15" customFormat="1">
      <c r="A264" s="14"/>
      <c r="B264" s="14"/>
      <c r="C264" s="14"/>
      <c r="Q264" s="14"/>
    </row>
    <row r="265" spans="1:17" s="15" customFormat="1">
      <c r="A265" s="14"/>
      <c r="B265" s="14"/>
      <c r="C265" s="14"/>
      <c r="Q265" s="14"/>
    </row>
    <row r="266" spans="1:17" s="15" customFormat="1">
      <c r="A266" s="14"/>
      <c r="B266" s="14"/>
      <c r="C266" s="14"/>
      <c r="Q266" s="14"/>
    </row>
    <row r="267" spans="1:17" s="15" customFormat="1">
      <c r="A267" s="14"/>
      <c r="B267" s="14"/>
      <c r="C267" s="14"/>
      <c r="Q267" s="14"/>
    </row>
    <row r="268" spans="1:17" s="15" customFormat="1">
      <c r="A268" s="14"/>
      <c r="B268" s="14"/>
      <c r="C268" s="14"/>
      <c r="Q268" s="14"/>
    </row>
    <row r="269" spans="1:17" s="15" customFormat="1">
      <c r="A269" s="14"/>
      <c r="B269" s="14"/>
      <c r="C269" s="14"/>
      <c r="Q269" s="14"/>
    </row>
    <row r="270" spans="1:17" s="15" customFormat="1">
      <c r="A270" s="14"/>
      <c r="B270" s="14"/>
      <c r="C270" s="14"/>
      <c r="Q270" s="14"/>
    </row>
    <row r="271" spans="1:17" s="15" customFormat="1">
      <c r="A271" s="14"/>
      <c r="B271" s="14"/>
      <c r="C271" s="14"/>
      <c r="Q271" s="14"/>
    </row>
    <row r="272" spans="1:17" s="15" customFormat="1">
      <c r="A272" s="14"/>
      <c r="B272" s="14"/>
      <c r="C272" s="14"/>
      <c r="Q272" s="14"/>
    </row>
    <row r="273" spans="1:17" s="15" customFormat="1">
      <c r="A273" s="14"/>
      <c r="B273" s="14"/>
      <c r="C273" s="14"/>
      <c r="Q273" s="14"/>
    </row>
    <row r="274" spans="1:17" s="15" customFormat="1">
      <c r="A274" s="14"/>
      <c r="B274" s="14"/>
      <c r="C274" s="14"/>
      <c r="Q274" s="14"/>
    </row>
    <row r="275" spans="1:17" s="15" customFormat="1">
      <c r="A275" s="14"/>
      <c r="B275" s="14"/>
      <c r="C275" s="14"/>
      <c r="Q275" s="14"/>
    </row>
    <row r="276" spans="1:17" s="15" customFormat="1">
      <c r="A276" s="14"/>
      <c r="B276" s="14"/>
      <c r="C276" s="14"/>
      <c r="Q276" s="14"/>
    </row>
    <row r="277" spans="1:17" s="15" customFormat="1">
      <c r="A277" s="14"/>
      <c r="B277" s="14"/>
      <c r="C277" s="14"/>
      <c r="Q277" s="14"/>
    </row>
    <row r="278" spans="1:17" s="15" customFormat="1">
      <c r="A278" s="14"/>
      <c r="B278" s="14"/>
      <c r="C278" s="14"/>
      <c r="Q278" s="14"/>
    </row>
    <row r="279" spans="1:17" s="15" customFormat="1">
      <c r="A279" s="14"/>
      <c r="B279" s="14"/>
      <c r="C279" s="14"/>
      <c r="Q279" s="14"/>
    </row>
    <row r="280" spans="1:17" s="15" customFormat="1">
      <c r="A280" s="14"/>
      <c r="B280" s="14"/>
      <c r="C280" s="14"/>
      <c r="Q280" s="14"/>
    </row>
    <row r="281" spans="1:17" s="15" customFormat="1">
      <c r="A281" s="14"/>
      <c r="B281" s="14"/>
      <c r="C281" s="14"/>
      <c r="Q281" s="14"/>
    </row>
    <row r="282" spans="1:17" s="15" customFormat="1">
      <c r="A282" s="14"/>
      <c r="B282" s="14"/>
      <c r="C282" s="14"/>
      <c r="Q282" s="14"/>
    </row>
    <row r="283" spans="1:17" s="15" customFormat="1">
      <c r="A283" s="14"/>
      <c r="B283" s="14"/>
      <c r="C283" s="14"/>
      <c r="Q283" s="14"/>
    </row>
    <row r="284" spans="1:17" s="15" customFormat="1">
      <c r="A284" s="14"/>
      <c r="B284" s="14"/>
      <c r="C284" s="14"/>
      <c r="Q284" s="14"/>
    </row>
    <row r="285" spans="1:17" s="15" customFormat="1">
      <c r="A285" s="14"/>
      <c r="B285" s="14"/>
      <c r="C285" s="14"/>
      <c r="Q285" s="14"/>
    </row>
    <row r="286" spans="1:17" s="15" customFormat="1">
      <c r="A286" s="14"/>
      <c r="B286" s="14"/>
      <c r="C286" s="14"/>
      <c r="Q286" s="14"/>
    </row>
    <row r="287" spans="1:17" s="15" customFormat="1">
      <c r="A287" s="14"/>
      <c r="B287" s="14"/>
      <c r="C287" s="14"/>
      <c r="Q287" s="14"/>
    </row>
    <row r="288" spans="1:17" s="15" customFormat="1">
      <c r="A288" s="14"/>
      <c r="B288" s="14"/>
      <c r="C288" s="14"/>
      <c r="Q288" s="14"/>
    </row>
    <row r="289" spans="1:17" s="15" customFormat="1">
      <c r="A289" s="14"/>
      <c r="B289" s="14"/>
      <c r="C289" s="14"/>
      <c r="Q289" s="14"/>
    </row>
    <row r="290" spans="1:17" s="15" customFormat="1">
      <c r="A290" s="14"/>
      <c r="B290" s="14"/>
      <c r="C290" s="14"/>
      <c r="Q290" s="14"/>
    </row>
    <row r="291" spans="1:17" s="15" customFormat="1">
      <c r="A291" s="14"/>
      <c r="B291" s="14"/>
      <c r="C291" s="14"/>
      <c r="Q291" s="14"/>
    </row>
    <row r="292" spans="1:17" s="15" customFormat="1">
      <c r="A292" s="14"/>
      <c r="B292" s="14"/>
      <c r="C292" s="14"/>
      <c r="Q292" s="14"/>
    </row>
    <row r="293" spans="1:17" s="15" customFormat="1">
      <c r="A293" s="14"/>
      <c r="B293" s="14"/>
      <c r="C293" s="14"/>
      <c r="Q293" s="14"/>
    </row>
    <row r="294" spans="1:17" s="15" customFormat="1">
      <c r="A294" s="14"/>
      <c r="B294" s="14"/>
      <c r="C294" s="14"/>
      <c r="Q294" s="14"/>
    </row>
    <row r="295" spans="1:17" s="15" customFormat="1">
      <c r="A295" s="14"/>
      <c r="B295" s="14"/>
      <c r="C295" s="14"/>
      <c r="Q295" s="14"/>
    </row>
    <row r="296" spans="1:17" s="15" customFormat="1">
      <c r="A296" s="14"/>
      <c r="B296" s="14"/>
      <c r="C296" s="14"/>
      <c r="Q296" s="14"/>
    </row>
    <row r="297" spans="1:17" s="15" customFormat="1">
      <c r="A297" s="14"/>
      <c r="B297" s="14"/>
      <c r="C297" s="14"/>
      <c r="Q297" s="14"/>
    </row>
    <row r="298" spans="1:17" s="15" customFormat="1">
      <c r="A298" s="14"/>
      <c r="B298" s="14"/>
      <c r="C298" s="14"/>
      <c r="Q298" s="14"/>
    </row>
    <row r="299" spans="1:17" s="15" customFormat="1">
      <c r="A299" s="14"/>
      <c r="B299" s="14"/>
      <c r="C299" s="14"/>
      <c r="Q299" s="14"/>
    </row>
    <row r="300" spans="1:17" s="15" customFormat="1">
      <c r="A300" s="14"/>
      <c r="B300" s="14"/>
      <c r="C300" s="14"/>
      <c r="Q300" s="14"/>
    </row>
    <row r="301" spans="1:17" s="15" customFormat="1">
      <c r="A301" s="14"/>
      <c r="B301" s="14"/>
      <c r="C301" s="14"/>
      <c r="Q301" s="14"/>
    </row>
    <row r="302" spans="1:17" s="15" customFormat="1">
      <c r="A302" s="14"/>
      <c r="B302" s="14"/>
      <c r="C302" s="14"/>
      <c r="Q302" s="14"/>
    </row>
    <row r="303" spans="1:17" s="15" customFormat="1">
      <c r="A303" s="14"/>
      <c r="B303" s="14"/>
      <c r="C303" s="14"/>
      <c r="Q303" s="14"/>
    </row>
    <row r="304" spans="1:17" s="15" customFormat="1">
      <c r="A304" s="14"/>
      <c r="B304" s="14"/>
      <c r="C304" s="14"/>
      <c r="Q304" s="14"/>
    </row>
    <row r="305" spans="1:17" s="15" customFormat="1">
      <c r="A305" s="14"/>
      <c r="B305" s="14"/>
      <c r="C305" s="14"/>
      <c r="Q305" s="14"/>
    </row>
    <row r="306" spans="1:17" s="15" customFormat="1">
      <c r="A306" s="14"/>
      <c r="B306" s="14"/>
      <c r="C306" s="14"/>
      <c r="Q306" s="14"/>
    </row>
    <row r="307" spans="1:17" s="15" customFormat="1">
      <c r="A307" s="14"/>
      <c r="B307" s="14"/>
      <c r="C307" s="14"/>
      <c r="Q307" s="14"/>
    </row>
    <row r="308" spans="1:17" s="15" customFormat="1">
      <c r="A308" s="14"/>
      <c r="B308" s="14"/>
      <c r="C308" s="14"/>
      <c r="Q308" s="14"/>
    </row>
    <row r="309" spans="1:17" s="15" customFormat="1">
      <c r="A309" s="14"/>
      <c r="B309" s="14"/>
      <c r="C309" s="14"/>
      <c r="Q309" s="14"/>
    </row>
    <row r="310" spans="1:17" s="15" customFormat="1">
      <c r="A310" s="14"/>
      <c r="B310" s="14"/>
      <c r="C310" s="14"/>
      <c r="Q310" s="14"/>
    </row>
    <row r="311" spans="1:17" s="15" customFormat="1">
      <c r="A311" s="14"/>
      <c r="B311" s="14"/>
      <c r="C311" s="14"/>
      <c r="Q311" s="14"/>
    </row>
    <row r="312" spans="1:17" s="15" customFormat="1">
      <c r="A312" s="14"/>
      <c r="B312" s="14"/>
      <c r="C312" s="14"/>
      <c r="Q312" s="14"/>
    </row>
    <row r="313" spans="1:17" s="15" customFormat="1">
      <c r="A313" s="14"/>
      <c r="B313" s="14"/>
      <c r="C313" s="14"/>
      <c r="Q313" s="14"/>
    </row>
    <row r="314" spans="1:17" s="15" customFormat="1">
      <c r="A314" s="14"/>
      <c r="B314" s="14"/>
      <c r="C314" s="14"/>
      <c r="Q314" s="14"/>
    </row>
    <row r="315" spans="1:17" s="15" customFormat="1">
      <c r="A315" s="14"/>
      <c r="B315" s="14"/>
      <c r="C315" s="14"/>
      <c r="Q315" s="14"/>
    </row>
    <row r="316" spans="1:17" s="15" customFormat="1">
      <c r="A316" s="14"/>
      <c r="B316" s="14"/>
      <c r="C316" s="14"/>
      <c r="Q316" s="14"/>
    </row>
    <row r="317" spans="1:17" s="15" customFormat="1">
      <c r="A317" s="14"/>
      <c r="B317" s="14"/>
      <c r="C317" s="14"/>
      <c r="Q317" s="14"/>
    </row>
    <row r="318" spans="1:17" s="15" customFormat="1">
      <c r="A318" s="14"/>
      <c r="B318" s="14"/>
      <c r="C318" s="14"/>
      <c r="Q318" s="14"/>
    </row>
    <row r="319" spans="1:17" s="15" customFormat="1">
      <c r="A319" s="14"/>
      <c r="B319" s="14"/>
      <c r="C319" s="14"/>
      <c r="Q319" s="14"/>
    </row>
    <row r="320" spans="1:17" s="15" customFormat="1">
      <c r="A320" s="14"/>
      <c r="B320" s="14"/>
      <c r="C320" s="14"/>
      <c r="Q320" s="14"/>
    </row>
    <row r="321" spans="1:17" s="15" customFormat="1">
      <c r="A321" s="14"/>
      <c r="B321" s="14"/>
      <c r="C321" s="14"/>
      <c r="Q321" s="14"/>
    </row>
    <row r="322" spans="1:17" s="15" customFormat="1">
      <c r="A322" s="14"/>
      <c r="B322" s="14"/>
      <c r="C322" s="14"/>
      <c r="Q322" s="14"/>
    </row>
    <row r="323" spans="1:17" s="15" customFormat="1">
      <c r="A323" s="14"/>
      <c r="B323" s="14"/>
      <c r="C323" s="14"/>
      <c r="Q323" s="14"/>
    </row>
    <row r="324" spans="1:17" s="15" customFormat="1">
      <c r="A324" s="14"/>
      <c r="B324" s="14"/>
      <c r="C324" s="14"/>
      <c r="Q324" s="14"/>
    </row>
    <row r="325" spans="1:17" s="15" customFormat="1">
      <c r="A325" s="14"/>
      <c r="B325" s="14"/>
      <c r="C325" s="14"/>
      <c r="Q325" s="14"/>
    </row>
    <row r="326" spans="1:17" s="15" customFormat="1">
      <c r="A326" s="14"/>
      <c r="B326" s="14"/>
      <c r="C326" s="14"/>
      <c r="Q326" s="14"/>
    </row>
    <row r="327" spans="1:17" s="15" customFormat="1">
      <c r="A327" s="14"/>
      <c r="B327" s="14"/>
      <c r="C327" s="14"/>
      <c r="Q327" s="14"/>
    </row>
    <row r="328" spans="1:17" s="15" customFormat="1">
      <c r="A328" s="14"/>
      <c r="B328" s="14"/>
      <c r="C328" s="14"/>
      <c r="Q328" s="14"/>
    </row>
    <row r="329" spans="1:17" s="15" customFormat="1">
      <c r="A329" s="14"/>
      <c r="B329" s="14"/>
      <c r="C329" s="14"/>
      <c r="Q329" s="14"/>
    </row>
    <row r="330" spans="1:17" s="15" customFormat="1">
      <c r="A330" s="14"/>
      <c r="B330" s="14"/>
      <c r="C330" s="14"/>
      <c r="Q330" s="14"/>
    </row>
    <row r="331" spans="1:17" s="15" customFormat="1">
      <c r="A331" s="14"/>
      <c r="B331" s="14"/>
      <c r="C331" s="14"/>
      <c r="Q331" s="14"/>
    </row>
    <row r="332" spans="1:17" s="15" customFormat="1">
      <c r="A332" s="14"/>
      <c r="B332" s="14"/>
      <c r="C332" s="14"/>
      <c r="Q332" s="14"/>
    </row>
    <row r="333" spans="1:17" s="15" customFormat="1">
      <c r="A333" s="14"/>
      <c r="B333" s="14"/>
      <c r="C333" s="14"/>
      <c r="Q333" s="14"/>
    </row>
    <row r="334" spans="1:17" s="15" customFormat="1">
      <c r="A334" s="14"/>
      <c r="B334" s="14"/>
      <c r="C334" s="14"/>
      <c r="Q334" s="14"/>
    </row>
    <row r="335" spans="1:17" s="15" customFormat="1">
      <c r="A335" s="14"/>
      <c r="B335" s="14"/>
      <c r="C335" s="14"/>
      <c r="Q335" s="14"/>
    </row>
    <row r="336" spans="1:17" s="15" customFormat="1">
      <c r="A336" s="14"/>
      <c r="B336" s="14"/>
      <c r="C336" s="14"/>
      <c r="Q336" s="14"/>
    </row>
    <row r="337" spans="1:17" s="15" customFormat="1">
      <c r="A337" s="14"/>
      <c r="B337" s="14"/>
      <c r="C337" s="14"/>
      <c r="Q337" s="14"/>
    </row>
    <row r="338" spans="1:17" s="15" customFormat="1">
      <c r="A338" s="14"/>
      <c r="B338" s="14"/>
      <c r="C338" s="14"/>
      <c r="Q338" s="14"/>
    </row>
    <row r="339" spans="1:17" s="15" customFormat="1">
      <c r="A339" s="14"/>
      <c r="B339" s="14"/>
      <c r="C339" s="14"/>
      <c r="Q339" s="14"/>
    </row>
    <row r="340" spans="1:17" s="15" customFormat="1">
      <c r="A340" s="14"/>
      <c r="B340" s="14"/>
      <c r="C340" s="14"/>
      <c r="Q340" s="14"/>
    </row>
    <row r="341" spans="1:17" s="15" customFormat="1">
      <c r="A341" s="14"/>
      <c r="B341" s="14"/>
      <c r="C341" s="14"/>
      <c r="Q341" s="14"/>
    </row>
    <row r="342" spans="1:17" s="15" customFormat="1">
      <c r="A342" s="14"/>
      <c r="B342" s="14"/>
      <c r="C342" s="14"/>
      <c r="Q342" s="14"/>
    </row>
    <row r="343" spans="1:17" s="15" customFormat="1">
      <c r="A343" s="14"/>
      <c r="B343" s="14"/>
      <c r="C343" s="14"/>
      <c r="Q343" s="14"/>
    </row>
    <row r="344" spans="1:17" s="15" customFormat="1">
      <c r="A344" s="14"/>
      <c r="B344" s="14"/>
      <c r="C344" s="14"/>
      <c r="Q344" s="14"/>
    </row>
    <row r="345" spans="1:17" s="15" customFormat="1">
      <c r="A345" s="14"/>
      <c r="B345" s="14"/>
      <c r="C345" s="14"/>
      <c r="Q345" s="14"/>
    </row>
    <row r="346" spans="1:17" s="15" customFormat="1">
      <c r="A346" s="14"/>
      <c r="B346" s="14"/>
      <c r="C346" s="14"/>
      <c r="Q346" s="14"/>
    </row>
    <row r="347" spans="1:17" s="15" customFormat="1">
      <c r="A347" s="14"/>
      <c r="B347" s="14"/>
      <c r="C347" s="14"/>
      <c r="Q347" s="14"/>
    </row>
    <row r="348" spans="1:17" s="15" customFormat="1">
      <c r="A348" s="14"/>
      <c r="B348" s="14"/>
      <c r="C348" s="14"/>
      <c r="Q348" s="14"/>
    </row>
    <row r="349" spans="1:17" s="15" customFormat="1">
      <c r="A349" s="14"/>
      <c r="B349" s="14"/>
      <c r="C349" s="14"/>
      <c r="Q349" s="14"/>
    </row>
    <row r="350" spans="1:17" s="15" customFormat="1">
      <c r="A350" s="14"/>
      <c r="B350" s="14"/>
      <c r="C350" s="14"/>
      <c r="Q350" s="14"/>
    </row>
    <row r="351" spans="1:17" s="15" customFormat="1">
      <c r="A351" s="14"/>
      <c r="B351" s="14"/>
      <c r="C351" s="14"/>
      <c r="Q351" s="14"/>
    </row>
    <row r="352" spans="1:17" s="15" customFormat="1">
      <c r="A352" s="14"/>
      <c r="B352" s="14"/>
      <c r="C352" s="14"/>
      <c r="Q352" s="14"/>
    </row>
    <row r="353" spans="1:17" s="15" customFormat="1">
      <c r="A353" s="14"/>
      <c r="B353" s="14"/>
      <c r="C353" s="14"/>
      <c r="Q353" s="14"/>
    </row>
    <row r="354" spans="1:17" s="15" customFormat="1">
      <c r="A354" s="14"/>
      <c r="B354" s="14"/>
      <c r="C354" s="14"/>
      <c r="Q354" s="14"/>
    </row>
    <row r="355" spans="1:17" s="15" customFormat="1">
      <c r="A355" s="14"/>
      <c r="B355" s="14"/>
      <c r="C355" s="14"/>
      <c r="Q355" s="14"/>
    </row>
    <row r="356" spans="1:17" s="15" customFormat="1">
      <c r="A356" s="14"/>
      <c r="B356" s="14"/>
      <c r="C356" s="14"/>
      <c r="Q356" s="14"/>
    </row>
    <row r="357" spans="1:17" s="15" customFormat="1">
      <c r="A357" s="14"/>
      <c r="B357" s="14"/>
      <c r="C357" s="14"/>
      <c r="Q357" s="14"/>
    </row>
    <row r="358" spans="1:17" s="15" customFormat="1">
      <c r="A358" s="14"/>
      <c r="B358" s="14"/>
      <c r="C358" s="14"/>
      <c r="Q358" s="14"/>
    </row>
    <row r="359" spans="1:17" s="15" customFormat="1">
      <c r="A359" s="14"/>
      <c r="B359" s="14"/>
      <c r="C359" s="14"/>
      <c r="Q359" s="14"/>
    </row>
    <row r="360" spans="1:17" s="15" customFormat="1">
      <c r="A360" s="14"/>
      <c r="B360" s="14"/>
      <c r="C360" s="14"/>
      <c r="Q360" s="14"/>
    </row>
    <row r="361" spans="1:17" s="15" customFormat="1">
      <c r="A361" s="14"/>
      <c r="B361" s="14"/>
      <c r="C361" s="14"/>
      <c r="Q361" s="14"/>
    </row>
    <row r="362" spans="1:17" s="15" customFormat="1">
      <c r="A362" s="14"/>
      <c r="B362" s="14"/>
      <c r="C362" s="14"/>
      <c r="Q362" s="14"/>
    </row>
    <row r="363" spans="1:17" s="15" customFormat="1">
      <c r="A363" s="14"/>
      <c r="B363" s="14"/>
      <c r="C363" s="14"/>
      <c r="Q363" s="14"/>
    </row>
    <row r="364" spans="1:17" s="15" customFormat="1">
      <c r="A364" s="14"/>
      <c r="B364" s="14"/>
      <c r="C364" s="14"/>
      <c r="Q364" s="14"/>
    </row>
    <row r="365" spans="1:17" s="15" customFormat="1">
      <c r="A365" s="14"/>
      <c r="B365" s="14"/>
      <c r="C365" s="14"/>
      <c r="Q365" s="14"/>
    </row>
    <row r="366" spans="1:17" s="15" customFormat="1">
      <c r="A366" s="14"/>
      <c r="B366" s="14"/>
      <c r="C366" s="14"/>
      <c r="Q366" s="14"/>
    </row>
    <row r="367" spans="1:17" s="15" customFormat="1">
      <c r="A367" s="14"/>
      <c r="B367" s="14"/>
      <c r="C367" s="14"/>
      <c r="Q367" s="14"/>
    </row>
    <row r="368" spans="1:17" s="15" customFormat="1">
      <c r="A368" s="14"/>
      <c r="B368" s="14"/>
      <c r="C368" s="14"/>
      <c r="Q368" s="14"/>
    </row>
    <row r="369" spans="1:17" s="15" customFormat="1">
      <c r="A369" s="14"/>
      <c r="B369" s="14"/>
      <c r="C369" s="14"/>
      <c r="Q369" s="14"/>
    </row>
    <row r="370" spans="1:17" s="15" customFormat="1">
      <c r="A370" s="14"/>
      <c r="B370" s="14"/>
      <c r="C370" s="14"/>
      <c r="Q370" s="14"/>
    </row>
    <row r="371" spans="1:17" s="15" customFormat="1">
      <c r="A371" s="14"/>
      <c r="B371" s="14"/>
      <c r="C371" s="14"/>
      <c r="Q371" s="14"/>
    </row>
    <row r="372" spans="1:17" s="15" customFormat="1">
      <c r="A372" s="14"/>
      <c r="B372" s="14"/>
      <c r="C372" s="14"/>
      <c r="Q372" s="14"/>
    </row>
    <row r="373" spans="1:17" s="15" customFormat="1">
      <c r="A373" s="14"/>
      <c r="B373" s="14"/>
      <c r="C373" s="14"/>
      <c r="Q373" s="14"/>
    </row>
    <row r="374" spans="1:17" s="15" customFormat="1">
      <c r="A374" s="14"/>
      <c r="B374" s="14"/>
      <c r="C374" s="14"/>
      <c r="Q374" s="14"/>
    </row>
    <row r="375" spans="1:17" s="15" customFormat="1">
      <c r="A375" s="14"/>
      <c r="B375" s="14"/>
      <c r="C375" s="14"/>
      <c r="Q375" s="14"/>
    </row>
    <row r="376" spans="1:17" s="15" customFormat="1">
      <c r="A376" s="14"/>
      <c r="B376" s="14"/>
      <c r="C376" s="14"/>
      <c r="Q376" s="14"/>
    </row>
    <row r="377" spans="1:17" s="15" customFormat="1">
      <c r="A377" s="14"/>
      <c r="B377" s="14"/>
      <c r="C377" s="14"/>
      <c r="Q377" s="14"/>
    </row>
    <row r="378" spans="1:17" s="15" customFormat="1">
      <c r="A378" s="14"/>
      <c r="B378" s="14"/>
      <c r="C378" s="14"/>
      <c r="Q378" s="14"/>
    </row>
    <row r="379" spans="1:17" s="15" customFormat="1">
      <c r="A379" s="14"/>
      <c r="B379" s="14"/>
      <c r="C379" s="14"/>
      <c r="Q379" s="14"/>
    </row>
    <row r="380" spans="1:17" s="15" customFormat="1">
      <c r="A380" s="14"/>
      <c r="B380" s="14"/>
      <c r="C380" s="14"/>
      <c r="Q380" s="14"/>
    </row>
    <row r="381" spans="1:17" s="15" customFormat="1">
      <c r="A381" s="14"/>
      <c r="B381" s="14"/>
      <c r="C381" s="14"/>
      <c r="Q381" s="14"/>
    </row>
    <row r="382" spans="1:17" s="15" customFormat="1">
      <c r="A382" s="14"/>
      <c r="B382" s="14"/>
      <c r="C382" s="14"/>
      <c r="Q382" s="14"/>
    </row>
    <row r="383" spans="1:17" s="15" customFormat="1">
      <c r="A383" s="14"/>
      <c r="B383" s="14"/>
      <c r="C383" s="14"/>
      <c r="Q383" s="14"/>
    </row>
    <row r="384" spans="1:17" s="15" customFormat="1">
      <c r="A384" s="14"/>
      <c r="B384" s="14"/>
      <c r="C384" s="14"/>
      <c r="Q384" s="14"/>
    </row>
    <row r="385" spans="1:17" s="15" customFormat="1">
      <c r="A385" s="14"/>
      <c r="B385" s="14"/>
      <c r="C385" s="14"/>
      <c r="Q385" s="14"/>
    </row>
    <row r="386" spans="1:17" s="15" customFormat="1">
      <c r="A386" s="14"/>
      <c r="B386" s="14"/>
      <c r="C386" s="14"/>
      <c r="Q386" s="14"/>
    </row>
    <row r="387" spans="1:17" s="15" customFormat="1">
      <c r="A387" s="14"/>
      <c r="B387" s="14"/>
      <c r="C387" s="14"/>
      <c r="Q387" s="14"/>
    </row>
    <row r="388" spans="1:17" s="15" customFormat="1">
      <c r="A388" s="14"/>
      <c r="B388" s="14"/>
      <c r="C388" s="14"/>
      <c r="Q388" s="14"/>
    </row>
    <row r="389" spans="1:17" s="15" customFormat="1">
      <c r="A389" s="14"/>
      <c r="B389" s="14"/>
      <c r="C389" s="14"/>
      <c r="Q389" s="14"/>
    </row>
    <row r="390" spans="1:17" s="15" customFormat="1">
      <c r="A390" s="14"/>
      <c r="B390" s="14"/>
      <c r="C390" s="14"/>
      <c r="Q390" s="14"/>
    </row>
    <row r="391" spans="1:17" s="15" customFormat="1">
      <c r="A391" s="14"/>
      <c r="B391" s="14"/>
      <c r="C391" s="14"/>
      <c r="Q391" s="14"/>
    </row>
    <row r="392" spans="1:17" s="15" customFormat="1">
      <c r="A392" s="14"/>
      <c r="B392" s="14"/>
      <c r="C392" s="14"/>
      <c r="Q392" s="14"/>
    </row>
    <row r="393" spans="1:17" s="15" customFormat="1">
      <c r="A393" s="14"/>
      <c r="B393" s="14"/>
      <c r="C393" s="14"/>
      <c r="Q393" s="14"/>
    </row>
    <row r="394" spans="1:17" s="15" customFormat="1">
      <c r="A394" s="14"/>
      <c r="B394" s="14"/>
      <c r="C394" s="14"/>
      <c r="Q394" s="14"/>
    </row>
    <row r="395" spans="1:17" s="15" customFormat="1">
      <c r="A395" s="14"/>
      <c r="B395" s="14"/>
      <c r="C395" s="14"/>
      <c r="Q395" s="14"/>
    </row>
    <row r="396" spans="1:17" s="15" customFormat="1">
      <c r="A396" s="14"/>
      <c r="B396" s="14"/>
      <c r="C396" s="14"/>
      <c r="Q396" s="14"/>
    </row>
    <row r="397" spans="1:17" s="15" customFormat="1">
      <c r="A397" s="14"/>
      <c r="B397" s="14"/>
      <c r="C397" s="14"/>
      <c r="Q397" s="14"/>
    </row>
    <row r="398" spans="1:17" s="15" customFormat="1">
      <c r="A398" s="14"/>
      <c r="B398" s="14"/>
      <c r="C398" s="14"/>
      <c r="Q398" s="14"/>
    </row>
    <row r="399" spans="1:17" s="15" customFormat="1">
      <c r="A399" s="14"/>
      <c r="B399" s="14"/>
      <c r="C399" s="14"/>
      <c r="Q399" s="14"/>
    </row>
    <row r="400" spans="1:17" s="15" customFormat="1">
      <c r="A400" s="14"/>
      <c r="B400" s="14"/>
      <c r="C400" s="14"/>
      <c r="Q400" s="14"/>
    </row>
    <row r="401" spans="1:17" s="15" customFormat="1">
      <c r="A401" s="14"/>
      <c r="B401" s="14"/>
      <c r="C401" s="14"/>
      <c r="Q401" s="14"/>
    </row>
    <row r="402" spans="1:17" s="15" customFormat="1">
      <c r="A402" s="14"/>
      <c r="B402" s="14"/>
      <c r="C402" s="14"/>
      <c r="Q402" s="14"/>
    </row>
    <row r="403" spans="1:17" s="15" customFormat="1">
      <c r="A403" s="14"/>
      <c r="B403" s="14"/>
      <c r="C403" s="14"/>
      <c r="Q403" s="14"/>
    </row>
    <row r="404" spans="1:17" s="15" customFormat="1">
      <c r="A404" s="14"/>
      <c r="B404" s="14"/>
      <c r="C404" s="14"/>
      <c r="Q404" s="14"/>
    </row>
    <row r="405" spans="1:17" s="15" customFormat="1">
      <c r="A405" s="14"/>
      <c r="B405" s="14"/>
      <c r="C405" s="14"/>
      <c r="Q405" s="14"/>
    </row>
    <row r="406" spans="1:17" s="15" customFormat="1">
      <c r="A406" s="14"/>
      <c r="B406" s="14"/>
      <c r="C406" s="14"/>
      <c r="Q406" s="14"/>
    </row>
    <row r="407" spans="1:17" s="15" customFormat="1">
      <c r="A407" s="14"/>
      <c r="B407" s="14"/>
      <c r="C407" s="14"/>
      <c r="Q407" s="14"/>
    </row>
    <row r="408" spans="1:17" s="15" customFormat="1">
      <c r="A408" s="14"/>
      <c r="B408" s="14"/>
      <c r="C408" s="14"/>
      <c r="Q408" s="14"/>
    </row>
    <row r="409" spans="1:17" s="15" customFormat="1">
      <c r="A409" s="14"/>
      <c r="B409" s="14"/>
      <c r="C409" s="14"/>
      <c r="Q409" s="14"/>
    </row>
    <row r="410" spans="1:17" s="15" customFormat="1">
      <c r="A410" s="14"/>
      <c r="B410" s="14"/>
      <c r="C410" s="14"/>
      <c r="Q410" s="14"/>
    </row>
    <row r="411" spans="1:17" s="15" customFormat="1">
      <c r="A411" s="14"/>
      <c r="B411" s="14"/>
      <c r="C411" s="14"/>
      <c r="Q411" s="14"/>
    </row>
    <row r="412" spans="1:17" s="15" customFormat="1">
      <c r="A412" s="14"/>
      <c r="B412" s="14"/>
      <c r="C412" s="14"/>
      <c r="Q412" s="14"/>
    </row>
    <row r="413" spans="1:17" s="15" customFormat="1">
      <c r="A413" s="14"/>
      <c r="B413" s="14"/>
      <c r="C413" s="14"/>
      <c r="Q413" s="14"/>
    </row>
    <row r="414" spans="1:17" s="15" customFormat="1">
      <c r="A414" s="14"/>
      <c r="B414" s="14"/>
      <c r="C414" s="14"/>
      <c r="Q414" s="14"/>
    </row>
    <row r="415" spans="1:17" s="15" customFormat="1">
      <c r="A415" s="14"/>
      <c r="B415" s="14"/>
      <c r="C415" s="14"/>
      <c r="Q415" s="14"/>
    </row>
    <row r="416" spans="1:17" s="15" customFormat="1">
      <c r="A416" s="14"/>
      <c r="B416" s="14"/>
      <c r="C416" s="14"/>
      <c r="Q416" s="14"/>
    </row>
    <row r="417" spans="1:17" s="15" customFormat="1">
      <c r="A417" s="14"/>
      <c r="B417" s="14"/>
      <c r="C417" s="14"/>
      <c r="Q417" s="14"/>
    </row>
    <row r="418" spans="1:17" s="15" customFormat="1">
      <c r="A418" s="14"/>
      <c r="B418" s="14"/>
      <c r="C418" s="14"/>
      <c r="Q418" s="14"/>
    </row>
    <row r="419" spans="1:17" s="15" customFormat="1">
      <c r="A419" s="14"/>
      <c r="B419" s="14"/>
      <c r="C419" s="14"/>
      <c r="Q419" s="14"/>
    </row>
    <row r="420" spans="1:17" s="15" customFormat="1">
      <c r="A420" s="14"/>
      <c r="B420" s="14"/>
      <c r="C420" s="14"/>
      <c r="Q420" s="14"/>
    </row>
    <row r="421" spans="1:17" s="15" customFormat="1">
      <c r="A421" s="14"/>
      <c r="B421" s="14"/>
      <c r="C421" s="14"/>
      <c r="Q421" s="14"/>
    </row>
    <row r="422" spans="1:17" s="15" customFormat="1">
      <c r="A422" s="14"/>
      <c r="B422" s="14"/>
      <c r="C422" s="14"/>
      <c r="Q422" s="14"/>
    </row>
    <row r="423" spans="1:17" s="15" customFormat="1">
      <c r="A423" s="14"/>
      <c r="B423" s="14"/>
      <c r="C423" s="14"/>
      <c r="Q423" s="14"/>
    </row>
    <row r="424" spans="1:17" s="15" customFormat="1">
      <c r="A424" s="14"/>
      <c r="B424" s="14"/>
      <c r="C424" s="14"/>
      <c r="Q424" s="14"/>
    </row>
    <row r="425" spans="1:17" s="15" customFormat="1">
      <c r="A425" s="14"/>
      <c r="B425" s="14"/>
      <c r="C425" s="14"/>
      <c r="Q425" s="14"/>
    </row>
    <row r="426" spans="1:17" s="15" customFormat="1">
      <c r="A426" s="14"/>
      <c r="B426" s="14"/>
      <c r="C426" s="14"/>
      <c r="Q426" s="14"/>
    </row>
    <row r="427" spans="1:17" s="15" customFormat="1">
      <c r="A427" s="14"/>
      <c r="B427" s="14"/>
      <c r="C427" s="14"/>
      <c r="Q427" s="14"/>
    </row>
    <row r="428" spans="1:17" s="15" customFormat="1">
      <c r="A428" s="14"/>
      <c r="B428" s="14"/>
      <c r="C428" s="14"/>
      <c r="Q428" s="14"/>
    </row>
    <row r="429" spans="1:17" s="15" customFormat="1">
      <c r="A429" s="14"/>
      <c r="B429" s="14"/>
      <c r="C429" s="14"/>
      <c r="Q429" s="14"/>
    </row>
    <row r="430" spans="1:17" s="15" customFormat="1">
      <c r="A430" s="14"/>
      <c r="B430" s="14"/>
      <c r="C430" s="14"/>
      <c r="Q430" s="14"/>
    </row>
    <row r="431" spans="1:17" s="15" customFormat="1">
      <c r="A431" s="14"/>
      <c r="B431" s="14"/>
      <c r="C431" s="14"/>
      <c r="Q431" s="14"/>
    </row>
    <row r="432" spans="1:17" s="15" customFormat="1">
      <c r="A432" s="14"/>
      <c r="B432" s="14"/>
      <c r="C432" s="14"/>
      <c r="Q432" s="14"/>
    </row>
    <row r="433" spans="1:17" s="15" customFormat="1">
      <c r="A433" s="14"/>
      <c r="B433" s="14"/>
      <c r="C433" s="14"/>
      <c r="Q433" s="14"/>
    </row>
    <row r="434" spans="1:17" s="15" customFormat="1">
      <c r="A434" s="14"/>
      <c r="B434" s="14"/>
      <c r="C434" s="14"/>
      <c r="Q434" s="14"/>
    </row>
    <row r="435" spans="1:17" s="15" customFormat="1">
      <c r="A435" s="14"/>
      <c r="B435" s="14"/>
      <c r="C435" s="14"/>
      <c r="Q435" s="14"/>
    </row>
    <row r="436" spans="1:17" s="15" customFormat="1">
      <c r="A436" s="14"/>
      <c r="B436" s="14"/>
      <c r="C436" s="14"/>
      <c r="Q436" s="14"/>
    </row>
    <row r="437" spans="1:17" s="15" customFormat="1">
      <c r="A437" s="14"/>
      <c r="B437" s="14"/>
      <c r="C437" s="14"/>
      <c r="Q437" s="14"/>
    </row>
    <row r="438" spans="1:17" s="15" customFormat="1">
      <c r="A438" s="14"/>
      <c r="B438" s="14"/>
      <c r="C438" s="14"/>
      <c r="Q438" s="14"/>
    </row>
    <row r="439" spans="1:17" s="15" customFormat="1">
      <c r="A439" s="14"/>
      <c r="B439" s="14"/>
      <c r="C439" s="14"/>
      <c r="Q439" s="14"/>
    </row>
    <row r="440" spans="1:17" s="15" customFormat="1">
      <c r="A440" s="14"/>
      <c r="B440" s="14"/>
      <c r="C440" s="14"/>
      <c r="Q440" s="14"/>
    </row>
    <row r="441" spans="1:17" s="15" customFormat="1">
      <c r="A441" s="14"/>
      <c r="B441" s="14"/>
      <c r="C441" s="14"/>
      <c r="Q441" s="14"/>
    </row>
    <row r="442" spans="1:17" s="15" customFormat="1">
      <c r="A442" s="14"/>
      <c r="B442" s="14"/>
      <c r="C442" s="14"/>
      <c r="Q442" s="14"/>
    </row>
    <row r="443" spans="1:17" s="15" customFormat="1">
      <c r="A443" s="14"/>
      <c r="B443" s="14"/>
      <c r="C443" s="14"/>
      <c r="Q443" s="14"/>
    </row>
    <row r="444" spans="1:17" s="15" customFormat="1">
      <c r="A444" s="14"/>
      <c r="B444" s="14"/>
      <c r="C444" s="14"/>
      <c r="Q444" s="14"/>
    </row>
    <row r="445" spans="1:17" s="15" customFormat="1">
      <c r="A445" s="14"/>
      <c r="B445" s="14"/>
      <c r="C445" s="14"/>
      <c r="Q445" s="14"/>
    </row>
    <row r="446" spans="1:17" s="15" customFormat="1">
      <c r="A446" s="14"/>
      <c r="B446" s="14"/>
      <c r="C446" s="14"/>
      <c r="Q446" s="14"/>
    </row>
    <row r="447" spans="1:17" s="15" customFormat="1">
      <c r="A447" s="14"/>
      <c r="B447" s="14"/>
      <c r="C447" s="14"/>
      <c r="Q447" s="14"/>
    </row>
    <row r="448" spans="1:17" s="15" customFormat="1">
      <c r="A448" s="14"/>
      <c r="B448" s="14"/>
      <c r="C448" s="14"/>
      <c r="Q448" s="14"/>
    </row>
    <row r="449" spans="1:17" s="15" customFormat="1">
      <c r="A449" s="14"/>
      <c r="B449" s="14"/>
      <c r="C449" s="14"/>
      <c r="Q449" s="14"/>
    </row>
    <row r="450" spans="1:17" s="15" customFormat="1">
      <c r="A450" s="14"/>
      <c r="B450" s="14"/>
      <c r="C450" s="14"/>
      <c r="Q450" s="14"/>
    </row>
    <row r="451" spans="1:17" s="15" customFormat="1">
      <c r="A451" s="14"/>
      <c r="B451" s="14"/>
      <c r="C451" s="14"/>
      <c r="Q451" s="14"/>
    </row>
    <row r="452" spans="1:17" s="15" customFormat="1">
      <c r="A452" s="14"/>
      <c r="B452" s="14"/>
      <c r="C452" s="14"/>
      <c r="Q452" s="14"/>
    </row>
    <row r="453" spans="1:17" s="15" customFormat="1">
      <c r="A453" s="14"/>
      <c r="B453" s="14"/>
      <c r="C453" s="14"/>
      <c r="Q453" s="14"/>
    </row>
    <row r="454" spans="1:17" s="15" customFormat="1">
      <c r="A454" s="14"/>
      <c r="B454" s="14"/>
      <c r="C454" s="14"/>
      <c r="Q454" s="14"/>
    </row>
    <row r="455" spans="1:17" s="15" customFormat="1">
      <c r="A455" s="14"/>
      <c r="B455" s="14"/>
      <c r="C455" s="14"/>
      <c r="Q455" s="14"/>
    </row>
    <row r="456" spans="1:17" s="15" customFormat="1">
      <c r="A456" s="14"/>
      <c r="B456" s="14"/>
      <c r="C456" s="14"/>
      <c r="Q456" s="14"/>
    </row>
    <row r="457" spans="1:17" s="15" customFormat="1">
      <c r="A457" s="14"/>
      <c r="B457" s="14"/>
      <c r="C457" s="14"/>
      <c r="Q457" s="14"/>
    </row>
    <row r="458" spans="1:17" s="15" customFormat="1">
      <c r="A458" s="14"/>
      <c r="B458" s="14"/>
      <c r="C458" s="14"/>
      <c r="Q458" s="14"/>
    </row>
    <row r="459" spans="1:17" s="15" customFormat="1">
      <c r="A459" s="14"/>
      <c r="B459" s="14"/>
      <c r="C459" s="14"/>
      <c r="Q459" s="14"/>
    </row>
    <row r="460" spans="1:17" s="15" customFormat="1">
      <c r="A460" s="14"/>
      <c r="B460" s="14"/>
      <c r="C460" s="14"/>
      <c r="Q460" s="14"/>
    </row>
    <row r="461" spans="1:17" s="15" customFormat="1">
      <c r="A461" s="14"/>
      <c r="B461" s="14"/>
      <c r="C461" s="14"/>
      <c r="Q461" s="14"/>
    </row>
    <row r="462" spans="1:17" s="15" customFormat="1">
      <c r="A462" s="14"/>
      <c r="B462" s="14"/>
      <c r="C462" s="14"/>
      <c r="Q462" s="14"/>
    </row>
    <row r="463" spans="1:17" s="15" customFormat="1">
      <c r="A463" s="14"/>
      <c r="B463" s="14"/>
      <c r="C463" s="14"/>
      <c r="Q463" s="14"/>
    </row>
    <row r="464" spans="1:17" s="15" customFormat="1">
      <c r="A464" s="14"/>
      <c r="B464" s="14"/>
      <c r="C464" s="14"/>
      <c r="Q464" s="14"/>
    </row>
    <row r="465" spans="1:17" s="15" customFormat="1">
      <c r="A465" s="14"/>
      <c r="B465" s="14"/>
      <c r="C465" s="14"/>
      <c r="Q465" s="14"/>
    </row>
    <row r="466" spans="1:17" s="15" customFormat="1">
      <c r="A466" s="14"/>
      <c r="B466" s="14"/>
      <c r="C466" s="14"/>
      <c r="Q466" s="14"/>
    </row>
    <row r="467" spans="1:17" s="15" customFormat="1">
      <c r="A467" s="14"/>
      <c r="B467" s="14"/>
      <c r="C467" s="14"/>
      <c r="Q467" s="14"/>
    </row>
    <row r="468" spans="1:17" s="15" customFormat="1">
      <c r="A468" s="14"/>
      <c r="B468" s="14"/>
      <c r="C468" s="14"/>
      <c r="Q468" s="14"/>
    </row>
    <row r="469" spans="1:17" s="15" customFormat="1">
      <c r="A469" s="14"/>
      <c r="B469" s="14"/>
      <c r="C469" s="14"/>
      <c r="Q469" s="14"/>
    </row>
    <row r="470" spans="1:17" s="15" customFormat="1">
      <c r="A470" s="14"/>
      <c r="B470" s="14"/>
      <c r="C470" s="14"/>
      <c r="Q470" s="14"/>
    </row>
    <row r="471" spans="1:17" s="15" customFormat="1">
      <c r="A471" s="14"/>
      <c r="B471" s="14"/>
      <c r="C471" s="14"/>
      <c r="Q471" s="14"/>
    </row>
    <row r="472" spans="1:17" s="15" customFormat="1">
      <c r="A472" s="14"/>
      <c r="B472" s="14"/>
      <c r="C472" s="14"/>
      <c r="Q472" s="14"/>
    </row>
    <row r="473" spans="1:17" s="15" customFormat="1">
      <c r="A473" s="14"/>
      <c r="B473" s="14"/>
      <c r="C473" s="14"/>
      <c r="Q473" s="14"/>
    </row>
    <row r="474" spans="1:17" s="15" customFormat="1">
      <c r="A474" s="14"/>
      <c r="B474" s="14"/>
      <c r="C474" s="14"/>
      <c r="Q474" s="14"/>
    </row>
    <row r="475" spans="1:17" s="15" customFormat="1">
      <c r="A475" s="14"/>
      <c r="B475" s="14"/>
      <c r="C475" s="14"/>
      <c r="Q475" s="14"/>
    </row>
    <row r="476" spans="1:17" s="15" customFormat="1">
      <c r="A476" s="14"/>
      <c r="B476" s="14"/>
      <c r="C476" s="14"/>
      <c r="Q476" s="14"/>
    </row>
    <row r="477" spans="1:17" s="15" customFormat="1">
      <c r="A477" s="14"/>
      <c r="B477" s="14"/>
      <c r="C477" s="14"/>
      <c r="Q477" s="14"/>
    </row>
    <row r="478" spans="1:17" s="15" customFormat="1">
      <c r="A478" s="14"/>
      <c r="B478" s="14"/>
      <c r="C478" s="14"/>
      <c r="Q478" s="14"/>
    </row>
    <row r="479" spans="1:17" s="15" customFormat="1">
      <c r="A479" s="14"/>
      <c r="B479" s="14"/>
      <c r="C479" s="14"/>
      <c r="Q479" s="14"/>
    </row>
    <row r="480" spans="1:17" s="15" customFormat="1">
      <c r="A480" s="14"/>
      <c r="B480" s="14"/>
      <c r="C480" s="14"/>
      <c r="Q480" s="14"/>
    </row>
    <row r="481" spans="1:17" s="15" customFormat="1">
      <c r="A481" s="14"/>
      <c r="B481" s="14"/>
      <c r="C481" s="14"/>
      <c r="Q481" s="14"/>
    </row>
    <row r="482" spans="1:17" s="15" customFormat="1">
      <c r="A482" s="14"/>
      <c r="B482" s="14"/>
      <c r="C482" s="14"/>
      <c r="Q482" s="14"/>
    </row>
    <row r="483" spans="1:17" s="15" customFormat="1">
      <c r="A483" s="14"/>
      <c r="B483" s="14"/>
      <c r="C483" s="14"/>
      <c r="Q483" s="14"/>
    </row>
    <row r="484" spans="1:17" s="15" customFormat="1">
      <c r="A484" s="14"/>
      <c r="B484" s="14"/>
      <c r="C484" s="14"/>
      <c r="Q484" s="14"/>
    </row>
    <row r="485" spans="1:17" s="15" customFormat="1">
      <c r="A485" s="14"/>
      <c r="B485" s="14"/>
      <c r="C485" s="14"/>
      <c r="Q485" s="14"/>
    </row>
    <row r="486" spans="1:17" s="15" customFormat="1">
      <c r="A486" s="14"/>
      <c r="B486" s="14"/>
      <c r="C486" s="14"/>
      <c r="Q486" s="14"/>
    </row>
    <row r="487" spans="1:17" s="15" customFormat="1">
      <c r="A487" s="14"/>
      <c r="B487" s="14"/>
      <c r="C487" s="14"/>
      <c r="Q487" s="14"/>
    </row>
    <row r="488" spans="1:17" s="15" customFormat="1">
      <c r="A488" s="14"/>
      <c r="B488" s="14"/>
      <c r="C488" s="14"/>
      <c r="Q488" s="14"/>
    </row>
    <row r="489" spans="1:17" s="15" customFormat="1">
      <c r="A489" s="14"/>
      <c r="B489" s="14"/>
      <c r="C489" s="14"/>
      <c r="Q489" s="14"/>
    </row>
    <row r="490" spans="1:17" s="15" customFormat="1">
      <c r="A490" s="14"/>
      <c r="B490" s="14"/>
      <c r="C490" s="14"/>
      <c r="Q490" s="14"/>
    </row>
    <row r="491" spans="1:17" s="15" customFormat="1">
      <c r="A491" s="14"/>
      <c r="B491" s="14"/>
      <c r="C491" s="14"/>
      <c r="Q491" s="14"/>
    </row>
    <row r="492" spans="1:17" s="15" customFormat="1">
      <c r="A492" s="14"/>
      <c r="B492" s="14"/>
      <c r="C492" s="14"/>
      <c r="Q492" s="14"/>
    </row>
    <row r="493" spans="1:17" s="15" customFormat="1">
      <c r="A493" s="14"/>
      <c r="B493" s="14"/>
      <c r="C493" s="14"/>
      <c r="Q493" s="14"/>
    </row>
    <row r="494" spans="1:17" s="15" customFormat="1">
      <c r="A494" s="14"/>
      <c r="B494" s="14"/>
      <c r="C494" s="14"/>
      <c r="Q494" s="14"/>
    </row>
    <row r="495" spans="1:17" s="15" customFormat="1">
      <c r="A495" s="14"/>
      <c r="B495" s="14"/>
      <c r="C495" s="14"/>
      <c r="Q495" s="14"/>
    </row>
    <row r="496" spans="1:17" s="15" customFormat="1">
      <c r="A496" s="14"/>
      <c r="B496" s="14"/>
      <c r="C496" s="14"/>
      <c r="Q496" s="14"/>
    </row>
    <row r="497" spans="1:17" s="15" customFormat="1">
      <c r="A497" s="14"/>
      <c r="B497" s="14"/>
      <c r="C497" s="14"/>
      <c r="Q497" s="14"/>
    </row>
    <row r="498" spans="1:17" s="15" customFormat="1">
      <c r="A498" s="14"/>
      <c r="B498" s="14"/>
      <c r="C498" s="14"/>
      <c r="Q498" s="14"/>
    </row>
    <row r="499" spans="1:17" s="15" customFormat="1">
      <c r="A499" s="14"/>
      <c r="B499" s="14"/>
      <c r="C499" s="14"/>
      <c r="Q499" s="14"/>
    </row>
    <row r="500" spans="1:17" s="15" customFormat="1">
      <c r="A500" s="14"/>
      <c r="B500" s="14"/>
      <c r="C500" s="14"/>
      <c r="Q500" s="14"/>
    </row>
    <row r="501" spans="1:17" s="15" customFormat="1">
      <c r="A501" s="14"/>
      <c r="B501" s="14"/>
      <c r="C501" s="14"/>
      <c r="Q501" s="14"/>
    </row>
    <row r="502" spans="1:17" s="15" customFormat="1">
      <c r="A502" s="14"/>
      <c r="B502" s="14"/>
      <c r="C502" s="14"/>
      <c r="Q502" s="14"/>
    </row>
    <row r="503" spans="1:17" s="15" customFormat="1">
      <c r="A503" s="14"/>
      <c r="B503" s="14"/>
      <c r="C503" s="14"/>
      <c r="Q503" s="14"/>
    </row>
    <row r="504" spans="1:17" s="15" customFormat="1">
      <c r="A504" s="14"/>
      <c r="B504" s="14"/>
      <c r="C504" s="14"/>
      <c r="Q504" s="14"/>
    </row>
    <row r="505" spans="1:17" s="15" customFormat="1">
      <c r="A505" s="14"/>
      <c r="B505" s="14"/>
      <c r="C505" s="14"/>
      <c r="Q505" s="14"/>
    </row>
    <row r="506" spans="1:17" s="15" customFormat="1">
      <c r="A506" s="14"/>
      <c r="B506" s="14"/>
      <c r="C506" s="14"/>
      <c r="Q506" s="14"/>
    </row>
    <row r="507" spans="1:17" s="15" customFormat="1">
      <c r="A507" s="14"/>
      <c r="B507" s="14"/>
      <c r="C507" s="14"/>
      <c r="Q507" s="14"/>
    </row>
    <row r="508" spans="1:17" s="15" customFormat="1">
      <c r="A508" s="14"/>
      <c r="B508" s="14"/>
      <c r="C508" s="14"/>
      <c r="Q508" s="14"/>
    </row>
    <row r="509" spans="1:17" s="15" customFormat="1">
      <c r="A509" s="14"/>
      <c r="B509" s="14"/>
      <c r="C509" s="14"/>
      <c r="Q509" s="14"/>
    </row>
    <row r="510" spans="1:17" s="15" customFormat="1">
      <c r="A510" s="14"/>
      <c r="B510" s="14"/>
      <c r="C510" s="14"/>
      <c r="Q510" s="14"/>
    </row>
    <row r="511" spans="1:17" s="15" customFormat="1">
      <c r="A511" s="14"/>
      <c r="B511" s="14"/>
      <c r="C511" s="14"/>
      <c r="Q511" s="14"/>
    </row>
    <row r="512" spans="1:17" s="15" customFormat="1">
      <c r="A512" s="14"/>
      <c r="B512" s="14"/>
      <c r="C512" s="14"/>
      <c r="Q512" s="14"/>
    </row>
    <row r="513" spans="1:17" s="15" customFormat="1">
      <c r="A513" s="14"/>
      <c r="B513" s="14"/>
      <c r="C513" s="14"/>
      <c r="Q513" s="14"/>
    </row>
    <row r="514" spans="1:17" s="15" customFormat="1">
      <c r="A514" s="14"/>
      <c r="B514" s="14"/>
      <c r="C514" s="14"/>
      <c r="Q514" s="14"/>
    </row>
    <row r="515" spans="1:17" s="15" customFormat="1">
      <c r="A515" s="14"/>
      <c r="B515" s="14"/>
      <c r="C515" s="14"/>
      <c r="Q515" s="14"/>
    </row>
    <row r="516" spans="1:17" s="15" customFormat="1">
      <c r="A516" s="14"/>
      <c r="B516" s="14"/>
      <c r="C516" s="14"/>
      <c r="Q516" s="14"/>
    </row>
    <row r="517" spans="1:17" s="15" customFormat="1">
      <c r="A517" s="14"/>
      <c r="B517" s="14"/>
      <c r="C517" s="14"/>
      <c r="Q517" s="14"/>
    </row>
    <row r="518" spans="1:17" s="15" customFormat="1">
      <c r="A518" s="14"/>
      <c r="B518" s="14"/>
      <c r="C518" s="14"/>
      <c r="Q518" s="14"/>
    </row>
    <row r="519" spans="1:17" s="15" customFormat="1">
      <c r="A519" s="14"/>
      <c r="B519" s="14"/>
      <c r="C519" s="14"/>
      <c r="Q519" s="14"/>
    </row>
    <row r="520" spans="1:17" s="15" customFormat="1">
      <c r="A520" s="14"/>
      <c r="B520" s="14"/>
      <c r="C520" s="14"/>
      <c r="Q520" s="14"/>
    </row>
    <row r="521" spans="1:17" s="15" customFormat="1">
      <c r="A521" s="14"/>
      <c r="B521" s="14"/>
      <c r="C521" s="14"/>
      <c r="Q521" s="14"/>
    </row>
    <row r="522" spans="1:17" s="15" customFormat="1">
      <c r="A522" s="14"/>
      <c r="B522" s="14"/>
      <c r="C522" s="14"/>
      <c r="Q522" s="14"/>
    </row>
    <row r="523" spans="1:17" s="15" customFormat="1">
      <c r="A523" s="14"/>
      <c r="B523" s="14"/>
      <c r="C523" s="14"/>
      <c r="Q523" s="14"/>
    </row>
    <row r="524" spans="1:17" s="15" customFormat="1">
      <c r="A524" s="14"/>
      <c r="B524" s="14"/>
      <c r="C524" s="14"/>
      <c r="Q524" s="14"/>
    </row>
    <row r="525" spans="1:17" s="15" customFormat="1">
      <c r="A525" s="14"/>
      <c r="B525" s="14"/>
      <c r="C525" s="14"/>
      <c r="Q525" s="14"/>
    </row>
    <row r="526" spans="1:17" s="15" customFormat="1">
      <c r="A526" s="14"/>
      <c r="B526" s="14"/>
      <c r="C526" s="14"/>
      <c r="Q526" s="14"/>
    </row>
    <row r="527" spans="1:17" s="15" customFormat="1">
      <c r="A527" s="14"/>
      <c r="B527" s="14"/>
      <c r="C527" s="14"/>
      <c r="Q527" s="14"/>
    </row>
    <row r="528" spans="1:17" s="15" customFormat="1">
      <c r="A528" s="14"/>
      <c r="B528" s="14"/>
      <c r="C528" s="14"/>
      <c r="Q528" s="14"/>
    </row>
    <row r="529" spans="1:17" s="15" customFormat="1">
      <c r="A529" s="14"/>
      <c r="B529" s="14"/>
      <c r="C529" s="14"/>
      <c r="Q529" s="14"/>
    </row>
    <row r="530" spans="1:17" s="15" customFormat="1">
      <c r="A530" s="14"/>
      <c r="B530" s="14"/>
      <c r="C530" s="14"/>
      <c r="Q530" s="14"/>
    </row>
    <row r="531" spans="1:17" s="15" customFormat="1">
      <c r="A531" s="14"/>
      <c r="B531" s="14"/>
      <c r="C531" s="14"/>
      <c r="Q531" s="14"/>
    </row>
    <row r="532" spans="1:17" s="15" customFormat="1">
      <c r="A532" s="14"/>
      <c r="B532" s="14"/>
      <c r="C532" s="14"/>
      <c r="Q532" s="14"/>
    </row>
    <row r="533" spans="1:17" s="15" customFormat="1">
      <c r="A533" s="14"/>
      <c r="B533" s="14"/>
      <c r="C533" s="14"/>
      <c r="Q533" s="14"/>
    </row>
    <row r="534" spans="1:17" s="15" customFormat="1">
      <c r="A534" s="14"/>
      <c r="B534" s="14"/>
      <c r="C534" s="14"/>
      <c r="Q534" s="14"/>
    </row>
    <row r="535" spans="1:17" s="15" customFormat="1">
      <c r="A535" s="14"/>
      <c r="B535" s="14"/>
      <c r="C535" s="14"/>
      <c r="Q535" s="14"/>
    </row>
    <row r="536" spans="1:17" s="15" customFormat="1">
      <c r="A536" s="14"/>
      <c r="B536" s="14"/>
      <c r="C536" s="14"/>
      <c r="Q536" s="14"/>
    </row>
    <row r="537" spans="1:17" s="15" customFormat="1">
      <c r="A537" s="14"/>
      <c r="B537" s="14"/>
      <c r="C537" s="14"/>
      <c r="Q537" s="14"/>
    </row>
    <row r="538" spans="1:17" s="15" customFormat="1">
      <c r="A538" s="14"/>
      <c r="B538" s="14"/>
      <c r="C538" s="14"/>
      <c r="Q538" s="14"/>
    </row>
    <row r="539" spans="1:17" s="15" customFormat="1">
      <c r="A539" s="14"/>
      <c r="B539" s="14"/>
      <c r="C539" s="14"/>
      <c r="Q539" s="14"/>
    </row>
    <row r="540" spans="1:17" s="15" customFormat="1">
      <c r="A540" s="14"/>
      <c r="B540" s="14"/>
      <c r="C540" s="14"/>
      <c r="Q540" s="14"/>
    </row>
    <row r="541" spans="1:17" s="15" customFormat="1">
      <c r="A541" s="14"/>
      <c r="B541" s="14"/>
      <c r="C541" s="14"/>
      <c r="Q541" s="14"/>
    </row>
    <row r="542" spans="1:17" s="15" customFormat="1">
      <c r="A542" s="14"/>
      <c r="B542" s="14"/>
      <c r="C542" s="14"/>
      <c r="Q542" s="14"/>
    </row>
    <row r="543" spans="1:17" s="15" customFormat="1">
      <c r="A543" s="14"/>
      <c r="B543" s="14"/>
      <c r="C543" s="14"/>
      <c r="Q543" s="14"/>
    </row>
    <row r="544" spans="1:17" s="15" customFormat="1">
      <c r="A544" s="14"/>
      <c r="B544" s="14"/>
      <c r="C544" s="14"/>
      <c r="Q544" s="14"/>
    </row>
    <row r="545" spans="1:17" s="15" customFormat="1">
      <c r="A545" s="14"/>
      <c r="B545" s="14"/>
      <c r="C545" s="14"/>
      <c r="Q545" s="14"/>
    </row>
    <row r="546" spans="1:17" s="15" customFormat="1">
      <c r="A546" s="14"/>
      <c r="B546" s="14"/>
      <c r="C546" s="14"/>
      <c r="Q546" s="14"/>
    </row>
    <row r="547" spans="1:17" s="15" customFormat="1">
      <c r="A547" s="14"/>
      <c r="B547" s="14"/>
      <c r="C547" s="14"/>
      <c r="Q547" s="14"/>
    </row>
    <row r="548" spans="1:17" s="15" customFormat="1">
      <c r="A548" s="14"/>
      <c r="B548" s="14"/>
      <c r="C548" s="14"/>
      <c r="Q548" s="14"/>
    </row>
    <row r="549" spans="1:17" s="15" customFormat="1">
      <c r="A549" s="14"/>
      <c r="B549" s="14"/>
      <c r="C549" s="14"/>
      <c r="Q549" s="14"/>
    </row>
    <row r="550" spans="1:17" s="15" customFormat="1">
      <c r="A550" s="14"/>
      <c r="B550" s="14"/>
      <c r="C550" s="14"/>
      <c r="Q550" s="14"/>
    </row>
    <row r="551" spans="1:17" s="15" customFormat="1">
      <c r="A551" s="14"/>
      <c r="B551" s="14"/>
      <c r="C551" s="14"/>
      <c r="Q551" s="14"/>
    </row>
    <row r="552" spans="1:17" s="15" customFormat="1">
      <c r="A552" s="14"/>
      <c r="B552" s="14"/>
      <c r="C552" s="14"/>
      <c r="Q552" s="14"/>
    </row>
    <row r="553" spans="1:17" s="15" customFormat="1">
      <c r="A553" s="14"/>
      <c r="B553" s="14"/>
      <c r="C553" s="14"/>
      <c r="Q553" s="14"/>
    </row>
    <row r="554" spans="1:17" s="15" customFormat="1">
      <c r="A554" s="14"/>
      <c r="B554" s="14"/>
      <c r="C554" s="14"/>
      <c r="Q554" s="14"/>
    </row>
    <row r="555" spans="1:17" s="15" customFormat="1">
      <c r="A555" s="14"/>
      <c r="B555" s="14"/>
      <c r="C555" s="14"/>
      <c r="Q555" s="14"/>
    </row>
    <row r="556" spans="1:17" s="15" customFormat="1">
      <c r="A556" s="14"/>
      <c r="B556" s="14"/>
      <c r="C556" s="14"/>
      <c r="Q556" s="14"/>
    </row>
    <row r="557" spans="1:17" s="15" customFormat="1">
      <c r="A557" s="14"/>
      <c r="B557" s="14"/>
      <c r="C557" s="14"/>
      <c r="Q557" s="14"/>
    </row>
    <row r="558" spans="1:17" s="15" customFormat="1">
      <c r="A558" s="14"/>
      <c r="B558" s="14"/>
      <c r="C558" s="14"/>
      <c r="Q558" s="14"/>
    </row>
    <row r="559" spans="1:17" s="15" customFormat="1">
      <c r="A559" s="14"/>
      <c r="B559" s="14"/>
      <c r="C559" s="14"/>
      <c r="Q559" s="14"/>
    </row>
    <row r="560" spans="1:17" s="15" customFormat="1">
      <c r="A560" s="14"/>
      <c r="B560" s="14"/>
      <c r="C560" s="14"/>
      <c r="Q560" s="14"/>
    </row>
    <row r="561" spans="1:17" s="15" customFormat="1">
      <c r="A561" s="14"/>
      <c r="B561" s="14"/>
      <c r="C561" s="14"/>
      <c r="Q561" s="14"/>
    </row>
    <row r="562" spans="1:17" s="15" customFormat="1">
      <c r="A562" s="14"/>
      <c r="B562" s="14"/>
      <c r="C562" s="14"/>
      <c r="Q562" s="14"/>
    </row>
    <row r="563" spans="1:17" s="15" customFormat="1">
      <c r="A563" s="14"/>
      <c r="B563" s="14"/>
      <c r="C563" s="14"/>
      <c r="Q563" s="14"/>
    </row>
    <row r="564" spans="1:17" s="15" customFormat="1">
      <c r="A564" s="14"/>
      <c r="B564" s="14"/>
      <c r="C564" s="14"/>
      <c r="Q564" s="14"/>
    </row>
    <row r="565" spans="1:17" s="15" customFormat="1">
      <c r="A565" s="14"/>
      <c r="B565" s="14"/>
      <c r="C565" s="14"/>
      <c r="Q565" s="14"/>
    </row>
    <row r="566" spans="1:17" s="15" customFormat="1">
      <c r="A566" s="14"/>
      <c r="B566" s="14"/>
      <c r="C566" s="14"/>
      <c r="Q566" s="14"/>
    </row>
    <row r="567" spans="1:17" s="15" customFormat="1">
      <c r="A567" s="14"/>
      <c r="B567" s="14"/>
      <c r="C567" s="14"/>
      <c r="Q567" s="14"/>
    </row>
    <row r="568" spans="1:17" s="15" customFormat="1">
      <c r="A568" s="14"/>
      <c r="B568" s="14"/>
      <c r="C568" s="14"/>
      <c r="Q568" s="14"/>
    </row>
    <row r="569" spans="1:17" s="15" customFormat="1">
      <c r="A569" s="14"/>
      <c r="B569" s="14"/>
      <c r="C569" s="14"/>
      <c r="Q569" s="14"/>
    </row>
    <row r="570" spans="1:17" s="15" customFormat="1">
      <c r="A570" s="14"/>
      <c r="B570" s="14"/>
      <c r="C570" s="14"/>
      <c r="Q570" s="14"/>
    </row>
    <row r="571" spans="1:17" s="15" customFormat="1">
      <c r="A571" s="14"/>
      <c r="B571" s="14"/>
      <c r="C571" s="14"/>
      <c r="Q571" s="14"/>
    </row>
    <row r="572" spans="1:17" s="15" customFormat="1">
      <c r="A572" s="14"/>
      <c r="B572" s="14"/>
      <c r="C572" s="14"/>
      <c r="Q572" s="14"/>
    </row>
    <row r="573" spans="1:17" s="15" customFormat="1">
      <c r="A573" s="14"/>
      <c r="B573" s="14"/>
      <c r="C573" s="14"/>
      <c r="Q573" s="14"/>
    </row>
    <row r="574" spans="1:17" s="15" customFormat="1">
      <c r="A574" s="14"/>
      <c r="B574" s="14"/>
      <c r="C574" s="14"/>
      <c r="Q574" s="14"/>
    </row>
    <row r="575" spans="1:17" s="15" customFormat="1">
      <c r="A575" s="14"/>
      <c r="B575" s="14"/>
      <c r="C575" s="14"/>
      <c r="Q575" s="14"/>
    </row>
    <row r="576" spans="1:17" s="15" customFormat="1">
      <c r="A576" s="14"/>
      <c r="B576" s="14"/>
      <c r="C576" s="14"/>
      <c r="Q576" s="14"/>
    </row>
    <row r="577" spans="1:17" s="15" customFormat="1">
      <c r="A577" s="14"/>
      <c r="B577" s="14"/>
      <c r="C577" s="14"/>
      <c r="Q577" s="14"/>
    </row>
    <row r="578" spans="1:17" s="15" customFormat="1">
      <c r="A578" s="14"/>
      <c r="B578" s="14"/>
      <c r="C578" s="14"/>
      <c r="Q578" s="14"/>
    </row>
    <row r="579" spans="1:17" s="15" customFormat="1">
      <c r="A579" s="14"/>
      <c r="B579" s="14"/>
      <c r="C579" s="14"/>
      <c r="Q579" s="14"/>
    </row>
    <row r="580" spans="1:17" s="15" customFormat="1">
      <c r="A580" s="14"/>
      <c r="B580" s="14"/>
      <c r="C580" s="14"/>
      <c r="Q580" s="14"/>
    </row>
    <row r="581" spans="1:17" s="15" customFormat="1">
      <c r="A581" s="14"/>
      <c r="B581" s="14"/>
      <c r="C581" s="14"/>
      <c r="Q581" s="14"/>
    </row>
    <row r="582" spans="1:17" s="15" customFormat="1">
      <c r="A582" s="14"/>
      <c r="B582" s="14"/>
      <c r="C582" s="14"/>
      <c r="Q582" s="14"/>
    </row>
    <row r="583" spans="1:17" s="15" customFormat="1">
      <c r="A583" s="14"/>
      <c r="B583" s="14"/>
      <c r="C583" s="14"/>
      <c r="Q583" s="14"/>
    </row>
    <row r="584" spans="1:17" s="15" customFormat="1">
      <c r="A584" s="14"/>
      <c r="B584" s="14"/>
      <c r="C584" s="14"/>
      <c r="Q584" s="14"/>
    </row>
    <row r="585" spans="1:17" s="15" customFormat="1">
      <c r="A585" s="14"/>
      <c r="B585" s="14"/>
      <c r="C585" s="14"/>
      <c r="Q585" s="14"/>
    </row>
    <row r="586" spans="1:17" s="15" customFormat="1">
      <c r="A586" s="14"/>
      <c r="B586" s="14"/>
      <c r="C586" s="14"/>
      <c r="Q586" s="14"/>
    </row>
    <row r="587" spans="1:17" s="15" customFormat="1">
      <c r="A587" s="14"/>
      <c r="B587" s="14"/>
      <c r="C587" s="14"/>
      <c r="Q587" s="14"/>
    </row>
    <row r="588" spans="1:17" s="15" customFormat="1">
      <c r="A588" s="14"/>
      <c r="B588" s="14"/>
      <c r="C588" s="14"/>
      <c r="Q588" s="14"/>
    </row>
    <row r="589" spans="1:17" s="15" customFormat="1">
      <c r="A589" s="14"/>
      <c r="B589" s="14"/>
      <c r="C589" s="14"/>
      <c r="Q589" s="14"/>
    </row>
    <row r="590" spans="1:17" s="15" customFormat="1">
      <c r="A590" s="14"/>
      <c r="B590" s="14"/>
      <c r="C590" s="14"/>
      <c r="Q590" s="14"/>
    </row>
    <row r="591" spans="1:17" s="15" customFormat="1">
      <c r="A591" s="14"/>
      <c r="B591" s="14"/>
      <c r="C591" s="14"/>
      <c r="Q591" s="14"/>
    </row>
    <row r="592" spans="1:17" s="15" customFormat="1">
      <c r="A592" s="14"/>
      <c r="B592" s="14"/>
      <c r="C592" s="14"/>
      <c r="Q592" s="14"/>
    </row>
    <row r="593" spans="1:17" s="15" customFormat="1">
      <c r="A593" s="14"/>
      <c r="B593" s="14"/>
      <c r="C593" s="14"/>
      <c r="Q593" s="14"/>
    </row>
    <row r="594" spans="1:17" s="15" customFormat="1">
      <c r="A594" s="14"/>
      <c r="B594" s="14"/>
      <c r="C594" s="14"/>
      <c r="Q594" s="14"/>
    </row>
    <row r="595" spans="1:17" s="15" customFormat="1">
      <c r="A595" s="14"/>
      <c r="B595" s="14"/>
      <c r="C595" s="14"/>
      <c r="Q595" s="14"/>
    </row>
    <row r="596" spans="1:17" s="15" customFormat="1">
      <c r="A596" s="14"/>
      <c r="B596" s="14"/>
      <c r="C596" s="14"/>
      <c r="Q596" s="14"/>
    </row>
    <row r="597" spans="1:17" s="15" customFormat="1">
      <c r="A597" s="14"/>
      <c r="B597" s="14"/>
      <c r="C597" s="14"/>
      <c r="Q597" s="14"/>
    </row>
    <row r="598" spans="1:17" s="15" customFormat="1">
      <c r="A598" s="14"/>
      <c r="B598" s="14"/>
      <c r="C598" s="14"/>
      <c r="Q598" s="14"/>
    </row>
    <row r="599" spans="1:17" s="15" customFormat="1">
      <c r="A599" s="14"/>
      <c r="B599" s="14"/>
      <c r="C599" s="14"/>
      <c r="Q599" s="14"/>
    </row>
    <row r="600" spans="1:17" s="15" customFormat="1">
      <c r="A600" s="14"/>
      <c r="B600" s="14"/>
      <c r="C600" s="14"/>
      <c r="Q600" s="14"/>
    </row>
    <row r="601" spans="1:17" s="15" customFormat="1">
      <c r="A601" s="14"/>
      <c r="B601" s="14"/>
      <c r="C601" s="14"/>
      <c r="Q601" s="14"/>
    </row>
    <row r="602" spans="1:17" s="15" customFormat="1">
      <c r="A602" s="14"/>
      <c r="B602" s="14"/>
      <c r="C602" s="14"/>
      <c r="Q602" s="14"/>
    </row>
    <row r="603" spans="1:17" s="15" customFormat="1">
      <c r="A603" s="14"/>
      <c r="B603" s="14"/>
      <c r="C603" s="14"/>
      <c r="Q603" s="14"/>
    </row>
    <row r="604" spans="1:17" s="15" customFormat="1">
      <c r="A604" s="14"/>
      <c r="B604" s="14"/>
      <c r="C604" s="14"/>
      <c r="Q604" s="14"/>
    </row>
    <row r="605" spans="1:17" s="15" customFormat="1">
      <c r="A605" s="14"/>
      <c r="B605" s="14"/>
      <c r="C605" s="14"/>
      <c r="Q605" s="14"/>
    </row>
    <row r="606" spans="1:17" s="15" customFormat="1">
      <c r="A606" s="14"/>
      <c r="B606" s="14"/>
      <c r="C606" s="14"/>
      <c r="Q606" s="14"/>
    </row>
    <row r="607" spans="1:17" s="15" customFormat="1">
      <c r="A607" s="14"/>
      <c r="B607" s="14"/>
      <c r="C607" s="14"/>
      <c r="Q607" s="14"/>
    </row>
    <row r="608" spans="1:17" s="15" customFormat="1">
      <c r="A608" s="14"/>
      <c r="B608" s="14"/>
      <c r="C608" s="14"/>
      <c r="Q608" s="14"/>
    </row>
    <row r="609" spans="1:17" s="15" customFormat="1">
      <c r="A609" s="14"/>
      <c r="B609" s="14"/>
      <c r="C609" s="14"/>
      <c r="Q609" s="14"/>
    </row>
    <row r="610" spans="1:17" s="15" customFormat="1">
      <c r="A610" s="14"/>
      <c r="B610" s="14"/>
      <c r="C610" s="14"/>
      <c r="Q610" s="14"/>
    </row>
    <row r="611" spans="1:17" s="15" customFormat="1">
      <c r="A611" s="14"/>
      <c r="B611" s="14"/>
      <c r="C611" s="14"/>
      <c r="Q611" s="14"/>
    </row>
    <row r="612" spans="1:17" s="15" customFormat="1">
      <c r="A612" s="14"/>
      <c r="B612" s="14"/>
      <c r="C612" s="14"/>
      <c r="Q612" s="14"/>
    </row>
    <row r="613" spans="1:17" s="15" customFormat="1">
      <c r="A613" s="14"/>
      <c r="B613" s="14"/>
      <c r="C613" s="14"/>
      <c r="Q613" s="14"/>
    </row>
    <row r="614" spans="1:17" s="15" customFormat="1">
      <c r="A614" s="14"/>
      <c r="B614" s="14"/>
      <c r="C614" s="14"/>
      <c r="Q614" s="14"/>
    </row>
    <row r="615" spans="1:17" s="15" customFormat="1">
      <c r="A615" s="14"/>
      <c r="B615" s="14"/>
      <c r="C615" s="14"/>
      <c r="Q615" s="14"/>
    </row>
    <row r="616" spans="1:17" s="15" customFormat="1">
      <c r="A616" s="14"/>
      <c r="B616" s="14"/>
      <c r="C616" s="14"/>
      <c r="Q616" s="14"/>
    </row>
    <row r="617" spans="1:17" s="15" customFormat="1">
      <c r="A617" s="14"/>
      <c r="B617" s="14"/>
      <c r="C617" s="14"/>
      <c r="Q617" s="14"/>
    </row>
    <row r="618" spans="1:17" s="15" customFormat="1">
      <c r="A618" s="14"/>
      <c r="B618" s="14"/>
      <c r="C618" s="14"/>
      <c r="Q618" s="14"/>
    </row>
    <row r="619" spans="1:17" s="15" customFormat="1">
      <c r="A619" s="14"/>
      <c r="B619" s="14"/>
      <c r="C619" s="14"/>
      <c r="Q619" s="14"/>
    </row>
    <row r="620" spans="1:17" s="15" customFormat="1">
      <c r="A620" s="14"/>
      <c r="B620" s="14"/>
      <c r="C620" s="14"/>
      <c r="Q620" s="14"/>
    </row>
    <row r="621" spans="1:17" s="15" customFormat="1">
      <c r="A621" s="14"/>
      <c r="B621" s="14"/>
      <c r="C621" s="14"/>
      <c r="Q621" s="14"/>
    </row>
    <row r="622" spans="1:17" s="15" customFormat="1">
      <c r="A622" s="14"/>
      <c r="B622" s="14"/>
      <c r="C622" s="14"/>
      <c r="Q622" s="14"/>
    </row>
    <row r="623" spans="1:17" s="15" customFormat="1">
      <c r="A623" s="14"/>
      <c r="B623" s="14"/>
      <c r="C623" s="14"/>
      <c r="Q623" s="14"/>
    </row>
    <row r="624" spans="1:17" s="15" customFormat="1">
      <c r="A624" s="14"/>
      <c r="B624" s="14"/>
      <c r="C624" s="14"/>
      <c r="Q624" s="14"/>
    </row>
    <row r="625" spans="1:17" s="15" customFormat="1">
      <c r="A625" s="14"/>
      <c r="B625" s="14"/>
      <c r="C625" s="14"/>
      <c r="Q625" s="14"/>
    </row>
    <row r="626" spans="1:17" s="15" customFormat="1">
      <c r="A626" s="14"/>
      <c r="B626" s="14"/>
      <c r="C626" s="14"/>
      <c r="Q626" s="14"/>
    </row>
    <row r="627" spans="1:17" s="15" customFormat="1">
      <c r="A627" s="14"/>
      <c r="B627" s="14"/>
      <c r="C627" s="14"/>
      <c r="Q627" s="14"/>
    </row>
    <row r="628" spans="1:17" s="15" customFormat="1">
      <c r="A628" s="14"/>
      <c r="B628" s="14"/>
      <c r="C628" s="14"/>
      <c r="Q628" s="14"/>
    </row>
    <row r="629" spans="1:17" s="15" customFormat="1">
      <c r="A629" s="14"/>
      <c r="B629" s="14"/>
      <c r="C629" s="14"/>
      <c r="Q629" s="14"/>
    </row>
    <row r="630" spans="1:17" s="15" customFormat="1">
      <c r="A630" s="14"/>
      <c r="B630" s="14"/>
      <c r="C630" s="14"/>
      <c r="Q630" s="14"/>
    </row>
    <row r="631" spans="1:17" s="15" customFormat="1">
      <c r="A631" s="14"/>
      <c r="B631" s="14"/>
      <c r="C631" s="14"/>
      <c r="Q631" s="14"/>
    </row>
    <row r="632" spans="1:17" s="15" customFormat="1">
      <c r="A632" s="14"/>
      <c r="B632" s="14"/>
      <c r="C632" s="14"/>
      <c r="Q632" s="14"/>
    </row>
    <row r="633" spans="1:17" s="15" customFormat="1">
      <c r="A633" s="14"/>
      <c r="B633" s="14"/>
      <c r="C633" s="14"/>
      <c r="Q633" s="14"/>
    </row>
    <row r="634" spans="1:17" s="15" customFormat="1">
      <c r="A634" s="14"/>
      <c r="B634" s="14"/>
      <c r="C634" s="14"/>
      <c r="Q634" s="14"/>
    </row>
    <row r="635" spans="1:17" s="15" customFormat="1">
      <c r="A635" s="14"/>
      <c r="B635" s="14"/>
      <c r="C635" s="14"/>
      <c r="Q635" s="14"/>
    </row>
    <row r="636" spans="1:17" s="15" customFormat="1">
      <c r="A636" s="14"/>
      <c r="B636" s="14"/>
      <c r="C636" s="14"/>
      <c r="Q636" s="14"/>
    </row>
    <row r="637" spans="1:17" s="15" customFormat="1">
      <c r="A637" s="14"/>
      <c r="B637" s="14"/>
      <c r="C637" s="14"/>
      <c r="Q637" s="14"/>
    </row>
    <row r="638" spans="1:17" s="15" customFormat="1">
      <c r="A638" s="14"/>
      <c r="B638" s="14"/>
      <c r="C638" s="14"/>
      <c r="Q638" s="14"/>
    </row>
    <row r="639" spans="1:17" s="15" customFormat="1">
      <c r="A639" s="14"/>
      <c r="B639" s="14"/>
      <c r="C639" s="14"/>
      <c r="Q639" s="14"/>
    </row>
    <row r="640" spans="1:17" s="15" customFormat="1">
      <c r="A640" s="14"/>
      <c r="B640" s="14"/>
      <c r="C640" s="14"/>
      <c r="Q640" s="14"/>
    </row>
    <row r="641" spans="1:17" s="15" customFormat="1">
      <c r="A641" s="14"/>
      <c r="B641" s="14"/>
      <c r="C641" s="14"/>
      <c r="Q641" s="14"/>
    </row>
    <row r="642" spans="1:17" s="15" customFormat="1">
      <c r="A642" s="14"/>
      <c r="B642" s="14"/>
      <c r="C642" s="14"/>
      <c r="Q642" s="14"/>
    </row>
    <row r="643" spans="1:17" s="15" customFormat="1">
      <c r="A643" s="14"/>
      <c r="B643" s="14"/>
      <c r="C643" s="14"/>
      <c r="Q643" s="14"/>
    </row>
    <row r="644" spans="1:17" s="15" customFormat="1">
      <c r="A644" s="14"/>
      <c r="B644" s="14"/>
      <c r="C644" s="14"/>
      <c r="Q644" s="14"/>
    </row>
    <row r="645" spans="1:17" s="15" customFormat="1">
      <c r="A645" s="14"/>
      <c r="B645" s="14"/>
      <c r="C645" s="14"/>
      <c r="Q645" s="14"/>
    </row>
    <row r="646" spans="1:17" s="15" customFormat="1">
      <c r="A646" s="14"/>
      <c r="B646" s="14"/>
      <c r="C646" s="14"/>
      <c r="Q646" s="14"/>
    </row>
    <row r="647" spans="1:17" s="15" customFormat="1">
      <c r="A647" s="14"/>
      <c r="B647" s="14"/>
      <c r="C647" s="14"/>
      <c r="Q647" s="14"/>
    </row>
    <row r="648" spans="1:17" s="15" customFormat="1">
      <c r="A648" s="14"/>
      <c r="B648" s="14"/>
      <c r="C648" s="14"/>
      <c r="Q648" s="14"/>
    </row>
    <row r="649" spans="1:17" s="15" customFormat="1">
      <c r="A649" s="14"/>
      <c r="B649" s="14"/>
      <c r="C649" s="14"/>
      <c r="Q649" s="14"/>
    </row>
    <row r="650" spans="1:17" s="15" customFormat="1">
      <c r="A650" s="14"/>
      <c r="B650" s="14"/>
      <c r="C650" s="14"/>
      <c r="Q650" s="14"/>
    </row>
    <row r="651" spans="1:17" s="15" customFormat="1">
      <c r="A651" s="14"/>
      <c r="B651" s="14"/>
      <c r="C651" s="14"/>
      <c r="Q651" s="14"/>
    </row>
    <row r="652" spans="1:17" s="15" customFormat="1">
      <c r="A652" s="14"/>
      <c r="B652" s="14"/>
      <c r="C652" s="14"/>
      <c r="Q652" s="14"/>
    </row>
    <row r="653" spans="1:17" s="15" customFormat="1">
      <c r="A653" s="14"/>
      <c r="B653" s="14"/>
      <c r="C653" s="14"/>
      <c r="Q653" s="14"/>
    </row>
    <row r="654" spans="1:17" s="15" customFormat="1">
      <c r="A654" s="14"/>
      <c r="B654" s="14"/>
      <c r="C654" s="14"/>
      <c r="Q654" s="14"/>
    </row>
    <row r="655" spans="1:17" s="15" customFormat="1">
      <c r="A655" s="14"/>
      <c r="B655" s="14"/>
      <c r="C655" s="14"/>
      <c r="Q655" s="14"/>
    </row>
    <row r="656" spans="1:17" s="15" customFormat="1">
      <c r="A656" s="14"/>
      <c r="B656" s="14"/>
      <c r="C656" s="14"/>
      <c r="Q656" s="14"/>
    </row>
    <row r="657" spans="1:17" s="15" customFormat="1">
      <c r="A657" s="14"/>
      <c r="B657" s="14"/>
      <c r="C657" s="14"/>
      <c r="Q657" s="14"/>
    </row>
    <row r="658" spans="1:17" s="15" customFormat="1">
      <c r="A658" s="14"/>
      <c r="B658" s="14"/>
      <c r="C658" s="14"/>
      <c r="Q658" s="14"/>
    </row>
    <row r="659" spans="1:17" s="15" customFormat="1">
      <c r="A659" s="14"/>
      <c r="B659" s="14"/>
      <c r="C659" s="14"/>
      <c r="Q659" s="14"/>
    </row>
    <row r="660" spans="1:17" s="15" customFormat="1">
      <c r="A660" s="14"/>
      <c r="B660" s="14"/>
      <c r="C660" s="14"/>
      <c r="Q660" s="14"/>
    </row>
    <row r="661" spans="1:17" s="15" customFormat="1">
      <c r="A661" s="14"/>
      <c r="B661" s="14"/>
      <c r="C661" s="14"/>
      <c r="Q661" s="14"/>
    </row>
    <row r="662" spans="1:17" s="15" customFormat="1">
      <c r="A662" s="14"/>
      <c r="B662" s="14"/>
      <c r="C662" s="14"/>
      <c r="Q662" s="14"/>
    </row>
    <row r="663" spans="1:17" s="15" customFormat="1">
      <c r="A663" s="14"/>
      <c r="B663" s="14"/>
      <c r="C663" s="14"/>
      <c r="Q663" s="14"/>
    </row>
    <row r="664" spans="1:17" s="15" customFormat="1">
      <c r="A664" s="14"/>
      <c r="B664" s="14"/>
      <c r="C664" s="14"/>
      <c r="Q664" s="14"/>
    </row>
    <row r="665" spans="1:17" s="15" customFormat="1">
      <c r="A665" s="14"/>
      <c r="B665" s="14"/>
      <c r="C665" s="14"/>
      <c r="Q665" s="14"/>
    </row>
    <row r="666" spans="1:17" s="15" customFormat="1">
      <c r="A666" s="14"/>
      <c r="B666" s="14"/>
      <c r="C666" s="14"/>
      <c r="Q666" s="14"/>
    </row>
    <row r="667" spans="1:17" s="15" customFormat="1">
      <c r="A667" s="14"/>
      <c r="B667" s="14"/>
      <c r="C667" s="14"/>
      <c r="Q667" s="14"/>
    </row>
    <row r="668" spans="1:17" s="15" customFormat="1">
      <c r="A668" s="14"/>
      <c r="B668" s="14"/>
      <c r="C668" s="14"/>
      <c r="Q668" s="14"/>
    </row>
    <row r="669" spans="1:17" s="15" customFormat="1">
      <c r="A669" s="14"/>
      <c r="B669" s="14"/>
      <c r="C669" s="14"/>
      <c r="Q669" s="14"/>
    </row>
    <row r="670" spans="1:17" s="15" customFormat="1">
      <c r="A670" s="14"/>
      <c r="B670" s="14"/>
      <c r="C670" s="14"/>
      <c r="Q670" s="14"/>
    </row>
    <row r="671" spans="1:17" s="15" customFormat="1">
      <c r="A671" s="14"/>
      <c r="B671" s="14"/>
      <c r="C671" s="14"/>
      <c r="Q671" s="14"/>
    </row>
    <row r="672" spans="1:17" s="15" customFormat="1">
      <c r="A672" s="14"/>
      <c r="B672" s="14"/>
      <c r="C672" s="14"/>
      <c r="Q672" s="14"/>
    </row>
    <row r="673" spans="1:17" s="15" customFormat="1">
      <c r="A673" s="14"/>
      <c r="B673" s="14"/>
      <c r="C673" s="14"/>
      <c r="Q673" s="14"/>
    </row>
    <row r="674" spans="1:17" s="15" customFormat="1">
      <c r="A674" s="14"/>
      <c r="B674" s="14"/>
      <c r="C674" s="14"/>
      <c r="Q674" s="14"/>
    </row>
    <row r="675" spans="1:17" s="15" customFormat="1">
      <c r="A675" s="14"/>
      <c r="B675" s="14"/>
      <c r="C675" s="14"/>
      <c r="Q675" s="14"/>
    </row>
    <row r="676" spans="1:17" s="15" customFormat="1">
      <c r="A676" s="14"/>
      <c r="B676" s="14"/>
      <c r="C676" s="14"/>
      <c r="Q676" s="14"/>
    </row>
    <row r="677" spans="1:17" s="15" customFormat="1">
      <c r="A677" s="14"/>
      <c r="B677" s="14"/>
      <c r="C677" s="14"/>
      <c r="Q677" s="14"/>
    </row>
    <row r="678" spans="1:17" s="15" customFormat="1">
      <c r="A678" s="14"/>
      <c r="B678" s="14"/>
      <c r="C678" s="14"/>
      <c r="Q678" s="14"/>
    </row>
    <row r="679" spans="1:17" s="15" customFormat="1">
      <c r="A679" s="14"/>
      <c r="B679" s="14"/>
      <c r="C679" s="14"/>
      <c r="Q679" s="14"/>
    </row>
    <row r="680" spans="1:17" s="15" customFormat="1">
      <c r="A680" s="14"/>
      <c r="B680" s="14"/>
      <c r="C680" s="14"/>
      <c r="Q680" s="14"/>
    </row>
    <row r="681" spans="1:17" s="15" customFormat="1">
      <c r="A681" s="14"/>
      <c r="B681" s="14"/>
      <c r="C681" s="14"/>
      <c r="Q681" s="14"/>
    </row>
    <row r="682" spans="1:17" s="15" customFormat="1">
      <c r="A682" s="14"/>
      <c r="B682" s="14"/>
      <c r="C682" s="14"/>
      <c r="Q682" s="14"/>
    </row>
    <row r="683" spans="1:17" s="15" customFormat="1">
      <c r="A683" s="14"/>
      <c r="B683" s="14"/>
      <c r="C683" s="14"/>
      <c r="Q683" s="14"/>
    </row>
    <row r="684" spans="1:17" s="15" customFormat="1">
      <c r="A684" s="14"/>
      <c r="B684" s="14"/>
      <c r="C684" s="14"/>
      <c r="Q684" s="14"/>
    </row>
    <row r="685" spans="1:17" s="15" customFormat="1">
      <c r="A685" s="14"/>
      <c r="B685" s="14"/>
      <c r="C685" s="14"/>
      <c r="Q685" s="14"/>
    </row>
    <row r="686" spans="1:17" s="15" customFormat="1">
      <c r="A686" s="14"/>
      <c r="B686" s="14"/>
      <c r="C686" s="14"/>
      <c r="Q686" s="14"/>
    </row>
    <row r="687" spans="1:17" s="15" customFormat="1">
      <c r="A687" s="14"/>
      <c r="B687" s="14"/>
      <c r="C687" s="14"/>
      <c r="Q687" s="14"/>
    </row>
    <row r="688" spans="1:17" s="15" customFormat="1">
      <c r="A688" s="14"/>
      <c r="B688" s="14"/>
      <c r="C688" s="14"/>
      <c r="Q688" s="14"/>
    </row>
    <row r="689" spans="1:17" s="15" customFormat="1">
      <c r="A689" s="14"/>
      <c r="B689" s="14"/>
      <c r="C689" s="14"/>
      <c r="Q689" s="14"/>
    </row>
    <row r="690" spans="1:17" s="15" customFormat="1">
      <c r="A690" s="14"/>
      <c r="B690" s="14"/>
      <c r="C690" s="14"/>
      <c r="Q690" s="14"/>
    </row>
    <row r="691" spans="1:17" s="15" customFormat="1">
      <c r="A691" s="14"/>
      <c r="B691" s="14"/>
      <c r="C691" s="14"/>
      <c r="Q691" s="14"/>
    </row>
    <row r="692" spans="1:17" s="15" customFormat="1">
      <c r="A692" s="14"/>
      <c r="B692" s="14"/>
      <c r="C692" s="14"/>
      <c r="Q692" s="14"/>
    </row>
    <row r="693" spans="1:17" s="15" customFormat="1">
      <c r="A693" s="14"/>
      <c r="B693" s="14"/>
      <c r="C693" s="14"/>
      <c r="Q693" s="14"/>
    </row>
    <row r="694" spans="1:17" s="15" customFormat="1">
      <c r="A694" s="14"/>
      <c r="B694" s="14"/>
      <c r="C694" s="14"/>
      <c r="Q694" s="14"/>
    </row>
    <row r="695" spans="1:17" s="15" customFormat="1">
      <c r="A695" s="14"/>
      <c r="B695" s="14"/>
      <c r="C695" s="14"/>
      <c r="Q695" s="14"/>
    </row>
    <row r="696" spans="1:17" s="15" customFormat="1">
      <c r="A696" s="14"/>
      <c r="B696" s="14"/>
      <c r="C696" s="14"/>
      <c r="Q696" s="14"/>
    </row>
    <row r="697" spans="1:17" s="15" customFormat="1">
      <c r="A697" s="14"/>
      <c r="B697" s="14"/>
      <c r="C697" s="14"/>
      <c r="Q697" s="14"/>
    </row>
    <row r="698" spans="1:17" s="15" customFormat="1">
      <c r="A698" s="14"/>
      <c r="B698" s="14"/>
      <c r="C698" s="14"/>
      <c r="Q698" s="14"/>
    </row>
    <row r="699" spans="1:17" s="15" customFormat="1">
      <c r="A699" s="14"/>
      <c r="B699" s="14"/>
      <c r="C699" s="14"/>
      <c r="Q699" s="14"/>
    </row>
    <row r="700" spans="1:17" s="15" customFormat="1">
      <c r="A700" s="14"/>
      <c r="B700" s="14"/>
      <c r="C700" s="14"/>
      <c r="Q700" s="14"/>
    </row>
    <row r="701" spans="1:17" s="15" customFormat="1">
      <c r="A701" s="14"/>
      <c r="B701" s="14"/>
      <c r="C701" s="14"/>
      <c r="Q701" s="14"/>
    </row>
    <row r="702" spans="1:17" s="15" customFormat="1">
      <c r="A702" s="14"/>
      <c r="B702" s="14"/>
      <c r="C702" s="14"/>
      <c r="Q702" s="14"/>
    </row>
    <row r="703" spans="1:17" s="15" customFormat="1">
      <c r="A703" s="14"/>
      <c r="B703" s="14"/>
      <c r="C703" s="14"/>
      <c r="Q703" s="14"/>
    </row>
    <row r="704" spans="1:17" s="15" customFormat="1">
      <c r="A704" s="14"/>
      <c r="B704" s="14"/>
      <c r="C704" s="14"/>
      <c r="Q704" s="14"/>
    </row>
    <row r="705" spans="1:17" s="15" customFormat="1">
      <c r="A705" s="14"/>
      <c r="B705" s="14"/>
      <c r="C705" s="14"/>
      <c r="Q705" s="14"/>
    </row>
    <row r="706" spans="1:17" s="15" customFormat="1">
      <c r="A706" s="14"/>
      <c r="B706" s="14"/>
      <c r="C706" s="14"/>
      <c r="Q706" s="14"/>
    </row>
    <row r="707" spans="1:17" s="15" customFormat="1">
      <c r="A707" s="14"/>
      <c r="B707" s="14"/>
      <c r="C707" s="14"/>
      <c r="Q707" s="14"/>
    </row>
    <row r="708" spans="1:17" s="15" customFormat="1">
      <c r="A708" s="14"/>
      <c r="B708" s="14"/>
      <c r="C708" s="14"/>
      <c r="Q708" s="14"/>
    </row>
    <row r="709" spans="1:17" s="15" customFormat="1">
      <c r="A709" s="14"/>
      <c r="B709" s="14"/>
      <c r="C709" s="14"/>
      <c r="Q709" s="14"/>
    </row>
    <row r="710" spans="1:17" s="15" customFormat="1">
      <c r="A710" s="14"/>
      <c r="B710" s="14"/>
      <c r="C710" s="14"/>
      <c r="Q710" s="14"/>
    </row>
    <row r="711" spans="1:17" s="15" customFormat="1">
      <c r="A711" s="14"/>
      <c r="B711" s="14"/>
      <c r="C711" s="14"/>
      <c r="Q711" s="14"/>
    </row>
    <row r="712" spans="1:17" s="15" customFormat="1">
      <c r="A712" s="14"/>
      <c r="B712" s="14"/>
      <c r="C712" s="14"/>
      <c r="Q712" s="14"/>
    </row>
    <row r="713" spans="1:17" s="15" customFormat="1">
      <c r="A713" s="14"/>
      <c r="B713" s="14"/>
      <c r="C713" s="14"/>
      <c r="Q713" s="14"/>
    </row>
    <row r="714" spans="1:17" s="15" customFormat="1">
      <c r="A714" s="14"/>
      <c r="B714" s="14"/>
      <c r="C714" s="14"/>
      <c r="Q714" s="14"/>
    </row>
    <row r="715" spans="1:17" s="15" customFormat="1">
      <c r="A715" s="14"/>
      <c r="B715" s="14"/>
      <c r="C715" s="14"/>
      <c r="Q715" s="14"/>
    </row>
    <row r="716" spans="1:17" s="15" customFormat="1">
      <c r="A716" s="14"/>
      <c r="B716" s="14"/>
      <c r="C716" s="14"/>
      <c r="Q716" s="14"/>
    </row>
    <row r="717" spans="1:17" s="15" customFormat="1">
      <c r="A717" s="14"/>
      <c r="B717" s="14"/>
      <c r="C717" s="14"/>
      <c r="Q717" s="14"/>
    </row>
    <row r="718" spans="1:17" s="15" customFormat="1">
      <c r="A718" s="14"/>
      <c r="B718" s="14"/>
      <c r="C718" s="14"/>
      <c r="Q718" s="14"/>
    </row>
    <row r="719" spans="1:17" s="15" customFormat="1">
      <c r="A719" s="14"/>
      <c r="B719" s="14"/>
      <c r="C719" s="14"/>
      <c r="Q719" s="14"/>
    </row>
    <row r="720" spans="1:17" s="15" customFormat="1">
      <c r="A720" s="14"/>
      <c r="B720" s="14"/>
      <c r="C720" s="14"/>
      <c r="Q720" s="14"/>
    </row>
    <row r="721" spans="1:17" s="15" customFormat="1">
      <c r="A721" s="14"/>
      <c r="B721" s="14"/>
      <c r="C721" s="14"/>
      <c r="Q721" s="14"/>
    </row>
    <row r="722" spans="1:17" s="15" customFormat="1">
      <c r="A722" s="14"/>
      <c r="B722" s="14"/>
      <c r="C722" s="14"/>
      <c r="Q722" s="14"/>
    </row>
    <row r="723" spans="1:17" s="15" customFormat="1">
      <c r="A723" s="14"/>
      <c r="B723" s="14"/>
      <c r="C723" s="14"/>
      <c r="Q723" s="14"/>
    </row>
    <row r="724" spans="1:17" s="15" customFormat="1">
      <c r="A724" s="14"/>
      <c r="B724" s="14"/>
      <c r="C724" s="14"/>
      <c r="Q724" s="14"/>
    </row>
    <row r="725" spans="1:17" s="15" customFormat="1">
      <c r="A725" s="14"/>
      <c r="B725" s="14"/>
      <c r="C725" s="14"/>
      <c r="Q725" s="14"/>
    </row>
    <row r="726" spans="1:17" s="15" customFormat="1">
      <c r="A726" s="14"/>
      <c r="B726" s="14"/>
      <c r="C726" s="14"/>
      <c r="Q726" s="14"/>
    </row>
    <row r="727" spans="1:17" s="15" customFormat="1">
      <c r="A727" s="14"/>
      <c r="B727" s="14"/>
      <c r="C727" s="14"/>
      <c r="Q727" s="14"/>
    </row>
    <row r="728" spans="1:17" s="15" customFormat="1">
      <c r="A728" s="14"/>
      <c r="B728" s="14"/>
      <c r="C728" s="14"/>
      <c r="Q728" s="14"/>
    </row>
    <row r="729" spans="1:17" s="15" customFormat="1">
      <c r="A729" s="14"/>
      <c r="B729" s="14"/>
      <c r="C729" s="14"/>
      <c r="Q729" s="14"/>
    </row>
    <row r="730" spans="1:17" s="15" customFormat="1">
      <c r="A730" s="14"/>
      <c r="B730" s="14"/>
      <c r="C730" s="14"/>
      <c r="Q730" s="14"/>
    </row>
    <row r="731" spans="1:17" s="15" customFormat="1">
      <c r="A731" s="14"/>
      <c r="B731" s="14"/>
      <c r="C731" s="14"/>
      <c r="Q731" s="14"/>
    </row>
    <row r="732" spans="1:17" s="15" customFormat="1">
      <c r="A732" s="14"/>
      <c r="B732" s="14"/>
      <c r="C732" s="14"/>
      <c r="Q732" s="14"/>
    </row>
    <row r="733" spans="1:17" s="15" customFormat="1">
      <c r="A733" s="14"/>
      <c r="B733" s="14"/>
      <c r="C733" s="14"/>
      <c r="Q733" s="14"/>
    </row>
    <row r="734" spans="1:17" s="15" customFormat="1">
      <c r="A734" s="14"/>
      <c r="B734" s="14"/>
      <c r="C734" s="14"/>
      <c r="Q734" s="14"/>
    </row>
    <row r="735" spans="1:17" s="15" customFormat="1">
      <c r="A735" s="14"/>
      <c r="B735" s="14"/>
      <c r="C735" s="14"/>
      <c r="Q735" s="14"/>
    </row>
    <row r="736" spans="1:17" s="15" customFormat="1">
      <c r="A736" s="14"/>
      <c r="B736" s="14"/>
      <c r="C736" s="14"/>
      <c r="Q736" s="14"/>
    </row>
    <row r="737" spans="1:17" s="15" customFormat="1">
      <c r="A737" s="14"/>
      <c r="B737" s="14"/>
      <c r="C737" s="14"/>
      <c r="Q737" s="14"/>
    </row>
    <row r="738" spans="1:17" s="15" customFormat="1">
      <c r="A738" s="14"/>
      <c r="B738" s="14"/>
      <c r="C738" s="14"/>
      <c r="Q738" s="14"/>
    </row>
    <row r="739" spans="1:17" s="15" customFormat="1">
      <c r="A739" s="14"/>
      <c r="B739" s="14"/>
      <c r="C739" s="14"/>
      <c r="Q739" s="14"/>
    </row>
    <row r="740" spans="1:17" s="15" customFormat="1">
      <c r="A740" s="14"/>
      <c r="B740" s="14"/>
      <c r="C740" s="14"/>
      <c r="Q740" s="14"/>
    </row>
    <row r="741" spans="1:17" s="15" customFormat="1">
      <c r="A741" s="14"/>
      <c r="B741" s="14"/>
      <c r="C741" s="14"/>
      <c r="Q741" s="14"/>
    </row>
    <row r="742" spans="1:17" s="15" customFormat="1">
      <c r="A742" s="14"/>
      <c r="B742" s="14"/>
      <c r="C742" s="14"/>
      <c r="Q742" s="14"/>
    </row>
    <row r="743" spans="1:17" s="15" customFormat="1">
      <c r="A743" s="14"/>
      <c r="B743" s="14"/>
      <c r="C743" s="14"/>
      <c r="Q743" s="14"/>
    </row>
    <row r="744" spans="1:17" s="15" customFormat="1">
      <c r="A744" s="14"/>
      <c r="B744" s="14"/>
      <c r="C744" s="14"/>
      <c r="Q744" s="14"/>
    </row>
    <row r="745" spans="1:17" s="15" customFormat="1">
      <c r="A745" s="14"/>
      <c r="B745" s="14"/>
      <c r="C745" s="14"/>
      <c r="Q745" s="14"/>
    </row>
    <row r="746" spans="1:17" s="15" customFormat="1">
      <c r="A746" s="14"/>
      <c r="B746" s="14"/>
      <c r="C746" s="14"/>
      <c r="Q746" s="14"/>
    </row>
    <row r="747" spans="1:17" s="15" customFormat="1">
      <c r="A747" s="14"/>
      <c r="B747" s="14"/>
      <c r="C747" s="14"/>
      <c r="Q747" s="14"/>
    </row>
    <row r="748" spans="1:17" s="15" customFormat="1">
      <c r="A748" s="14"/>
      <c r="B748" s="14"/>
      <c r="C748" s="14"/>
      <c r="Q748" s="14"/>
    </row>
    <row r="749" spans="1:17" s="15" customFormat="1">
      <c r="A749" s="14"/>
      <c r="B749" s="14"/>
      <c r="C749" s="14"/>
      <c r="Q749" s="14"/>
    </row>
    <row r="750" spans="1:17" s="15" customFormat="1">
      <c r="A750" s="14"/>
      <c r="B750" s="14"/>
      <c r="C750" s="14"/>
      <c r="Q750" s="14"/>
    </row>
    <row r="751" spans="1:17" s="15" customFormat="1">
      <c r="A751" s="14"/>
      <c r="B751" s="14"/>
      <c r="C751" s="14"/>
      <c r="Q751" s="14"/>
    </row>
    <row r="752" spans="1:17" s="15" customFormat="1">
      <c r="A752" s="14"/>
      <c r="B752" s="14"/>
      <c r="C752" s="14"/>
      <c r="Q752" s="14"/>
    </row>
    <row r="753" spans="1:17" s="15" customFormat="1">
      <c r="A753" s="14"/>
      <c r="B753" s="14"/>
      <c r="C753" s="14"/>
      <c r="Q753" s="14"/>
    </row>
    <row r="754" spans="1:17" s="15" customFormat="1">
      <c r="A754" s="14"/>
      <c r="B754" s="14"/>
      <c r="C754" s="14"/>
      <c r="Q754" s="14"/>
    </row>
    <row r="755" spans="1:17" s="15" customFormat="1">
      <c r="A755" s="14"/>
      <c r="B755" s="14"/>
      <c r="C755" s="14"/>
      <c r="Q755" s="14"/>
    </row>
    <row r="756" spans="1:17" s="15" customFormat="1">
      <c r="A756" s="14"/>
      <c r="B756" s="14"/>
      <c r="C756" s="14"/>
      <c r="Q756" s="14"/>
    </row>
    <row r="757" spans="1:17" s="15" customFormat="1">
      <c r="A757" s="14"/>
      <c r="B757" s="14"/>
      <c r="C757" s="14"/>
      <c r="Q757" s="14"/>
    </row>
    <row r="758" spans="1:17" s="15" customFormat="1">
      <c r="A758" s="14"/>
      <c r="B758" s="14"/>
      <c r="C758" s="14"/>
      <c r="Q758" s="14"/>
    </row>
    <row r="759" spans="1:17" s="15" customFormat="1">
      <c r="A759" s="14"/>
      <c r="B759" s="14"/>
      <c r="C759" s="14"/>
      <c r="Q759" s="14"/>
    </row>
    <row r="760" spans="1:17" s="15" customFormat="1">
      <c r="A760" s="14"/>
      <c r="B760" s="14"/>
      <c r="C760" s="14"/>
      <c r="Q760" s="14"/>
    </row>
    <row r="761" spans="1:17" s="15" customFormat="1">
      <c r="A761" s="14"/>
      <c r="B761" s="14"/>
      <c r="C761" s="14"/>
      <c r="Q761" s="14"/>
    </row>
    <row r="762" spans="1:17" s="15" customFormat="1">
      <c r="A762" s="14"/>
      <c r="B762" s="14"/>
      <c r="C762" s="14"/>
      <c r="Q762" s="14"/>
    </row>
    <row r="763" spans="1:17" s="15" customFormat="1">
      <c r="A763" s="14"/>
      <c r="B763" s="14"/>
      <c r="C763" s="14"/>
      <c r="Q763" s="14"/>
    </row>
    <row r="764" spans="1:17" s="15" customFormat="1">
      <c r="A764" s="14"/>
      <c r="B764" s="14"/>
      <c r="C764" s="14"/>
      <c r="Q764" s="14"/>
    </row>
    <row r="765" spans="1:17" s="15" customFormat="1">
      <c r="A765" s="14"/>
      <c r="B765" s="14"/>
      <c r="C765" s="14"/>
      <c r="Q765" s="14"/>
    </row>
    <row r="766" spans="1:17" s="15" customFormat="1">
      <c r="A766" s="14"/>
      <c r="B766" s="14"/>
      <c r="C766" s="14"/>
      <c r="Q766" s="14"/>
    </row>
    <row r="767" spans="1:17" s="15" customFormat="1">
      <c r="A767" s="14"/>
      <c r="B767" s="14"/>
      <c r="C767" s="14"/>
      <c r="Q767" s="14"/>
    </row>
    <row r="768" spans="1:17" s="15" customFormat="1">
      <c r="A768" s="14"/>
      <c r="B768" s="14"/>
      <c r="C768" s="14"/>
      <c r="Q768" s="14"/>
    </row>
    <row r="769" spans="1:28" s="15" customFormat="1">
      <c r="A769" s="14"/>
      <c r="B769" s="14"/>
      <c r="C769" s="14"/>
      <c r="Q769" s="14"/>
    </row>
    <row r="770" spans="1:28" s="15" customFormat="1">
      <c r="A770" s="14"/>
      <c r="B770" s="14"/>
      <c r="C770" s="14"/>
      <c r="Q770" s="14"/>
    </row>
    <row r="771" spans="1:28" s="15" customFormat="1">
      <c r="A771" s="14"/>
      <c r="B771" s="14"/>
      <c r="C771" s="14"/>
      <c r="Q771" s="14"/>
    </row>
    <row r="772" spans="1:28" s="15" customFormat="1">
      <c r="A772" s="14"/>
      <c r="B772" s="14"/>
      <c r="C772" s="14"/>
      <c r="Q772" s="14"/>
    </row>
    <row r="773" spans="1:28" s="15" customFormat="1">
      <c r="A773" s="14"/>
      <c r="B773" s="14"/>
      <c r="C773" s="14"/>
      <c r="Q773" s="14"/>
    </row>
    <row r="774" spans="1:28" s="15" customFormat="1">
      <c r="A774" s="14"/>
      <c r="B774" s="14"/>
      <c r="C774" s="14"/>
      <c r="Q774" s="14"/>
    </row>
    <row r="775" spans="1:28" s="15" customFormat="1">
      <c r="A775" s="14"/>
      <c r="B775" s="14"/>
      <c r="C775" s="14"/>
      <c r="Q775" s="14"/>
      <c r="Z775" s="7"/>
      <c r="AA775" s="7"/>
      <c r="AB775" s="7"/>
    </row>
    <row r="776" spans="1:28">
      <c r="F776" s="15"/>
    </row>
    <row r="777" spans="1:28">
      <c r="F777" s="15"/>
    </row>
    <row r="778" spans="1:28">
      <c r="F778" s="15"/>
    </row>
    <row r="779" spans="1:28">
      <c r="F779" s="15"/>
    </row>
  </sheetData>
  <mergeCells count="4">
    <mergeCell ref="O4:V4"/>
    <mergeCell ref="H5:L5"/>
    <mergeCell ref="O5:V5"/>
    <mergeCell ref="B8:C8"/>
  </mergeCells>
  <hyperlinks>
    <hyperlink ref="V1" location="Index!A1" display="Return to Index" xr:uid="{00000000-0004-0000-0E00-000000000000}"/>
    <hyperlink ref="N1" location="Index!A1" display="Return to Index" xr:uid="{00000000-0004-0000-0E00-000001000000}"/>
  </hyperlinks>
  <printOptions horizontalCentered="1"/>
  <pageMargins left="0.25" right="0.25" top="0.5" bottom="0.5" header="0.5" footer="0.5"/>
  <pageSetup scale="68" fitToHeight="0" orientation="landscape" horizontalDpi="1200" verticalDpi="1200" r:id="rId1"/>
  <headerFooter alignWithMargins="0">
    <oddFooter>&amp;L&amp;8Planning &amp; Accountability&amp;R&amp;8&amp;D</oddFooter>
  </headerFooter>
  <rowBreaks count="1" manualBreakCount="1">
    <brk id="25" max="12"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2.109375" style="277" customWidth="1"/>
    <col min="11" max="16384" width="9.109375" style="277"/>
  </cols>
  <sheetData>
    <row r="1" spans="1:6">
      <c r="B1" s="742" t="str">
        <f>'SHNF Chts'!$A$1</f>
        <v>Sam Houston State University Medical School (Non-Formula)</v>
      </c>
      <c r="D1" s="321" t="s">
        <v>51</v>
      </c>
    </row>
    <row r="2" spans="1:6">
      <c r="B2" s="742" t="str">
        <f>'Smmy Chts'!$A$2</f>
        <v>For the Year Ended August 31, 2022</v>
      </c>
    </row>
    <row r="3" spans="1:6">
      <c r="B3" s="742" t="str">
        <f>'Smmy Chts'!$A$3</f>
        <v>Source: FY 2022 Annual Financial Report</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str">
        <f>IF('SHNF FGD'!$S$83="N/A","FN11.  N/A",$B$14&amp;$B$15&amp;$B$16&amp;$B$17&amp;$B$18&amp;$B$19&amp;$B$20&amp;$B$21&amp;$B$22&amp;$B$23&amp;$B$24)</f>
        <v>FN11.  N/A</v>
      </c>
      <c r="E9" s="669"/>
    </row>
    <row r="14" spans="1:6">
      <c r="B14" s="277" t="s">
        <v>698</v>
      </c>
    </row>
    <row r="15" spans="1:6">
      <c r="A15" s="277">
        <v>75</v>
      </c>
      <c r="B15" s="669" t="str">
        <f>TEXT(IF('SHNF FGD'!$M$91&lt;0,"N/A",'SHNF FGD'!$M$91),"$* #,##0;$* (#,##0)")</f>
        <v>N/A</v>
      </c>
      <c r="C15" s="282"/>
      <c r="F15" s="282"/>
    </row>
    <row r="16" spans="1:6">
      <c r="B16" s="277" t="s">
        <v>699</v>
      </c>
    </row>
    <row r="17" spans="1:6">
      <c r="A17" s="277">
        <v>68</v>
      </c>
      <c r="B17" s="748" t="str">
        <f>IF(ABS('SHNF FGD'!$S$84)&gt;=1000000,TEXT('SHNF FGD'!$S$84/1000000,"$* #,##0.0;$* (#,##0.0)")&amp;" million",IF(ABS('SHNF FGD'!$S$84)&lt;1000,TEXT('SHNF FGD'!$S$84,"$* #,##0;$* (#,##0)"),TEXT('SHNF FGD'!$S$84/1000,"$* #,##0;$* (#,##0)")&amp;" thousand"))</f>
        <v>$0</v>
      </c>
      <c r="C17" s="748"/>
      <c r="F17" s="748"/>
    </row>
    <row r="18" spans="1:6">
      <c r="B18" s="277" t="s">
        <v>700</v>
      </c>
    </row>
    <row r="19" spans="1:6">
      <c r="A19" s="277">
        <v>69</v>
      </c>
      <c r="B19" s="277" t="e">
        <f>IF(ABS('SHNF FGD'!$S$85)&gt;=1000000,TEXT('SHNF FGD'!$S$85/1000000,"$* #,##0.0;$* (#,##0.0)")&amp;" million",IF(ABS('SHNF FGD'!$S$85)&lt;1000,TEXT('SHNF FGD'!$S$85,"$* #,##0;$* (#,##0)"),TEXT('SHNF FGD'!$S$85/1000,"$* #,##0;$* (#,##0)")&amp;" thousand"))</f>
        <v>#VALUE!</v>
      </c>
    </row>
    <row r="20" spans="1:6">
      <c r="B20" s="277" t="s">
        <v>701</v>
      </c>
    </row>
    <row r="21" spans="1:6">
      <c r="A21" s="277">
        <v>71</v>
      </c>
      <c r="B21" s="277" t="str">
        <f>IF(ABS('SHNF FGD'!$S$87)&gt;=1000000,TEXT('SHNF FGD'!$S$87/1000000,"$* #,##0.0;$* (#,##0.0)")&amp;" million",IF(ABS('SHNF FGD'!$S$87)&lt;1000,TEXT('SHNF FGD'!$S$87,"$* #,##0;$* (#,##0)"),TEXT('SHNF FGD'!$S$87/1000,"$* #,##0;$* (#,##0)")&amp;" thousand"))</f>
        <v>$0</v>
      </c>
    </row>
    <row r="22" spans="1:6">
      <c r="B22" s="277" t="s">
        <v>702</v>
      </c>
    </row>
    <row r="23" spans="1:6">
      <c r="A23" s="277">
        <v>73</v>
      </c>
      <c r="B23" s="277" t="e">
        <f>IF(ABS('SHNF FGD'!$S$89)&gt;=1000000,TEXT('SHNF FGD'!$S$89/1000000,"$* #,##0.0;$* (#,##0.0)")&amp;" million",IF(ABS('SHNF FGD'!$S$89)&lt;1000,TEXT('SHNF FGD'!$S$89,"$* #,##0;$* (#,##0)"),TEXT('SHNF FGD'!$S$89/1000,"$* #,##0;$* (#,##0)")&amp;" thousand"))</f>
        <v>#VALUE!</v>
      </c>
    </row>
    <row r="24" spans="1:6">
      <c r="B24" s="277" t="s">
        <v>703</v>
      </c>
    </row>
  </sheetData>
  <hyperlinks>
    <hyperlink ref="D1" location="Index!A1" display="Return to Index" xr:uid="{00000000-0004-0000-4D00-000000000000}"/>
  </hyperlinks>
  <pageMargins left="0.25" right="0.25" top="0.5" bottom="0.25" header="0.5" footer="0.5"/>
  <pageSetup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13.5546875" style="277" customWidth="1"/>
    <col min="3" max="3" width="55" style="277" customWidth="1"/>
    <col min="4" max="4" width="20.109375" style="277" customWidth="1"/>
    <col min="5" max="16384" width="9.109375" style="277"/>
  </cols>
  <sheetData>
    <row r="1" spans="1:5" ht="27.75" customHeight="1">
      <c r="A1" s="989" t="s">
        <v>714</v>
      </c>
      <c r="D1" s="321" t="s">
        <v>51</v>
      </c>
    </row>
    <row r="2" spans="1:5" ht="27.75" customHeight="1">
      <c r="A2" s="990" t="str">
        <f>'Smmy Chts'!$A$2</f>
        <v>For the Year Ended August 31, 2022</v>
      </c>
    </row>
    <row r="3" spans="1:5" ht="27" customHeight="1">
      <c r="A3" s="990" t="str">
        <f>'Smmy Chts'!$A$3</f>
        <v>Source: FY 2022 Annual Financial Report</v>
      </c>
      <c r="C3" s="991" t="s">
        <v>493</v>
      </c>
    </row>
    <row r="4" spans="1:5" ht="19.5" customHeight="1">
      <c r="A4" s="279" t="s">
        <v>715</v>
      </c>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'UNTHSCPM Sum'!A9</f>
        <v>State of Texas</v>
      </c>
      <c r="D11" s="994">
        <f>'UNTHSCPM Sum'!B15</f>
        <v>0</v>
      </c>
      <c r="E11" s="995" t="str">
        <f>IFERROR(ROUND(D11/$D$17,3),"")</f>
        <v/>
      </c>
    </row>
    <row r="12" spans="1:5" ht="12.9" customHeight="1">
      <c r="C12" s="993" t="str">
        <f>'UNTHSCPM Sum'!A17</f>
        <v>Student &amp; Parent</v>
      </c>
      <c r="D12" s="994">
        <f>'UNTHSCPM Sum'!B20</f>
        <v>0</v>
      </c>
      <c r="E12" s="995" t="str">
        <f>IFERROR(ROUND(D12/$D$17,3),"")</f>
        <v/>
      </c>
    </row>
    <row r="13" spans="1:5" ht="12.9" customHeight="1">
      <c r="C13" s="993" t="str">
        <f>'UNTHSCPM Sum'!A22</f>
        <v>Federal Government</v>
      </c>
      <c r="D13" s="994">
        <f>'UNTHSCPM Sum'!B23</f>
        <v>0</v>
      </c>
      <c r="E13" s="995" t="str">
        <f>IFERROR(ROUND(D13/$D$17,3),"")</f>
        <v/>
      </c>
    </row>
    <row r="14" spans="1:5" ht="12.9" customHeight="1">
      <c r="C14" s="993" t="str">
        <f>'UNTHSCPM Sum'!A31</f>
        <v>Institutional Resources</v>
      </c>
      <c r="D14" s="994">
        <f>'UNTHSCPM Sum'!B38</f>
        <v>0</v>
      </c>
      <c r="E14" s="995" t="str">
        <f>IFERROR(ROUND(D14/$D$17,3),"")</f>
        <v/>
      </c>
    </row>
    <row r="15" spans="1:5" ht="12.9" customHeight="1">
      <c r="C15" s="996" t="s">
        <v>497</v>
      </c>
      <c r="D15" s="994">
        <f>'UNTHSCPM Sum'!B29+'UNTHSCPM Sum'!B26</f>
        <v>0</v>
      </c>
      <c r="E15" s="995" t="str">
        <f>IFERROR(ROUND(D15/$D$17,3),"")</f>
        <v/>
      </c>
    </row>
    <row r="16" spans="1:5" ht="12.9" customHeight="1">
      <c r="C16" s="991"/>
      <c r="D16" s="992"/>
    </row>
    <row r="17" spans="3:5" ht="12.9" customHeight="1">
      <c r="C17" s="997" t="s">
        <v>201</v>
      </c>
      <c r="D17" s="998">
        <f>SUM(D11:D16)</f>
        <v>0</v>
      </c>
      <c r="E17" s="999">
        <f>SUM(E11:E15)</f>
        <v>0</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5" customHeight="1">
      <c r="C53" s="993" t="s">
        <v>101</v>
      </c>
      <c r="D53" s="994">
        <f>'UNTHSCPM Sum'!B10</f>
        <v>0</v>
      </c>
      <c r="E53" s="995" t="str">
        <f>IFERROR(ROUND(D53/$D$68,3),"")</f>
        <v/>
      </c>
    </row>
    <row r="54" spans="3:5" ht="15" customHeight="1">
      <c r="C54" s="993" t="s">
        <v>510</v>
      </c>
      <c r="D54" s="994">
        <f>'UNTHSCPM Sum'!B11</f>
        <v>0</v>
      </c>
      <c r="E54" s="995" t="str">
        <f>IFERROR(ROUND(D54/$D$68,3),"")</f>
        <v/>
      </c>
    </row>
    <row r="55" spans="3:5" ht="12.9" customHeight="1">
      <c r="C55" s="1001"/>
      <c r="D55" s="994"/>
      <c r="E55" s="995"/>
    </row>
    <row r="56" spans="3:5" ht="16.5" customHeight="1">
      <c r="C56" s="993" t="str">
        <f>'UNTHSCPM Sum'!A13</f>
        <v>Higher Education Fund</v>
      </c>
      <c r="D56" s="994">
        <f>'UNTHSCPM Sum'!B13</f>
        <v>0</v>
      </c>
      <c r="E56" s="995" t="str">
        <f t="shared" ref="E56:E67" si="0">IFERROR(ROUND(D56/$D$68,3),"")</f>
        <v/>
      </c>
    </row>
    <row r="57" spans="3:5" ht="16.5" customHeight="1">
      <c r="C57" s="1001" t="s">
        <v>511</v>
      </c>
      <c r="D57" s="994">
        <f>'UNTHSCPM Sum'!B14</f>
        <v>0</v>
      </c>
      <c r="E57" s="995" t="str">
        <f t="shared" si="0"/>
        <v/>
      </c>
    </row>
    <row r="58" spans="3:5" ht="12.9" customHeight="1">
      <c r="C58" s="993" t="s">
        <v>460</v>
      </c>
      <c r="D58" s="994">
        <f>'UNTHSCPM Sum'!B20</f>
        <v>0</v>
      </c>
      <c r="E58" s="995" t="str">
        <f t="shared" si="0"/>
        <v/>
      </c>
    </row>
    <row r="59" spans="3:5" ht="12.9" customHeight="1">
      <c r="C59" s="993" t="s">
        <v>512</v>
      </c>
      <c r="D59" s="994">
        <f>'UNTHSCPM Sum'!B23</f>
        <v>0</v>
      </c>
      <c r="E59" s="995" t="str">
        <f t="shared" si="0"/>
        <v/>
      </c>
    </row>
    <row r="60" spans="3:5" ht="12.9" customHeight="1">
      <c r="C60" s="993" t="s">
        <v>513</v>
      </c>
      <c r="D60" s="994">
        <f>'UNTHSCPM Sum'!B32</f>
        <v>0</v>
      </c>
      <c r="E60" s="995" t="str">
        <f t="shared" si="0"/>
        <v/>
      </c>
    </row>
    <row r="61" spans="3:5" ht="12.9" customHeight="1">
      <c r="C61" s="993" t="s">
        <v>514</v>
      </c>
      <c r="D61" s="994">
        <f>'UNTHSCPM Sum'!B33</f>
        <v>0</v>
      </c>
      <c r="E61" s="995" t="str">
        <f t="shared" si="0"/>
        <v/>
      </c>
    </row>
    <row r="62" spans="3:5" ht="12.9" customHeight="1">
      <c r="C62" s="993" t="s">
        <v>515</v>
      </c>
      <c r="D62" s="994">
        <f>'UNTHSCPM Sum'!B34</f>
        <v>0</v>
      </c>
      <c r="E62" s="995" t="str">
        <f t="shared" si="0"/>
        <v/>
      </c>
    </row>
    <row r="63" spans="3:5" ht="12.9" customHeight="1">
      <c r="C63" s="993" t="s">
        <v>516</v>
      </c>
      <c r="D63" s="994">
        <f>'UNTHSCPM Sum'!B35</f>
        <v>0</v>
      </c>
      <c r="E63" s="995" t="str">
        <f t="shared" si="0"/>
        <v/>
      </c>
    </row>
    <row r="64" spans="3:5" ht="12.9" customHeight="1">
      <c r="C64" s="993" t="s">
        <v>176</v>
      </c>
      <c r="D64" s="994">
        <f>'UNTHSCPM Sum'!B36</f>
        <v>0</v>
      </c>
      <c r="E64" s="995" t="str">
        <f t="shared" si="0"/>
        <v/>
      </c>
    </row>
    <row r="65" spans="3:5" ht="12.9" customHeight="1">
      <c r="C65" s="993" t="s">
        <v>517</v>
      </c>
      <c r="D65" s="994">
        <f>'UNTHSCPM Sum'!B37</f>
        <v>0</v>
      </c>
      <c r="E65" s="995" t="str">
        <f t="shared" si="0"/>
        <v/>
      </c>
    </row>
    <row r="66" spans="3:5" ht="12.9" customHeight="1">
      <c r="C66" s="993" t="s">
        <v>163</v>
      </c>
      <c r="D66" s="994">
        <f>'UNTHSCPM Sum'!B26</f>
        <v>0</v>
      </c>
      <c r="E66" s="995" t="str">
        <f t="shared" si="0"/>
        <v/>
      </c>
    </row>
    <row r="67" spans="3:5" ht="12.9" customHeight="1">
      <c r="C67" s="1002" t="s">
        <v>497</v>
      </c>
      <c r="D67" s="994">
        <f>'UNTHSCPM Sum'!B29</f>
        <v>0</v>
      </c>
      <c r="E67" s="995" t="str">
        <f t="shared" si="0"/>
        <v/>
      </c>
    </row>
    <row r="68" spans="3:5" ht="12.9" customHeight="1">
      <c r="C68" s="997" t="s">
        <v>201</v>
      </c>
      <c r="D68" s="998">
        <f>SUM(D53:D67)</f>
        <v>0</v>
      </c>
      <c r="E68" s="999">
        <f>SUM(E53:E67)</f>
        <v>0</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'UNTHSCPM Sum'!B42</f>
        <v>21649</v>
      </c>
      <c r="E102" s="995">
        <f>ROUND(D102/$D$115,3)</f>
        <v>3.9E-2</v>
      </c>
    </row>
    <row r="103" spans="1:5" ht="12.9" customHeight="1">
      <c r="C103" s="1004" t="s">
        <v>179</v>
      </c>
      <c r="D103" s="994">
        <f>'UNTHSCPM Sum'!B43</f>
        <v>0</v>
      </c>
      <c r="E103" s="995">
        <f t="shared" ref="E103:E113" si="1">ROUND(D103/$D$115,3)</f>
        <v>0</v>
      </c>
    </row>
    <row r="104" spans="1:5" ht="12.9" customHeight="1">
      <c r="C104" s="1004" t="s">
        <v>180</v>
      </c>
      <c r="D104" s="994">
        <f>'UNTHSCPM Sum'!B44</f>
        <v>0</v>
      </c>
      <c r="E104" s="995">
        <f t="shared" si="1"/>
        <v>0</v>
      </c>
    </row>
    <row r="105" spans="1:5" ht="12.9" customHeight="1">
      <c r="C105" s="1004" t="s">
        <v>181</v>
      </c>
      <c r="D105" s="994">
        <f>'UNTHSCPM Sum'!B46</f>
        <v>534571</v>
      </c>
      <c r="E105" s="995">
        <f t="shared" si="1"/>
        <v>0.96099999999999997</v>
      </c>
    </row>
    <row r="106" spans="1:5" ht="12.9" customHeight="1">
      <c r="C106" s="1004" t="s">
        <v>182</v>
      </c>
      <c r="D106" s="994">
        <f>'UNTHSCPM Sum'!B47</f>
        <v>0</v>
      </c>
      <c r="E106" s="995">
        <f t="shared" si="1"/>
        <v>0</v>
      </c>
    </row>
    <row r="107" spans="1:5" ht="12.9" customHeight="1">
      <c r="C107" s="1004" t="s">
        <v>183</v>
      </c>
      <c r="D107" s="994">
        <f>'UNTHSCPM Sum'!B48</f>
        <v>181</v>
      </c>
      <c r="E107" s="995">
        <f t="shared" si="1"/>
        <v>0</v>
      </c>
    </row>
    <row r="108" spans="1:5" ht="12.9" customHeight="1">
      <c r="C108" s="1004" t="s">
        <v>519</v>
      </c>
      <c r="D108" s="994">
        <f>'UNTHSCPM Sum'!B49</f>
        <v>0</v>
      </c>
      <c r="E108" s="995">
        <f t="shared" si="1"/>
        <v>0</v>
      </c>
    </row>
    <row r="109" spans="1:5" ht="12.9" customHeight="1">
      <c r="C109" s="1004" t="s">
        <v>520</v>
      </c>
      <c r="D109" s="994">
        <f>'UNTHSCPM Sum'!B50</f>
        <v>0</v>
      </c>
      <c r="E109" s="995">
        <f t="shared" si="1"/>
        <v>0</v>
      </c>
    </row>
    <row r="110" spans="1:5" ht="12.9" customHeight="1">
      <c r="C110" s="1004" t="s">
        <v>186</v>
      </c>
      <c r="D110" s="994">
        <f>'UNTHSCPM Sum'!B51</f>
        <v>0</v>
      </c>
      <c r="E110" s="995">
        <f t="shared" si="1"/>
        <v>0</v>
      </c>
    </row>
    <row r="111" spans="1:5" ht="12.9" customHeight="1">
      <c r="C111" s="1004" t="s">
        <v>521</v>
      </c>
      <c r="D111" s="994">
        <f>'UNTHSCPM Sum'!B52</f>
        <v>0</v>
      </c>
      <c r="E111" s="995">
        <f t="shared" si="1"/>
        <v>0</v>
      </c>
    </row>
    <row r="112" spans="1:5" ht="12.9" customHeight="1">
      <c r="C112" s="993" t="s">
        <v>522</v>
      </c>
      <c r="D112" s="994">
        <f>'UNTHSCPM Sum'!B53</f>
        <v>0</v>
      </c>
      <c r="E112" s="995">
        <f t="shared" si="1"/>
        <v>0</v>
      </c>
    </row>
    <row r="113" spans="3:5" ht="12.9" customHeight="1">
      <c r="C113" s="996" t="s">
        <v>523</v>
      </c>
      <c r="D113" s="994">
        <f>'UNTHSCPM Sum'!B45</f>
        <v>0</v>
      </c>
      <c r="E113" s="995">
        <f t="shared" si="1"/>
        <v>0</v>
      </c>
    </row>
    <row r="114" spans="3:5" ht="12.9" customHeight="1">
      <c r="C114" s="991"/>
      <c r="D114" s="991"/>
      <c r="E114" s="999"/>
    </row>
    <row r="115" spans="3:5" ht="12.9" customHeight="1">
      <c r="C115" s="1005" t="s">
        <v>189</v>
      </c>
      <c r="D115" s="998">
        <f>SUM(D102:D114)</f>
        <v>556401</v>
      </c>
      <c r="E115" s="999">
        <f>SUM(E102:E113)</f>
        <v>1</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$556,401</v>
      </c>
    </row>
    <row r="137" spans="1:1" ht="12.9" customHeight="1">
      <c r="A137" s="1136"/>
    </row>
    <row r="138" spans="1:1" ht="12.9" customHeight="1"/>
    <row r="139" spans="1:1" ht="12.9" customHeight="1">
      <c r="A139" s="1006" t="s">
        <v>524</v>
      </c>
    </row>
    <row r="140" spans="1:1" ht="12.75"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A136:A137"/>
    <mergeCell ref="C9:D9"/>
    <mergeCell ref="A47:A48"/>
    <mergeCell ref="A92:A93"/>
    <mergeCell ref="C100:D100"/>
    <mergeCell ref="C101:D101"/>
  </mergeCells>
  <hyperlinks>
    <hyperlink ref="D1" location="Index!A1" display="Return to Index" xr:uid="{00000000-0004-0000-4E00-000000000000}"/>
  </hyperlinks>
  <printOptions horizontalCentered="1"/>
  <pageMargins left="0.5" right="0.5" top="0.25" bottom="0.25" header="0.25" footer="0.25"/>
  <pageSetup scale="41" orientation="portrait" r:id="rId1"/>
  <headerFooter alignWithMargins="0"/>
  <drawing r:id="rId2"/>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ransitionEvaluation="1" transitionEntry="1">
    <tabColor indexed="13"/>
  </sheetPr>
  <dimension ref="A1:AD83"/>
  <sheetViews>
    <sheetView showGridLines="0" zoomScale="85" zoomScaleNormal="85"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3.33203125" style="277" customWidth="1"/>
    <col min="16" max="16384" width="9.109375" style="277"/>
  </cols>
  <sheetData>
    <row r="1" spans="1:15" ht="16.8" thickTop="1" thickBot="1">
      <c r="A1" s="899" t="str">
        <f>'UNTHSCPM Chts'!$A$1</f>
        <v>University of North Texas Health Science Center at Fort Worth Private Medical School (Priv M)</v>
      </c>
      <c r="B1" s="754"/>
      <c r="C1" s="754"/>
      <c r="E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320">
        <f>VLOOKUP(A1,NamesLU,2,FALSE)</f>
        <v>100130</v>
      </c>
      <c r="J2" s="901"/>
      <c r="K2" s="901"/>
      <c r="L2" s="901"/>
      <c r="M2" s="901"/>
      <c r="O2" s="320"/>
    </row>
    <row r="3" spans="1:15" ht="15.75" customHeight="1">
      <c r="A3" s="900" t="str">
        <f>'Smmy Chts'!$A$3</f>
        <v>Source: FY 2022 Annual Financial Report</v>
      </c>
      <c r="B3" s="754"/>
      <c r="C3" s="754"/>
      <c r="O3" s="320"/>
    </row>
    <row r="4" spans="1:15" ht="13.5" customHeight="1">
      <c r="A4" s="279" t="s">
        <v>716</v>
      </c>
      <c r="B4" s="282"/>
      <c r="C4" s="322"/>
      <c r="D4" s="1165" t="s">
        <v>380</v>
      </c>
      <c r="E4" s="1142" t="s">
        <v>528</v>
      </c>
      <c r="O4" s="320"/>
    </row>
    <row r="5" spans="1:15" ht="17.399999999999999">
      <c r="A5" s="903" t="str">
        <f>'Smmy Chts'!$C$35</f>
        <v>Summary Worksheet FY 2022</v>
      </c>
      <c r="B5" s="904" t="s">
        <v>458</v>
      </c>
      <c r="C5" s="904" t="s">
        <v>148</v>
      </c>
      <c r="D5" s="1166"/>
      <c r="E5" s="1143"/>
      <c r="G5" s="906" t="s">
        <v>529</v>
      </c>
      <c r="I5" s="907" t="s">
        <v>622</v>
      </c>
      <c r="J5" s="908" t="s">
        <v>148</v>
      </c>
      <c r="O5" s="320"/>
    </row>
    <row r="6" spans="1:15" ht="13.5" customHeight="1">
      <c r="A6" s="279" t="s">
        <v>147</v>
      </c>
      <c r="B6" s="909"/>
      <c r="C6" s="427">
        <f>VLOOKUP($G$2,FTSELU,10,FALSE)</f>
        <v>0</v>
      </c>
      <c r="J6" s="910"/>
      <c r="O6" s="320"/>
    </row>
    <row r="7" spans="1:15">
      <c r="B7" s="909"/>
      <c r="C7" s="909"/>
      <c r="I7" s="446" t="s">
        <v>533</v>
      </c>
      <c r="J7" s="911"/>
      <c r="O7" s="320"/>
    </row>
    <row r="8" spans="1:15">
      <c r="A8" s="912" t="s">
        <v>151</v>
      </c>
      <c r="B8" s="912"/>
      <c r="C8" s="913"/>
      <c r="I8" s="914">
        <f>VLOOKUP($G$2,FTSELU,11,FALSE)</f>
        <v>0</v>
      </c>
      <c r="J8" s="910"/>
      <c r="O8" s="320"/>
    </row>
    <row r="9" spans="1:15" ht="12.75" customHeight="1" thickBot="1">
      <c r="A9" s="279" t="s">
        <v>152</v>
      </c>
      <c r="B9" s="915"/>
      <c r="C9" s="915"/>
      <c r="J9" s="910"/>
      <c r="O9" s="320"/>
    </row>
    <row r="10" spans="1:15" ht="12.75" customHeight="1" thickTop="1">
      <c r="A10" s="277" t="s">
        <v>535</v>
      </c>
      <c r="B10" s="501">
        <f>'UNTHSCPM FGD'!M10</f>
        <v>0</v>
      </c>
      <c r="C10" s="501"/>
      <c r="D10" s="492">
        <f>'UNTHSCPM FGD'!F10</f>
        <v>0</v>
      </c>
      <c r="E10" s="492"/>
      <c r="F10" s="916">
        <f>B10-(SUM(D10:E10))</f>
        <v>0</v>
      </c>
      <c r="G10" s="917" t="s">
        <v>101</v>
      </c>
      <c r="H10" s="918"/>
      <c r="I10" s="919" t="s">
        <v>536</v>
      </c>
      <c r="J10" s="920" t="str">
        <f>IFERROR(ROUND(F10/$C$6,0),"")</f>
        <v/>
      </c>
      <c r="O10" s="320"/>
    </row>
    <row r="11" spans="1:15" ht="12.75" customHeight="1" thickBot="1">
      <c r="A11" s="277" t="s">
        <v>134</v>
      </c>
      <c r="B11" s="669">
        <f>'UNTHSCPM FGD'!M11</f>
        <v>0</v>
      </c>
      <c r="C11" s="669"/>
      <c r="D11" s="921">
        <f>'UNTHSCPM FGD'!F11</f>
        <v>0</v>
      </c>
      <c r="E11" s="754"/>
      <c r="F11" s="922">
        <f t="shared" ref="F11:F14" si="0">B11-(SUM(D11:E11))</f>
        <v>0</v>
      </c>
      <c r="G11" s="923">
        <f>SUM(F10:F11)</f>
        <v>0</v>
      </c>
      <c r="H11" s="924"/>
      <c r="I11" s="925" t="str">
        <f>IFERROR(ROUND($G$11/$C$6,0),"")</f>
        <v/>
      </c>
      <c r="J11" s="926" t="str">
        <f>IFERROR(ROUND(F11/$C$6,0),"")</f>
        <v/>
      </c>
      <c r="O11" s="320"/>
    </row>
    <row r="12" spans="1:15" ht="12.75" hidden="1" customHeight="1" thickTop="1" thickBot="1">
      <c r="A12" s="277" t="s">
        <v>537</v>
      </c>
      <c r="B12" s="669"/>
      <c r="C12" s="669"/>
      <c r="D12" s="921"/>
      <c r="E12" s="754"/>
      <c r="F12" s="927"/>
      <c r="J12" s="926"/>
      <c r="O12" s="928"/>
    </row>
    <row r="13" spans="1:15" ht="12.75" customHeight="1" thickTop="1">
      <c r="A13" s="277" t="s">
        <v>468</v>
      </c>
      <c r="B13" s="669">
        <f>'UNTHSCPM FGD'!M13</f>
        <v>0</v>
      </c>
      <c r="C13" s="669"/>
      <c r="D13" s="921">
        <f>'UNTHSCPM FGD'!F13</f>
        <v>0</v>
      </c>
      <c r="E13" s="754"/>
      <c r="F13" s="929">
        <f t="shared" si="0"/>
        <v>0</v>
      </c>
      <c r="G13" s="930" t="s">
        <v>102</v>
      </c>
      <c r="H13" s="931"/>
      <c r="I13" s="417" t="s">
        <v>538</v>
      </c>
      <c r="J13" s="926" t="str">
        <f>IFERROR(ROUND(F13/$C$6,0),"")</f>
        <v/>
      </c>
      <c r="O13" s="320"/>
    </row>
    <row r="14" spans="1:15" ht="12.75" customHeight="1" thickBot="1">
      <c r="A14" s="277" t="s">
        <v>135</v>
      </c>
      <c r="B14" s="669">
        <f>'UNTHSCPM FGD'!M14</f>
        <v>0</v>
      </c>
      <c r="C14" s="669"/>
      <c r="D14" s="921">
        <f>'UNTHSCPM FGD'!F14</f>
        <v>0</v>
      </c>
      <c r="E14" s="754"/>
      <c r="F14" s="927">
        <f t="shared" si="0"/>
        <v>0</v>
      </c>
      <c r="G14" s="932">
        <f>SUM(F13:F14)</f>
        <v>0</v>
      </c>
      <c r="H14" s="933"/>
      <c r="I14" s="934" t="str">
        <f>IFERROR(ROUND($G$11/$I$8,0),"")</f>
        <v/>
      </c>
      <c r="J14" s="935" t="str">
        <f>IFERROR(ROUND(F14/$C$6,0),"")</f>
        <v/>
      </c>
      <c r="O14" s="320"/>
    </row>
    <row r="15" spans="1:15" ht="12.75" customHeight="1" thickTop="1">
      <c r="A15" s="936" t="s">
        <v>155</v>
      </c>
      <c r="B15" s="937">
        <f>SUM(B10:B14)</f>
        <v>0</v>
      </c>
      <c r="C15" s="937">
        <f>SUM(C10:C14)</f>
        <v>0</v>
      </c>
      <c r="D15" s="937">
        <f>SUM(D10:D14)</f>
        <v>0</v>
      </c>
      <c r="E15" s="937">
        <f>SUM(E10:E14)</f>
        <v>0</v>
      </c>
      <c r="F15" s="938">
        <f>SUM(F10:F14)</f>
        <v>0</v>
      </c>
      <c r="I15" s="345"/>
      <c r="J15" s="939">
        <f>SUM(J10:J14)</f>
        <v>0</v>
      </c>
      <c r="O15" s="320"/>
    </row>
    <row r="16" spans="1:15">
      <c r="C16" s="277"/>
      <c r="J16" s="910"/>
      <c r="O16" s="320"/>
    </row>
    <row r="17" spans="1:15" ht="12.75" customHeight="1">
      <c r="A17" s="279" t="s">
        <v>161</v>
      </c>
      <c r="C17" s="277"/>
      <c r="J17" s="910"/>
      <c r="O17" s="320"/>
    </row>
    <row r="18" spans="1:15">
      <c r="A18" s="277" t="s">
        <v>165</v>
      </c>
      <c r="B18" s="501">
        <f>'UNTHSCPM FGD'!M29</f>
        <v>0</v>
      </c>
      <c r="C18" s="501"/>
      <c r="D18" s="492">
        <f>'UNTHSCPM FGD'!$F$29</f>
        <v>0</v>
      </c>
      <c r="E18" s="492"/>
      <c r="F18" s="492">
        <f t="shared" ref="F18:F19" si="1">B18-(SUM(D18:E18))</f>
        <v>0</v>
      </c>
      <c r="J18" s="920" t="str">
        <f>IFERROR(ROUND(F18/$C$6,0),"")</f>
        <v/>
      </c>
      <c r="O18" s="320"/>
    </row>
    <row r="19" spans="1:15" ht="13.8" thickBot="1">
      <c r="A19" s="277" t="s">
        <v>166</v>
      </c>
      <c r="B19" s="669">
        <f>'UNTHSCPM FGD'!M42</f>
        <v>0</v>
      </c>
      <c r="C19" s="669"/>
      <c r="D19" s="754">
        <f>'UNTHSCPM FGD'!$F$42</f>
        <v>0</v>
      </c>
      <c r="E19" s="754"/>
      <c r="F19" s="754">
        <f t="shared" si="1"/>
        <v>0</v>
      </c>
      <c r="J19" s="926" t="str">
        <f>IFERROR(ROUND(F19/$C$6,0),"")</f>
        <v/>
      </c>
      <c r="O19" s="320"/>
    </row>
    <row r="20" spans="1:15" ht="14.4" thickTop="1" thickBot="1">
      <c r="A20" s="936" t="s">
        <v>167</v>
      </c>
      <c r="B20" s="937">
        <f>SUM(B18:B19)</f>
        <v>0</v>
      </c>
      <c r="C20" s="937">
        <f>SUM(C18:C19)</f>
        <v>0</v>
      </c>
      <c r="D20" s="798">
        <f>SUM(D18:D19)</f>
        <v>0</v>
      </c>
      <c r="E20" s="940">
        <f>SUM(E18:E19)</f>
        <v>0</v>
      </c>
      <c r="F20" s="941">
        <f>SUM(F18:F19)</f>
        <v>0</v>
      </c>
      <c r="G20" s="942" t="s">
        <v>539</v>
      </c>
      <c r="H20" s="943"/>
      <c r="J20" s="944">
        <f>SUM(J18:J19)</f>
        <v>0</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'UNTHSCPM FGD'!M47</f>
        <v>0</v>
      </c>
      <c r="C23" s="937"/>
      <c r="D23" s="798">
        <f>'UNTHSCPM FGD'!F47</f>
        <v>0</v>
      </c>
      <c r="E23" s="940"/>
      <c r="F23" s="941">
        <f>B23-(SUM(D23:E23))</f>
        <v>0</v>
      </c>
      <c r="G23" s="946" t="s">
        <v>540</v>
      </c>
      <c r="H23" s="943"/>
      <c r="J23" s="947" t="str">
        <f>IFERROR(ROUND(F23/$C$6,0),"")</f>
        <v/>
      </c>
      <c r="O23" s="320"/>
    </row>
    <row r="24" spans="1:15" ht="13.8" thickTop="1">
      <c r="C24" s="277"/>
      <c r="J24" s="910"/>
      <c r="O24" s="320"/>
    </row>
    <row r="25" spans="1:15">
      <c r="A25" s="279" t="s">
        <v>163</v>
      </c>
      <c r="C25" s="277"/>
      <c r="D25" s="754"/>
      <c r="J25" s="910"/>
      <c r="O25" s="320"/>
    </row>
    <row r="26" spans="1:15">
      <c r="A26" s="936" t="s">
        <v>200</v>
      </c>
      <c r="B26" s="937">
        <f>'UNTHSCPM FGD'!M50</f>
        <v>0</v>
      </c>
      <c r="C26" s="937"/>
      <c r="D26" s="937">
        <f>'UNTHSCPM FGD'!F50</f>
        <v>0</v>
      </c>
      <c r="E26" s="937">
        <f>B26-D26</f>
        <v>0</v>
      </c>
      <c r="F26" s="937">
        <f t="shared" ref="F26" si="2">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'UNTHSCPM FGD'!M53</f>
        <v>0</v>
      </c>
      <c r="C29" s="937"/>
      <c r="D29" s="937">
        <f>'UNTHSCPM FGD'!F53</f>
        <v>0</v>
      </c>
      <c r="E29" s="937">
        <f>B29-D29</f>
        <v>0</v>
      </c>
      <c r="F29" s="937">
        <f t="shared" ref="F29" si="3">B29-(SUM(D29:E29))</f>
        <v>0</v>
      </c>
      <c r="J29" s="926"/>
      <c r="O29" s="320"/>
    </row>
    <row r="30" spans="1:15">
      <c r="C30" s="277"/>
      <c r="E30" s="754"/>
      <c r="F30" s="754"/>
      <c r="J30" s="926"/>
      <c r="O30" s="320"/>
    </row>
    <row r="31" spans="1:15">
      <c r="A31" s="279" t="s">
        <v>171</v>
      </c>
      <c r="C31" s="277"/>
      <c r="E31" s="754"/>
      <c r="F31" s="754"/>
      <c r="G31" s="400"/>
      <c r="H31" s="400"/>
      <c r="I31" s="400"/>
      <c r="J31" s="926"/>
      <c r="O31" s="320"/>
    </row>
    <row r="32" spans="1:15">
      <c r="A32" s="277" t="s">
        <v>172</v>
      </c>
      <c r="B32" s="501">
        <f>'UNTHSCPM FGD'!M56</f>
        <v>0</v>
      </c>
      <c r="C32" s="501"/>
      <c r="D32" s="492">
        <f>'UNTHSCPM FGD'!F56</f>
        <v>0</v>
      </c>
      <c r="E32" s="492"/>
      <c r="F32" s="492">
        <f t="shared" ref="F32:F37" si="4">B32-(SUM(D32:E32))</f>
        <v>0</v>
      </c>
      <c r="J32" s="920" t="str">
        <f t="shared" ref="J32:J37" si="5">IFERROR(ROUND(F32/$C$6,0),"")</f>
        <v/>
      </c>
      <c r="O32" s="320"/>
    </row>
    <row r="33" spans="1:30">
      <c r="A33" s="277" t="s">
        <v>173</v>
      </c>
      <c r="B33" s="669">
        <f>'UNTHSCPM FGD'!M57</f>
        <v>0</v>
      </c>
      <c r="C33" s="669"/>
      <c r="D33" s="921">
        <f>'UNTHSCPM FGD'!F57</f>
        <v>0</v>
      </c>
      <c r="E33" s="754"/>
      <c r="F33" s="754">
        <f t="shared" si="4"/>
        <v>0</v>
      </c>
      <c r="J33" s="926" t="str">
        <f t="shared" si="5"/>
        <v/>
      </c>
      <c r="O33" s="320"/>
    </row>
    <row r="34" spans="1:30" ht="13.8" thickBot="1">
      <c r="A34" s="277" t="s">
        <v>174</v>
      </c>
      <c r="B34" s="669">
        <f>'UNTHSCPM FGD'!M58</f>
        <v>0</v>
      </c>
      <c r="C34" s="669"/>
      <c r="D34" s="921">
        <f>'UNTHSCPM FGD'!F58</f>
        <v>0</v>
      </c>
      <c r="E34" s="754"/>
      <c r="F34" s="754">
        <f t="shared" si="4"/>
        <v>0</v>
      </c>
      <c r="J34" s="926" t="str">
        <f t="shared" si="5"/>
        <v/>
      </c>
      <c r="O34" s="320"/>
    </row>
    <row r="35" spans="1:30" ht="13.8" thickBot="1">
      <c r="A35" s="277" t="s">
        <v>175</v>
      </c>
      <c r="B35" s="669">
        <f>'UNTHSCPM FGD'!M59</f>
        <v>0</v>
      </c>
      <c r="C35" s="669"/>
      <c r="D35" s="921">
        <f>'UNTHSCPM FGD'!F59</f>
        <v>0</v>
      </c>
      <c r="E35" s="754"/>
      <c r="F35" s="754">
        <f t="shared" si="4"/>
        <v>0</v>
      </c>
      <c r="J35" s="926" t="str">
        <f t="shared" si="5"/>
        <v/>
      </c>
      <c r="K35" s="1157"/>
      <c r="L35" s="1140"/>
      <c r="M35" s="1140"/>
      <c r="N35" s="1140"/>
      <c r="O35" s="1141"/>
    </row>
    <row r="36" spans="1:30" ht="13.8" thickBot="1">
      <c r="A36" s="277" t="s">
        <v>471</v>
      </c>
      <c r="B36" s="669">
        <f>'UNTHSCPM FGD'!M60</f>
        <v>0</v>
      </c>
      <c r="C36" s="669"/>
      <c r="D36" s="921">
        <f>'UNTHSCPM FGD'!F60</f>
        <v>0</v>
      </c>
      <c r="E36" s="754"/>
      <c r="F36" s="754">
        <f t="shared" si="4"/>
        <v>0</v>
      </c>
      <c r="J36" s="926" t="str">
        <f t="shared" si="5"/>
        <v/>
      </c>
      <c r="K36" s="1157" t="s">
        <v>268</v>
      </c>
      <c r="L36" s="1140"/>
      <c r="M36" s="1140"/>
      <c r="N36" s="1140"/>
      <c r="O36" s="1141"/>
    </row>
    <row r="37" spans="1:30" ht="13.5" customHeight="1" thickBot="1">
      <c r="A37" s="538" t="s">
        <v>177</v>
      </c>
      <c r="B37" s="669">
        <f>'UNTHSCPM FGD'!M61</f>
        <v>0</v>
      </c>
      <c r="C37" s="669"/>
      <c r="D37" s="921">
        <f>'UNTHSCPM FGD'!F61</f>
        <v>0</v>
      </c>
      <c r="E37" s="754"/>
      <c r="F37" s="754">
        <f t="shared" si="4"/>
        <v>0</v>
      </c>
      <c r="G37" s="400"/>
      <c r="H37" s="400"/>
      <c r="I37" s="400"/>
      <c r="J37" s="926" t="str">
        <f t="shared" si="5"/>
        <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0</v>
      </c>
      <c r="C38" s="937"/>
      <c r="D38" s="949">
        <f>SUM(D32:D37)</f>
        <v>0</v>
      </c>
      <c r="E38" s="949">
        <f>SUM(E32:E37)</f>
        <v>0</v>
      </c>
      <c r="F38" s="950">
        <f>SUM(F32:F37)</f>
        <v>0</v>
      </c>
      <c r="G38" s="1154" t="s">
        <v>171</v>
      </c>
      <c r="H38" s="1155"/>
      <c r="I38" s="951" t="s">
        <v>542</v>
      </c>
      <c r="J38" s="952">
        <f>SUM(J32:J37)</f>
        <v>0</v>
      </c>
      <c r="K38" s="1159"/>
      <c r="L38" s="1159"/>
      <c r="M38" s="1159"/>
      <c r="N38" s="1159" t="s">
        <v>543</v>
      </c>
      <c r="O38" s="1159" t="s">
        <v>280</v>
      </c>
    </row>
    <row r="39" spans="1:30" ht="13.8" thickTop="1">
      <c r="A39" s="953" t="s">
        <v>201</v>
      </c>
      <c r="B39" s="954">
        <f>B15+B20+B23+B26+B29+B38</f>
        <v>0</v>
      </c>
      <c r="C39" s="955"/>
      <c r="D39" s="954">
        <f>D15+D20+D23+D26+D29+D38</f>
        <v>0</v>
      </c>
      <c r="E39" s="954">
        <f>E15+E20+E23+E26+E29+E38</f>
        <v>0</v>
      </c>
      <c r="F39" s="956">
        <f>F38+F23+F20+F15</f>
        <v>0</v>
      </c>
      <c r="G39" s="1156" t="s">
        <v>271</v>
      </c>
      <c r="H39" s="1156"/>
      <c r="I39" s="957" t="str">
        <f>IFERROR(ROUND($G$41/$C$6,0),"")</f>
        <v/>
      </c>
      <c r="J39" s="958">
        <f>J15+J20+J23+J38</f>
        <v>0</v>
      </c>
      <c r="K39" s="1159"/>
      <c r="L39" s="1159"/>
      <c r="M39" s="1159"/>
      <c r="N39" s="1159"/>
      <c r="O39" s="1159"/>
    </row>
    <row r="40" spans="1:30" ht="13.8" thickBot="1">
      <c r="C40" s="277"/>
      <c r="F40" s="320" t="s">
        <v>577</v>
      </c>
      <c r="G40" s="959">
        <f>G14*-1</f>
        <v>0</v>
      </c>
      <c r="I40" s="951" t="s">
        <v>545</v>
      </c>
      <c r="J40" s="960"/>
      <c r="K40" s="1160"/>
      <c r="L40" s="1160"/>
      <c r="M40" s="1160"/>
      <c r="N40" s="1160"/>
      <c r="O40" s="1160"/>
    </row>
    <row r="41" spans="1:30" ht="14.4" thickTop="1" thickBot="1">
      <c r="A41" s="912" t="s">
        <v>178</v>
      </c>
      <c r="B41" s="912"/>
      <c r="C41" s="912"/>
      <c r="D41" s="344"/>
      <c r="E41" s="344"/>
      <c r="F41" s="961" t="s">
        <v>546</v>
      </c>
      <c r="G41" s="962">
        <f>F39+G40</f>
        <v>0</v>
      </c>
      <c r="I41" s="963" t="str">
        <f>IFERROR(ROUND($G$41/$I$8,0),"")</f>
        <v/>
      </c>
      <c r="K41" s="964"/>
      <c r="L41" s="964"/>
      <c r="M41" s="964"/>
      <c r="N41" s="964"/>
      <c r="O41" s="964"/>
    </row>
    <row r="42" spans="1:30" ht="13.8" thickTop="1">
      <c r="A42" s="490" t="s">
        <v>92</v>
      </c>
      <c r="B42" s="501">
        <f>'UNTHSCPM FGD'!M65</f>
        <v>21649</v>
      </c>
      <c r="C42" s="501"/>
      <c r="D42" s="492">
        <f>'UNTHSCPM FGD'!F65</f>
        <v>0</v>
      </c>
      <c r="E42" s="492"/>
      <c r="F42" s="492">
        <f t="shared" ref="F42" si="6">B42-(SUM(D42:E42))</f>
        <v>21649</v>
      </c>
      <c r="H42" s="965" t="s">
        <v>547</v>
      </c>
      <c r="I42" s="966" t="str">
        <f>IFERROR(ROUND(F42/$C$6,0),"")</f>
        <v/>
      </c>
      <c r="J42" s="320" t="s">
        <v>548</v>
      </c>
      <c r="K42" s="492">
        <f>F42</f>
        <v>21649</v>
      </c>
      <c r="L42" s="492">
        <f>K42</f>
        <v>21649</v>
      </c>
      <c r="M42" s="492"/>
      <c r="N42" s="492"/>
      <c r="O42" s="492"/>
    </row>
    <row r="43" spans="1:30">
      <c r="A43" s="490" t="s">
        <v>179</v>
      </c>
      <c r="B43" s="669">
        <f>'UNTHSCPM FGD'!M66</f>
        <v>0</v>
      </c>
      <c r="C43" s="669"/>
      <c r="D43" s="723">
        <f>'UNTHSCPM FGD'!F66</f>
        <v>0</v>
      </c>
      <c r="E43" s="754"/>
      <c r="F43" s="754">
        <f t="shared" ref="F43:F44" si="7">B43-(SUM(D43:E43))</f>
        <v>0</v>
      </c>
      <c r="J43" s="320" t="s">
        <v>549</v>
      </c>
      <c r="K43" s="723">
        <f>F43</f>
        <v>0</v>
      </c>
      <c r="L43" s="723">
        <f>K43</f>
        <v>0</v>
      </c>
      <c r="M43" s="723"/>
      <c r="N43" s="723"/>
      <c r="O43" s="723"/>
    </row>
    <row r="44" spans="1:30">
      <c r="A44" s="490" t="s">
        <v>180</v>
      </c>
      <c r="B44" s="669">
        <f>'UNTHSCPM FGD'!M67</f>
        <v>0</v>
      </c>
      <c r="C44" s="669"/>
      <c r="D44" s="723">
        <f>'UNTHSCPM FGD'!F67</f>
        <v>0</v>
      </c>
      <c r="E44" s="921">
        <f>B44-D44</f>
        <v>0</v>
      </c>
      <c r="F44" s="754">
        <f t="shared" si="7"/>
        <v>0</v>
      </c>
      <c r="J44" s="320" t="s">
        <v>550</v>
      </c>
      <c r="K44" s="967"/>
      <c r="L44" s="769"/>
      <c r="M44" s="769" t="s">
        <v>551</v>
      </c>
      <c r="N44" s="769"/>
      <c r="O44" s="968"/>
    </row>
    <row r="45" spans="1:30">
      <c r="A45" s="300" t="s">
        <v>164</v>
      </c>
      <c r="B45" s="669">
        <f>'UNTHSCPM FGD'!M68</f>
        <v>0</v>
      </c>
      <c r="C45" s="669"/>
      <c r="D45" s="723">
        <f>'UNTHSCPM FGD'!F68</f>
        <v>0</v>
      </c>
      <c r="E45" s="921">
        <f>B45-D45</f>
        <v>0</v>
      </c>
      <c r="F45" s="754">
        <f t="shared" ref="F45:F53" si="8">B45-(SUM(D45:E45))</f>
        <v>0</v>
      </c>
      <c r="G45" s="492"/>
      <c r="J45" s="320" t="s">
        <v>552</v>
      </c>
      <c r="K45" s="1161" t="s">
        <v>551</v>
      </c>
      <c r="L45" s="1162"/>
      <c r="M45" s="1162"/>
      <c r="N45" s="1162"/>
      <c r="O45" s="1163"/>
    </row>
    <row r="46" spans="1:30">
      <c r="A46" s="490" t="s">
        <v>181</v>
      </c>
      <c r="B46" s="669">
        <f>'UNTHSCPM FGD'!M69</f>
        <v>534571</v>
      </c>
      <c r="C46" s="669"/>
      <c r="D46" s="723">
        <f>'UNTHSCPM FGD'!F69</f>
        <v>0</v>
      </c>
      <c r="E46" s="754"/>
      <c r="F46" s="754">
        <f t="shared" si="8"/>
        <v>534571</v>
      </c>
      <c r="H46" s="965" t="s">
        <v>553</v>
      </c>
      <c r="I46" s="966" t="str">
        <f>IFERROR(ROUND(F46/$C$6,0),"")</f>
        <v/>
      </c>
      <c r="J46" s="320" t="s">
        <v>554</v>
      </c>
      <c r="K46" s="723">
        <f t="shared" ref="K46:K50" si="9">F46</f>
        <v>534571</v>
      </c>
      <c r="L46" s="723">
        <f>K46</f>
        <v>534571</v>
      </c>
      <c r="M46" s="723"/>
      <c r="N46" s="723"/>
      <c r="O46" s="723"/>
    </row>
    <row r="47" spans="1:30">
      <c r="A47" s="490" t="s">
        <v>182</v>
      </c>
      <c r="B47" s="669">
        <f>'UNTHSCPM FGD'!M70</f>
        <v>0</v>
      </c>
      <c r="C47" s="669"/>
      <c r="D47" s="723">
        <f>'UNTHSCPM FGD'!F70</f>
        <v>0</v>
      </c>
      <c r="E47" s="754"/>
      <c r="F47" s="754">
        <f t="shared" si="8"/>
        <v>0</v>
      </c>
      <c r="J47" s="320" t="s">
        <v>555</v>
      </c>
      <c r="K47" s="723">
        <f t="shared" si="9"/>
        <v>0</v>
      </c>
      <c r="L47" s="723"/>
      <c r="M47" s="723">
        <f>K47</f>
        <v>0</v>
      </c>
      <c r="N47" s="723"/>
      <c r="O47" s="723"/>
    </row>
    <row r="48" spans="1:30">
      <c r="A48" s="490" t="s">
        <v>183</v>
      </c>
      <c r="B48" s="669">
        <f>'UNTHSCPM FGD'!M71</f>
        <v>181</v>
      </c>
      <c r="C48" s="669"/>
      <c r="D48" s="723">
        <f>'UNTHSCPM FGD'!F71</f>
        <v>0</v>
      </c>
      <c r="E48" s="754"/>
      <c r="F48" s="754">
        <f t="shared" si="8"/>
        <v>181</v>
      </c>
      <c r="H48" s="965" t="s">
        <v>556</v>
      </c>
      <c r="I48" s="966" t="str">
        <f>IFERROR(ROUND(F48/$C$6,0),"")</f>
        <v/>
      </c>
      <c r="J48" s="320" t="s">
        <v>557</v>
      </c>
      <c r="K48" s="723">
        <f t="shared" si="9"/>
        <v>181</v>
      </c>
      <c r="L48" s="723"/>
      <c r="M48" s="723"/>
      <c r="N48" s="723">
        <f>K48</f>
        <v>181</v>
      </c>
      <c r="O48" s="723"/>
    </row>
    <row r="49" spans="1:30">
      <c r="A49" s="490" t="s">
        <v>184</v>
      </c>
      <c r="B49" s="669">
        <f>'UNTHSCPM FGD'!M72</f>
        <v>0</v>
      </c>
      <c r="C49" s="669"/>
      <c r="D49" s="723">
        <f>'UNTHSCPM FGD'!F72</f>
        <v>0</v>
      </c>
      <c r="E49" s="754"/>
      <c r="F49" s="754">
        <f t="shared" si="8"/>
        <v>0</v>
      </c>
      <c r="J49" s="320" t="s">
        <v>558</v>
      </c>
      <c r="K49" s="723">
        <f t="shared" si="9"/>
        <v>0</v>
      </c>
      <c r="L49" s="723"/>
      <c r="M49" s="723"/>
      <c r="N49" s="723">
        <f>K49</f>
        <v>0</v>
      </c>
      <c r="O49" s="723"/>
    </row>
    <row r="50" spans="1:30">
      <c r="A50" s="490" t="s">
        <v>185</v>
      </c>
      <c r="B50" s="669">
        <f>'UNTHSCPM FGD'!M73</f>
        <v>0</v>
      </c>
      <c r="C50" s="669"/>
      <c r="D50" s="723">
        <f>'UNTHSCPM FGD'!F73</f>
        <v>0</v>
      </c>
      <c r="E50" s="754"/>
      <c r="F50" s="754">
        <f t="shared" si="8"/>
        <v>0</v>
      </c>
      <c r="J50" s="320" t="s">
        <v>559</v>
      </c>
      <c r="K50" s="723">
        <f t="shared" si="9"/>
        <v>0</v>
      </c>
      <c r="L50" s="723"/>
      <c r="M50" s="723">
        <f>K50</f>
        <v>0</v>
      </c>
      <c r="N50" s="723"/>
      <c r="O50" s="723"/>
    </row>
    <row r="51" spans="1:30">
      <c r="A51" s="490" t="s">
        <v>472</v>
      </c>
      <c r="B51" s="669">
        <f>'UNTHSCPM FGD'!M74</f>
        <v>0</v>
      </c>
      <c r="C51" s="669"/>
      <c r="D51" s="969">
        <f>B51</f>
        <v>0</v>
      </c>
      <c r="E51" s="754"/>
      <c r="F51" s="754">
        <f t="shared" si="8"/>
        <v>0</v>
      </c>
      <c r="J51" s="320" t="s">
        <v>560</v>
      </c>
      <c r="K51" s="967"/>
      <c r="L51" s="769"/>
      <c r="M51" s="769" t="s">
        <v>551</v>
      </c>
      <c r="N51" s="769"/>
      <c r="O51" s="968"/>
    </row>
    <row r="52" spans="1:30">
      <c r="A52" s="490" t="s">
        <v>187</v>
      </c>
      <c r="B52" s="669">
        <f>'UNTHSCPM FGD'!M75</f>
        <v>0</v>
      </c>
      <c r="C52" s="669"/>
      <c r="D52" s="723">
        <f>'UNTHSCPM FGD'!F75</f>
        <v>0</v>
      </c>
      <c r="E52" s="754"/>
      <c r="F52" s="754">
        <f t="shared" si="8"/>
        <v>0</v>
      </c>
      <c r="J52" s="320" t="s">
        <v>561</v>
      </c>
      <c r="K52" s="723">
        <f t="shared" ref="K52:K53" si="10">F52</f>
        <v>0</v>
      </c>
      <c r="L52" s="723"/>
      <c r="M52" s="723"/>
      <c r="N52" s="723"/>
      <c r="O52" s="723">
        <f>K52</f>
        <v>0</v>
      </c>
    </row>
    <row r="53" spans="1:30" ht="13.8" thickBot="1">
      <c r="A53" s="277" t="s">
        <v>1713</v>
      </c>
      <c r="B53" s="669">
        <f>'UNTHSCPM FGD'!M76</f>
        <v>0</v>
      </c>
      <c r="C53" s="669"/>
      <c r="D53" s="723">
        <f>'UNTHSCPM FGD'!F76</f>
        <v>0</v>
      </c>
      <c r="E53" s="754"/>
      <c r="F53" s="754">
        <f t="shared" si="8"/>
        <v>0</v>
      </c>
      <c r="G53" s="400"/>
      <c r="H53" s="965" t="s">
        <v>562</v>
      </c>
      <c r="I53" s="966" t="str">
        <f>IFERROR(ROUND(SUM(F43+F47+F49+F50+F52+F53)/$C$6,0),"")</f>
        <v/>
      </c>
      <c r="J53" s="400" t="s">
        <v>280</v>
      </c>
      <c r="K53" s="723">
        <f t="shared" si="10"/>
        <v>0</v>
      </c>
      <c r="L53" s="970"/>
      <c r="M53" s="970"/>
      <c r="N53" s="970"/>
      <c r="O53" s="723">
        <f>K53</f>
        <v>0</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556401</v>
      </c>
      <c r="C54" s="972">
        <f>SUM(C42:C53)</f>
        <v>0</v>
      </c>
      <c r="D54" s="972">
        <f>SUM(D42:D53)</f>
        <v>0</v>
      </c>
      <c r="E54" s="973">
        <f>SUM(E43:E53)</f>
        <v>0</v>
      </c>
      <c r="F54" s="974">
        <f>SUM(F42:F53)</f>
        <v>556401</v>
      </c>
      <c r="G54" s="1174" t="s">
        <v>563</v>
      </c>
      <c r="H54" s="1175"/>
      <c r="I54" s="975" t="s">
        <v>623</v>
      </c>
      <c r="J54" s="400" t="s">
        <v>564</v>
      </c>
      <c r="K54" s="976">
        <f>SUM(K42:K53)</f>
        <v>556401</v>
      </c>
      <c r="L54" s="976">
        <f t="shared" ref="L54:O54" si="11">SUM(L42:L53)</f>
        <v>556220</v>
      </c>
      <c r="M54" s="976">
        <f t="shared" si="11"/>
        <v>0</v>
      </c>
      <c r="N54" s="976">
        <f t="shared" si="11"/>
        <v>181</v>
      </c>
      <c r="O54" s="976">
        <f t="shared" si="11"/>
        <v>0</v>
      </c>
    </row>
    <row r="55" spans="1:30" ht="14.25" customHeight="1" thickTop="1" thickBot="1">
      <c r="C55" s="277"/>
      <c r="F55" s="931"/>
      <c r="G55" s="1176"/>
      <c r="H55" s="1177"/>
      <c r="I55" s="977" t="str">
        <f>IFERROR(ROUND(F54/C6,0),"")</f>
        <v/>
      </c>
      <c r="J55" s="1153" t="s">
        <v>565</v>
      </c>
      <c r="K55" s="970"/>
      <c r="L55" s="970"/>
      <c r="M55" s="970"/>
      <c r="N55" s="970"/>
      <c r="O55" s="970"/>
    </row>
    <row r="56" spans="1:30" ht="16.5" customHeight="1" thickBot="1">
      <c r="A56" s="279" t="s">
        <v>473</v>
      </c>
      <c r="C56" s="277"/>
      <c r="F56" s="978"/>
      <c r="G56" s="1178"/>
      <c r="H56" s="1179"/>
      <c r="I56" s="951" t="s">
        <v>624</v>
      </c>
      <c r="J56" s="1153"/>
      <c r="K56" s="979"/>
      <c r="L56" s="979"/>
      <c r="M56" s="979"/>
      <c r="N56" s="979"/>
      <c r="O56" s="979"/>
      <c r="P56" s="333"/>
      <c r="Q56" s="333"/>
      <c r="R56" s="333"/>
      <c r="S56" s="333"/>
      <c r="T56" s="333"/>
      <c r="U56" s="333"/>
      <c r="V56" s="333"/>
      <c r="W56" s="333"/>
      <c r="X56" s="333"/>
      <c r="Y56" s="333"/>
      <c r="Z56" s="333"/>
      <c r="AA56" s="333"/>
      <c r="AB56" s="333"/>
      <c r="AC56" s="333"/>
      <c r="AD56" s="333"/>
    </row>
    <row r="57" spans="1:30" ht="13.8" thickTop="1">
      <c r="A57" s="277" t="s">
        <v>474</v>
      </c>
      <c r="B57" s="669">
        <f>'UNTHSCPM FGD'!M80</f>
        <v>0</v>
      </c>
      <c r="C57" s="669"/>
      <c r="D57" s="492">
        <f>'UNTHSCPM FGD'!F80</f>
        <v>0</v>
      </c>
      <c r="E57" s="492"/>
      <c r="F57" s="980">
        <f t="shared" ref="F57:F60" si="12">B57-(SUM(D57:E57))</f>
        <v>0</v>
      </c>
      <c r="G57" s="930"/>
      <c r="I57" s="981" t="str">
        <f>IFERROR(ROUND($F$54/$I$8,0),"")</f>
        <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'UNTHSCPM FGD'!M81</f>
        <v>0</v>
      </c>
      <c r="C58" s="669"/>
      <c r="D58" s="982">
        <f>'UNTHSCPM FGD'!F81</f>
        <v>0</v>
      </c>
      <c r="E58" s="915"/>
      <c r="F58" s="754">
        <f t="shared" si="12"/>
        <v>0</v>
      </c>
      <c r="K58" s="980"/>
      <c r="L58" s="980"/>
      <c r="M58" s="980"/>
      <c r="N58" s="980"/>
      <c r="O58" s="980"/>
    </row>
    <row r="59" spans="1:30">
      <c r="A59" s="983" t="s">
        <v>567</v>
      </c>
      <c r="B59" s="669">
        <f>'UNTHSCPM FGD'!M82</f>
        <v>0</v>
      </c>
      <c r="C59" s="669"/>
      <c r="D59" s="982">
        <f>'UNTHSCPM FGD'!F82</f>
        <v>0</v>
      </c>
      <c r="E59" s="915"/>
      <c r="F59" s="754">
        <f t="shared" si="12"/>
        <v>0</v>
      </c>
      <c r="G59" s="400"/>
      <c r="J59" s="400"/>
      <c r="K59" s="400"/>
      <c r="L59" s="400"/>
      <c r="M59" s="400"/>
      <c r="N59" s="400"/>
      <c r="O59" s="400"/>
    </row>
    <row r="60" spans="1:30" ht="12" customHeight="1">
      <c r="A60" s="277" t="s">
        <v>477</v>
      </c>
      <c r="B60" s="669">
        <f>'UNTHSCPM FGD'!M83</f>
        <v>0</v>
      </c>
      <c r="C60" s="669"/>
      <c r="D60" s="982">
        <f>'UNTHSCPM FGD'!F83</f>
        <v>0</v>
      </c>
      <c r="E60" s="915"/>
      <c r="F60" s="754">
        <f t="shared" si="12"/>
        <v>0</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0</v>
      </c>
      <c r="C61" s="937"/>
      <c r="D61" s="937">
        <f>SUM(D57:D60)</f>
        <v>0</v>
      </c>
      <c r="E61" s="937">
        <f>SUM(E57:E60)</f>
        <v>0</v>
      </c>
      <c r="F61" s="984">
        <f>SUM(F57:F60)</f>
        <v>0</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'UNTHSCPM FGD'!M87</f>
        <v>0</v>
      </c>
      <c r="C64" s="669"/>
      <c r="D64" s="492">
        <f>'UNTHSCPM FGD'!F87</f>
        <v>0</v>
      </c>
      <c r="E64" s="492"/>
      <c r="F64" s="492">
        <f t="shared" ref="F64:F65" si="13">B64-(SUM(D64:E64))</f>
        <v>0</v>
      </c>
      <c r="O64" s="320"/>
    </row>
    <row r="65" spans="1:30">
      <c r="A65" s="277" t="s">
        <v>480</v>
      </c>
      <c r="B65" s="669">
        <f>'UNTHSCPM FGD'!M88</f>
        <v>0</v>
      </c>
      <c r="C65" s="669"/>
      <c r="D65" s="982">
        <f>'UNTHSCPM FGD'!F88</f>
        <v>0</v>
      </c>
      <c r="E65" s="915"/>
      <c r="F65" s="754">
        <f t="shared" si="13"/>
        <v>0</v>
      </c>
      <c r="O65" s="320"/>
      <c r="P65" s="333"/>
      <c r="Q65" s="333"/>
      <c r="R65" s="333"/>
      <c r="S65" s="333"/>
      <c r="T65" s="333"/>
      <c r="U65" s="333"/>
      <c r="V65" s="333"/>
      <c r="W65" s="333"/>
      <c r="X65" s="333"/>
      <c r="Y65" s="333"/>
      <c r="Z65" s="333"/>
      <c r="AA65" s="333"/>
      <c r="AB65" s="333"/>
      <c r="AC65" s="333"/>
      <c r="AD65" s="333"/>
    </row>
    <row r="66" spans="1:30">
      <c r="A66" s="936" t="s">
        <v>155</v>
      </c>
      <c r="B66" s="937">
        <f>SUM(B64:B65)</f>
        <v>0</v>
      </c>
      <c r="C66" s="937"/>
      <c r="D66" s="937">
        <f>SUM(D64:D65)</f>
        <v>0</v>
      </c>
      <c r="E66" s="937">
        <f>SUM(E64:E65)</f>
        <v>0</v>
      </c>
      <c r="F66" s="937">
        <f>SUM(F64:F65)</f>
        <v>0</v>
      </c>
      <c r="O66" s="320"/>
    </row>
    <row r="67" spans="1:30">
      <c r="C67" s="277"/>
      <c r="O67" s="320"/>
    </row>
    <row r="68" spans="1:30" ht="13.8" thickBot="1">
      <c r="A68" s="985" t="s">
        <v>572</v>
      </c>
      <c r="B68" s="590">
        <f>B39-B54+B61+B66</f>
        <v>-556401</v>
      </c>
      <c r="C68" s="590"/>
      <c r="D68" s="590">
        <f>D39-D54+D61+D66</f>
        <v>0</v>
      </c>
      <c r="E68" s="590">
        <f>E39-E54+E61+E66</f>
        <v>0</v>
      </c>
      <c r="F68" s="590">
        <f>F39-F54+F61+F66</f>
        <v>-556401</v>
      </c>
      <c r="O68" s="320"/>
    </row>
    <row r="69" spans="1:30" ht="13.8" thickTop="1"/>
    <row r="70" spans="1:30">
      <c r="A70" s="320" t="s">
        <v>573</v>
      </c>
      <c r="D70" s="492"/>
    </row>
    <row r="71" spans="1:30">
      <c r="A71" s="277" t="s">
        <v>7</v>
      </c>
    </row>
    <row r="72" spans="1:30">
      <c r="B72" s="986">
        <f>'UNTHSCPM FGD'!$M$91</f>
        <v>-556401</v>
      </c>
      <c r="C72" s="277"/>
      <c r="D72" s="986">
        <f>'UNTHSCPM FGD'!F91</f>
        <v>0</v>
      </c>
      <c r="E72" s="986">
        <f>'UNTHSCPM FGD'!M50</f>
        <v>0</v>
      </c>
      <c r="F72" s="277"/>
    </row>
    <row r="73" spans="1:30">
      <c r="B73" s="986"/>
      <c r="C73" s="277"/>
      <c r="D73" s="986">
        <f>'UNTHSCPM FGD'!F74</f>
        <v>0</v>
      </c>
      <c r="E73" s="986">
        <f>'UNTHSCPM FGD'!M53</f>
        <v>0</v>
      </c>
      <c r="F73" s="986"/>
    </row>
    <row r="74" spans="1:30">
      <c r="B74" s="986"/>
      <c r="C74" s="277"/>
      <c r="D74" s="986">
        <f>-'UNTHSCPM FGD'!M74</f>
        <v>0</v>
      </c>
      <c r="E74" s="986">
        <f>-'UNTHSCPM FGD'!M68</f>
        <v>0</v>
      </c>
      <c r="F74" s="986"/>
    </row>
    <row r="75" spans="1:30">
      <c r="B75" s="986"/>
      <c r="C75" s="277"/>
      <c r="D75" s="986"/>
      <c r="E75" s="986">
        <f>-'UNTHSCPM FGD'!M67</f>
        <v>0</v>
      </c>
      <c r="F75" s="986"/>
    </row>
    <row r="76" spans="1:30" ht="12.75" customHeight="1">
      <c r="B76" s="987"/>
      <c r="C76" s="277"/>
      <c r="D76" s="987"/>
      <c r="E76" s="987">
        <f>-D26</f>
        <v>0</v>
      </c>
      <c r="F76" s="986"/>
    </row>
    <row r="77" spans="1:30" ht="12.75" customHeight="1">
      <c r="B77" s="986">
        <f>SUM(B72:B76)</f>
        <v>-556401</v>
      </c>
      <c r="C77" s="277"/>
      <c r="D77" s="986">
        <f>SUM(D72:D76)</f>
        <v>0</v>
      </c>
      <c r="E77" s="986">
        <f>SUM(E72:E76)</f>
        <v>0</v>
      </c>
      <c r="F77" s="986">
        <f>B77-D77-E77</f>
        <v>-556401</v>
      </c>
    </row>
    <row r="78" spans="1:30" ht="12.75" customHeight="1">
      <c r="B78" s="986"/>
      <c r="C78" s="277"/>
      <c r="D78" s="986"/>
      <c r="E78" s="986"/>
      <c r="F78" s="986"/>
    </row>
    <row r="79" spans="1:30" ht="12.75" customHeight="1">
      <c r="B79" s="987"/>
      <c r="C79" s="538"/>
      <c r="D79" s="987"/>
      <c r="E79" s="987"/>
      <c r="F79" s="987"/>
    </row>
    <row r="80" spans="1:30" ht="12.75" customHeight="1">
      <c r="B80" s="986">
        <f>SUM(B77:B79)</f>
        <v>-556401</v>
      </c>
      <c r="C80" s="277"/>
      <c r="D80" s="986">
        <f>SUM(D77:D79)</f>
        <v>0</v>
      </c>
      <c r="E80" s="986">
        <f>SUM(E77:E79)</f>
        <v>0</v>
      </c>
      <c r="F80" s="986">
        <f>SUM(F77:F79)</f>
        <v>-556401</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6">
    <mergeCell ref="K45:O45"/>
    <mergeCell ref="G54:H56"/>
    <mergeCell ref="J55:J56"/>
    <mergeCell ref="K37:K40"/>
    <mergeCell ref="L37:L40"/>
    <mergeCell ref="M37:M40"/>
    <mergeCell ref="N37:N40"/>
    <mergeCell ref="O37:O40"/>
    <mergeCell ref="G38:H38"/>
    <mergeCell ref="G39:H39"/>
    <mergeCell ref="K36:O36"/>
    <mergeCell ref="F1:I1"/>
    <mergeCell ref="J1:O1"/>
    <mergeCell ref="D4:D5"/>
    <mergeCell ref="E4:E5"/>
    <mergeCell ref="K35:O35"/>
  </mergeCells>
  <hyperlinks>
    <hyperlink ref="E1" location="Index!A1" display="Return to Index" xr:uid="{00000000-0004-0000-4F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indexed="11"/>
    <pageSetUpPr fitToPage="1"/>
  </sheetPr>
  <dimension ref="A1:AB128"/>
  <sheetViews>
    <sheetView showGridLines="0" zoomScale="75" zoomScaleNormal="75" workbookViewId="0">
      <pane xSplit="2" ySplit="8" topLeftCell="D9"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5.5546875" style="751" customWidth="1"/>
    <col min="13" max="13" width="17" style="751" customWidth="1"/>
    <col min="14" max="14" width="5.44140625" style="751" customWidth="1"/>
    <col min="15" max="15" width="16.664062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N1" s="656">
        <v>12</v>
      </c>
      <c r="O1" s="322"/>
      <c r="P1" s="322"/>
      <c r="Q1" s="322"/>
      <c r="R1" s="322"/>
      <c r="S1" s="322"/>
      <c r="T1" s="322"/>
      <c r="U1" s="322"/>
      <c r="V1" s="322"/>
      <c r="W1" s="322"/>
      <c r="X1" s="322"/>
      <c r="Y1" s="322"/>
      <c r="Z1" s="322"/>
      <c r="AA1" s="322"/>
      <c r="AB1" s="322"/>
    </row>
    <row r="2" spans="1:28" ht="21">
      <c r="A2" s="656">
        <v>1</v>
      </c>
      <c r="B2" s="749" t="str">
        <f>'UNTHSCPM Chts'!$A$1</f>
        <v>University of North Texas Health Science Center at Fort Worth Private Medical School (Priv M)</v>
      </c>
      <c r="C2" s="749"/>
      <c r="D2" s="749"/>
      <c r="E2" s="749"/>
      <c r="F2" s="749"/>
      <c r="G2" s="749"/>
      <c r="H2" s="750"/>
      <c r="J2" s="752" t="str">
        <f>IF($B$2&lt;&gt;Input!$H$20,"Name Mismatch","")</f>
        <v>Name Mismatch</v>
      </c>
      <c r="K2" s="750"/>
      <c r="L2" s="750"/>
      <c r="M2" s="672"/>
      <c r="O2" s="321" t="s">
        <v>51</v>
      </c>
      <c r="P2" s="334"/>
    </row>
    <row r="3" spans="1:28" ht="21">
      <c r="A3" s="656">
        <v>2</v>
      </c>
      <c r="B3" s="1168" t="str">
        <f>'Smmy Chts'!$A$2</f>
        <v>For the Year Ended August 31, 2022</v>
      </c>
      <c r="C3" s="1168"/>
      <c r="D3" s="1168"/>
      <c r="E3" s="1168"/>
      <c r="F3" s="1168"/>
      <c r="G3" s="753" t="s">
        <v>717</v>
      </c>
      <c r="H3" s="750"/>
      <c r="I3" s="750"/>
      <c r="J3" s="750"/>
      <c r="K3" s="750"/>
      <c r="L3" s="750"/>
      <c r="M3" s="672"/>
      <c r="O3" s="754"/>
    </row>
    <row r="4" spans="1:28" ht="21">
      <c r="A4" s="656">
        <v>3</v>
      </c>
      <c r="B4" s="1168" t="str">
        <f>'Smmy Chts'!$A$3</f>
        <v>Source: FY 2022 Annual Financial Report</v>
      </c>
      <c r="C4" s="1168"/>
      <c r="D4" s="1168"/>
      <c r="E4" s="1168"/>
      <c r="F4" s="1168"/>
      <c r="G4" s="753" t="s">
        <v>713</v>
      </c>
      <c r="H4" s="750"/>
      <c r="I4" s="750"/>
      <c r="J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Input!$M$20</f>
        <v>0</v>
      </c>
      <c r="E10" s="762">
        <f>Input!$N$20</f>
        <v>0</v>
      </c>
      <c r="F10" s="762">
        <f>Input!$O$20</f>
        <v>0</v>
      </c>
      <c r="G10" s="762">
        <f>Input!$P$20</f>
        <v>0</v>
      </c>
      <c r="H10" s="762">
        <f>Input!$Q$20</f>
        <v>0</v>
      </c>
      <c r="I10" s="762">
        <f>Input!$R$20</f>
        <v>0</v>
      </c>
      <c r="J10" s="762">
        <f>Input!$S$20</f>
        <v>0</v>
      </c>
      <c r="K10" s="762">
        <f>Input!$T$20</f>
        <v>0</v>
      </c>
      <c r="L10" s="762">
        <f>Input!$U$20</f>
        <v>0</v>
      </c>
      <c r="M10" s="723">
        <f t="shared" ref="M10:M15" si="0">D10+E10+F10+G10+H10+I10+J10+K10+L10</f>
        <v>0</v>
      </c>
      <c r="O10" s="763"/>
      <c r="P10" s="1200" t="s">
        <v>627</v>
      </c>
      <c r="Q10" s="320"/>
      <c r="R10" s="320"/>
      <c r="S10" s="320"/>
      <c r="V10" s="320"/>
      <c r="W10" s="320"/>
      <c r="X10" s="320"/>
      <c r="Y10" s="320"/>
      <c r="Z10" s="320"/>
      <c r="AA10" s="320"/>
      <c r="AB10" s="320"/>
    </row>
    <row r="11" spans="1:28" s="752" customFormat="1">
      <c r="A11" s="460">
        <v>10</v>
      </c>
      <c r="B11" s="752" t="s">
        <v>134</v>
      </c>
      <c r="D11" s="762">
        <f>Input!$V$20</f>
        <v>0</v>
      </c>
      <c r="E11" s="762">
        <f>Input!$W$20</f>
        <v>0</v>
      </c>
      <c r="F11" s="762">
        <f>Input!$X$20</f>
        <v>0</v>
      </c>
      <c r="G11" s="762">
        <f>Input!$Y$20</f>
        <v>0</v>
      </c>
      <c r="H11" s="762">
        <f>Input!$Z$20</f>
        <v>0</v>
      </c>
      <c r="I11" s="762">
        <f>Input!$AA$20</f>
        <v>0</v>
      </c>
      <c r="J11" s="762">
        <f>Input!$AB$20</f>
        <v>0</v>
      </c>
      <c r="K11" s="762">
        <f>Input!$AC$20</f>
        <v>0</v>
      </c>
      <c r="L11" s="762">
        <f>Input!$AD$20</f>
        <v>0</v>
      </c>
      <c r="M11" s="723">
        <f t="shared" si="0"/>
        <v>0</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Input!$AN$20</f>
        <v>0</v>
      </c>
      <c r="E13" s="762">
        <f>Input!$AO$20</f>
        <v>0</v>
      </c>
      <c r="F13" s="762">
        <f>Input!$AP$20</f>
        <v>0</v>
      </c>
      <c r="G13" s="762">
        <f>Input!$AQ$20</f>
        <v>0</v>
      </c>
      <c r="H13" s="762">
        <f>Input!$AR$20</f>
        <v>0</v>
      </c>
      <c r="I13" s="762">
        <f>Input!$AS$20</f>
        <v>0</v>
      </c>
      <c r="J13" s="762">
        <f>Input!$AT$20</f>
        <v>0</v>
      </c>
      <c r="K13" s="762">
        <f>Input!$AU$20</f>
        <v>0</v>
      </c>
      <c r="L13" s="762">
        <f>Input!$AV$20</f>
        <v>0</v>
      </c>
      <c r="M13" s="723">
        <f t="shared" si="0"/>
        <v>0</v>
      </c>
      <c r="O13" s="764" t="str">
        <f>IF(P13&lt;&gt;M13,"Out of Balance","Balanced")</f>
        <v>Balanced</v>
      </c>
      <c r="P13" s="767">
        <f>IFERROR(VLOOKUP($B$2,AMTLU,6,FALSE),0)</f>
        <v>0</v>
      </c>
      <c r="Q13" s="320"/>
      <c r="R13" s="320"/>
      <c r="S13" s="320"/>
      <c r="V13" s="320"/>
      <c r="W13" s="320"/>
      <c r="X13" s="320"/>
      <c r="Y13" s="320"/>
      <c r="Z13" s="320"/>
      <c r="AA13" s="320"/>
      <c r="AB13" s="320"/>
    </row>
    <row r="14" spans="1:28" s="752" customFormat="1" ht="15">
      <c r="A14" s="460">
        <v>13</v>
      </c>
      <c r="B14" s="752" t="s">
        <v>135</v>
      </c>
      <c r="D14" s="762">
        <f>Input!$AW$20</f>
        <v>0</v>
      </c>
      <c r="E14" s="762">
        <f>Input!$AX$20</f>
        <v>0</v>
      </c>
      <c r="F14" s="762">
        <f>Input!$AY$20</f>
        <v>0</v>
      </c>
      <c r="G14" s="762">
        <f>Input!$AZ$20</f>
        <v>0</v>
      </c>
      <c r="H14" s="762">
        <f>Input!$BA$20</f>
        <v>0</v>
      </c>
      <c r="I14" s="762">
        <f>Input!$BB$20</f>
        <v>0</v>
      </c>
      <c r="J14" s="762">
        <f>Input!$BC$20</f>
        <v>0</v>
      </c>
      <c r="K14" s="762">
        <f>Input!$BD$20</f>
        <v>0</v>
      </c>
      <c r="L14" s="762">
        <f>Input!$BE$20</f>
        <v>0</v>
      </c>
      <c r="M14" s="723">
        <f t="shared" si="0"/>
        <v>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0</v>
      </c>
      <c r="E15" s="769">
        <f t="shared" ref="E15:L15" si="1">SUM(E10:E14)</f>
        <v>0</v>
      </c>
      <c r="F15" s="769">
        <f t="shared" si="1"/>
        <v>0</v>
      </c>
      <c r="G15" s="769">
        <f t="shared" si="1"/>
        <v>0</v>
      </c>
      <c r="H15" s="769">
        <f t="shared" si="1"/>
        <v>0</v>
      </c>
      <c r="I15" s="769">
        <f t="shared" si="1"/>
        <v>0</v>
      </c>
      <c r="J15" s="769">
        <f t="shared" si="1"/>
        <v>0</v>
      </c>
      <c r="K15" s="769">
        <f t="shared" si="1"/>
        <v>0</v>
      </c>
      <c r="L15" s="769">
        <f t="shared" si="1"/>
        <v>0</v>
      </c>
      <c r="M15" s="769">
        <f t="shared" si="0"/>
        <v>0</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0</v>
      </c>
      <c r="E18" s="769">
        <f t="shared" si="2"/>
        <v>0</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0</v>
      </c>
      <c r="V18" s="723"/>
      <c r="X18" s="492"/>
    </row>
    <row r="19" spans="1:26" s="320" customFormat="1" ht="12.75" customHeight="1" thickTop="1" thickBot="1">
      <c r="A19" s="322"/>
      <c r="B19" s="320" t="s">
        <v>592</v>
      </c>
      <c r="D19" s="762">
        <f>Input!$BF$20</f>
        <v>0</v>
      </c>
      <c r="E19" s="762">
        <f>Input!$BG$20</f>
        <v>0</v>
      </c>
      <c r="F19" s="762">
        <f>Input!$BH$20</f>
        <v>0</v>
      </c>
      <c r="G19" s="762">
        <f>Input!$BI$20</f>
        <v>0</v>
      </c>
      <c r="H19" s="762">
        <f>Input!$BJ$20</f>
        <v>0</v>
      </c>
      <c r="I19" s="762">
        <f>Input!BK6</f>
        <v>0</v>
      </c>
      <c r="J19" s="762">
        <f>Input!$BL$20</f>
        <v>0</v>
      </c>
      <c r="K19" s="762">
        <f>Input!BM6</f>
        <v>0</v>
      </c>
      <c r="L19" s="762">
        <f>Input!BN6</f>
        <v>0</v>
      </c>
      <c r="M19" s="723">
        <f t="shared" si="3"/>
        <v>0</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Input!$BO$20</f>
        <v>0</v>
      </c>
      <c r="E20" s="762">
        <f>Input!$BP$20</f>
        <v>0</v>
      </c>
      <c r="F20" s="762">
        <f>Input!$BQ$20</f>
        <v>0</v>
      </c>
      <c r="G20" s="762">
        <f>Input!$BR$20</f>
        <v>0</v>
      </c>
      <c r="H20" s="762">
        <f>Input!$BS$20</f>
        <v>0</v>
      </c>
      <c r="I20" s="762">
        <f>Input!$BT$20</f>
        <v>0</v>
      </c>
      <c r="J20" s="762">
        <f>Input!BU6</f>
        <v>0</v>
      </c>
      <c r="K20" s="762">
        <f>Input!BV6</f>
        <v>0</v>
      </c>
      <c r="L20" s="762">
        <f>Input!$BW$20</f>
        <v>0</v>
      </c>
      <c r="M20" s="723">
        <f t="shared" si="3"/>
        <v>0</v>
      </c>
      <c r="O20" s="773" t="s">
        <v>631</v>
      </c>
      <c r="P20" s="774"/>
      <c r="Q20" s="774"/>
      <c r="R20" s="774"/>
      <c r="S20" s="775"/>
      <c r="U20" s="776" t="s">
        <v>252</v>
      </c>
      <c r="Y20" s="777"/>
    </row>
    <row r="21" spans="1:26" s="320" customFormat="1">
      <c r="A21" s="322"/>
      <c r="B21" s="320" t="s">
        <v>594</v>
      </c>
      <c r="D21" s="762">
        <f>Input!$BX$20</f>
        <v>0</v>
      </c>
      <c r="E21" s="762">
        <f>Input!$BY$20</f>
        <v>0</v>
      </c>
      <c r="F21" s="762">
        <f>Input!$BZ$20</f>
        <v>0</v>
      </c>
      <c r="G21" s="762">
        <f>Input!$CA$20</f>
        <v>0</v>
      </c>
      <c r="H21" s="762">
        <f>Input!$CB$20</f>
        <v>0</v>
      </c>
      <c r="I21" s="762">
        <f>Input!$CC$20</f>
        <v>0</v>
      </c>
      <c r="J21" s="762">
        <f>Input!$CD$20</f>
        <v>0</v>
      </c>
      <c r="K21" s="762">
        <f>Input!$CE$20</f>
        <v>0</v>
      </c>
      <c r="L21" s="762">
        <f>Input!$CF$20</f>
        <v>0</v>
      </c>
      <c r="M21" s="723">
        <f t="shared" si="3"/>
        <v>0</v>
      </c>
      <c r="O21" s="778"/>
      <c r="R21" s="492"/>
      <c r="S21" s="779"/>
      <c r="U21" s="780" t="s">
        <v>632</v>
      </c>
      <c r="X21" s="781">
        <f>M44</f>
        <v>0</v>
      </c>
      <c r="Y21" s="777"/>
      <c r="Z21" s="492"/>
    </row>
    <row r="22" spans="1:26" s="320" customFormat="1">
      <c r="A22" s="322"/>
      <c r="B22" s="320" t="s">
        <v>595</v>
      </c>
      <c r="D22" s="762">
        <f>Input!$CG$20</f>
        <v>0</v>
      </c>
      <c r="E22" s="762">
        <f>Input!$CH$20</f>
        <v>0</v>
      </c>
      <c r="F22" s="762">
        <f>Input!$CI$20</f>
        <v>0</v>
      </c>
      <c r="G22" s="762">
        <f>Input!$CJ$20</f>
        <v>0</v>
      </c>
      <c r="H22" s="762">
        <f>Input!$CK$20</f>
        <v>0</v>
      </c>
      <c r="I22" s="762">
        <f>Input!$CL$20</f>
        <v>0</v>
      </c>
      <c r="J22" s="762">
        <f>Input!$CM$20</f>
        <v>0</v>
      </c>
      <c r="K22" s="762">
        <f>Input!$CN$20</f>
        <v>0</v>
      </c>
      <c r="L22" s="762">
        <f>Input!$CO$20</f>
        <v>0</v>
      </c>
      <c r="M22" s="723">
        <f t="shared" si="3"/>
        <v>0</v>
      </c>
      <c r="N22" s="406"/>
      <c r="O22" s="778" t="s">
        <v>633</v>
      </c>
      <c r="Q22" s="492">
        <f>M23</f>
        <v>0</v>
      </c>
      <c r="S22" s="782"/>
      <c r="U22" s="780" t="s">
        <v>634</v>
      </c>
      <c r="X22" s="783">
        <f>R30*-1</f>
        <v>0</v>
      </c>
      <c r="Y22" s="777"/>
    </row>
    <row r="23" spans="1:26" s="320" customFormat="1" ht="12.75" customHeight="1">
      <c r="A23" s="322"/>
      <c r="B23" s="772" t="s">
        <v>233</v>
      </c>
      <c r="C23" s="784"/>
      <c r="D23" s="785">
        <f>Input!$CP$20</f>
        <v>0</v>
      </c>
      <c r="E23" s="785">
        <f>Input!$CQ$20</f>
        <v>0</v>
      </c>
      <c r="F23" s="785">
        <f>Input!$CR$20</f>
        <v>0</v>
      </c>
      <c r="G23" s="785">
        <f>Input!$CS$20</f>
        <v>0</v>
      </c>
      <c r="H23" s="785">
        <f>Input!$CT$20</f>
        <v>0</v>
      </c>
      <c r="I23" s="785">
        <f>Input!$CU$20</f>
        <v>0</v>
      </c>
      <c r="J23" s="785">
        <f>Input!$CV$20</f>
        <v>0</v>
      </c>
      <c r="K23" s="785">
        <f>Input!$CW$20</f>
        <v>0</v>
      </c>
      <c r="L23" s="785">
        <f>Input!$CX$20</f>
        <v>0</v>
      </c>
      <c r="M23" s="786">
        <f t="shared" si="3"/>
        <v>0</v>
      </c>
      <c r="O23" s="778"/>
      <c r="Q23" s="492"/>
      <c r="S23" s="782"/>
      <c r="U23" s="776" t="s">
        <v>635</v>
      </c>
      <c r="Y23" s="777">
        <f>SUM(X21:X22)</f>
        <v>0</v>
      </c>
      <c r="Z23" s="492"/>
    </row>
    <row r="24" spans="1:26" s="320" customFormat="1" ht="12.75" customHeight="1">
      <c r="A24" s="322"/>
      <c r="B24" s="320" t="s">
        <v>596</v>
      </c>
      <c r="C24" s="751"/>
      <c r="D24" s="762">
        <f>Input!$CY$20</f>
        <v>0</v>
      </c>
      <c r="E24" s="762">
        <f>Input!$CZ$20</f>
        <v>0</v>
      </c>
      <c r="F24" s="762">
        <f>Input!$DA$20</f>
        <v>0</v>
      </c>
      <c r="G24" s="762">
        <f>Input!$DB$20</f>
        <v>0</v>
      </c>
      <c r="H24" s="762">
        <f>Input!$DC$20</f>
        <v>0</v>
      </c>
      <c r="I24" s="762">
        <f>Input!$DD$20</f>
        <v>0</v>
      </c>
      <c r="J24" s="762">
        <f>Input!$DE$20</f>
        <v>0</v>
      </c>
      <c r="K24" s="762">
        <f>Input!$DF$20</f>
        <v>0</v>
      </c>
      <c r="L24" s="762">
        <f>Input!$DG$20</f>
        <v>0</v>
      </c>
      <c r="M24" s="650">
        <f t="shared" si="3"/>
        <v>0</v>
      </c>
      <c r="O24" s="787" t="s">
        <v>636</v>
      </c>
      <c r="Q24" s="723"/>
      <c r="R24" s="723">
        <f>SUM(M24:M28)</f>
        <v>0</v>
      </c>
      <c r="S24" s="782"/>
      <c r="U24" s="776"/>
      <c r="Y24" s="777"/>
      <c r="Z24" s="492"/>
    </row>
    <row r="25" spans="1:26" s="320" customFormat="1" ht="12.75" customHeight="1">
      <c r="A25" s="322"/>
      <c r="B25" s="320" t="s">
        <v>597</v>
      </c>
      <c r="C25" s="751"/>
      <c r="D25" s="762">
        <f>Input!$DH$20</f>
        <v>0</v>
      </c>
      <c r="E25" s="762">
        <f>Input!$DI$20</f>
        <v>0</v>
      </c>
      <c r="F25" s="762">
        <f>Input!$DJ$20</f>
        <v>0</v>
      </c>
      <c r="G25" s="762">
        <f>Input!$DK$20</f>
        <v>0</v>
      </c>
      <c r="H25" s="762">
        <f>Input!$DL$20</f>
        <v>0</v>
      </c>
      <c r="I25" s="762">
        <f>Input!$DM$20</f>
        <v>0</v>
      </c>
      <c r="J25" s="762">
        <f>Input!$DN$20</f>
        <v>0</v>
      </c>
      <c r="K25" s="762">
        <f>Input!$DO$20</f>
        <v>0</v>
      </c>
      <c r="L25" s="762">
        <f>Input!$DP$20</f>
        <v>0</v>
      </c>
      <c r="M25" s="650">
        <f t="shared" si="3"/>
        <v>0</v>
      </c>
      <c r="O25" s="778"/>
      <c r="Q25" s="723"/>
      <c r="R25" s="723"/>
      <c r="S25" s="782"/>
      <c r="U25" s="788" t="s">
        <v>637</v>
      </c>
      <c r="V25" s="789"/>
      <c r="W25" s="789"/>
      <c r="X25" s="790">
        <f>(M26+M39)*-1</f>
        <v>0</v>
      </c>
      <c r="Y25" s="777"/>
      <c r="Z25" s="492"/>
    </row>
    <row r="26" spans="1:26" s="320" customFormat="1" ht="12.75" customHeight="1">
      <c r="A26" s="322"/>
      <c r="B26" s="320" t="s">
        <v>598</v>
      </c>
      <c r="C26" s="751"/>
      <c r="D26" s="762">
        <f>Input!$DQ$20</f>
        <v>0</v>
      </c>
      <c r="E26" s="762">
        <f>Input!$DR$20</f>
        <v>0</v>
      </c>
      <c r="F26" s="762">
        <f>Input!$DS$20</f>
        <v>0</v>
      </c>
      <c r="G26" s="762">
        <f>Input!$DT$20</f>
        <v>0</v>
      </c>
      <c r="H26" s="762">
        <f>Input!$DU$20</f>
        <v>0</v>
      </c>
      <c r="I26" s="762">
        <f>Input!$DV$20</f>
        <v>0</v>
      </c>
      <c r="J26" s="762">
        <f>Input!$DW$20</f>
        <v>0</v>
      </c>
      <c r="K26" s="762">
        <f>Input!$DX$20</f>
        <v>0</v>
      </c>
      <c r="L26" s="762">
        <f>Input!$DY$20</f>
        <v>0</v>
      </c>
      <c r="M26" s="650">
        <f t="shared" si="3"/>
        <v>0</v>
      </c>
      <c r="O26" s="778" t="s">
        <v>638</v>
      </c>
      <c r="Q26" s="723">
        <f>M36</f>
        <v>0</v>
      </c>
      <c r="R26" s="791"/>
      <c r="S26" s="792"/>
      <c r="U26" s="776" t="s">
        <v>639</v>
      </c>
      <c r="X26" s="793">
        <f>(M21+M34)*-1</f>
        <v>0</v>
      </c>
      <c r="Y26" s="777"/>
      <c r="Z26" s="492"/>
    </row>
    <row r="27" spans="1:26" s="320" customFormat="1">
      <c r="A27" s="322"/>
      <c r="B27" s="320" t="s">
        <v>599</v>
      </c>
      <c r="C27" s="751"/>
      <c r="D27" s="762">
        <f>Input!$DZ$20</f>
        <v>0</v>
      </c>
      <c r="E27" s="762">
        <f>Input!$EA$20</f>
        <v>0</v>
      </c>
      <c r="F27" s="762">
        <f>Input!$EB$20</f>
        <v>0</v>
      </c>
      <c r="G27" s="762">
        <f>Input!$EC$20</f>
        <v>0</v>
      </c>
      <c r="H27" s="762">
        <f>Input!$ED$20</f>
        <v>0</v>
      </c>
      <c r="I27" s="762">
        <f>Input!$EE$20</f>
        <v>0</v>
      </c>
      <c r="J27" s="762">
        <f>Input!$EF$20</f>
        <v>0</v>
      </c>
      <c r="K27" s="762">
        <f>Input!$EG$20</f>
        <v>0</v>
      </c>
      <c r="L27" s="762">
        <f>Input!$EH$20</f>
        <v>0</v>
      </c>
      <c r="M27" s="650">
        <f t="shared" si="3"/>
        <v>0</v>
      </c>
      <c r="O27" s="778"/>
      <c r="Q27" s="723"/>
      <c r="R27" s="791"/>
      <c r="S27" s="792"/>
      <c r="U27" s="780" t="s">
        <v>640</v>
      </c>
      <c r="V27" s="314"/>
      <c r="W27" s="314"/>
      <c r="X27" s="794">
        <f>SUM(X25:X26)</f>
        <v>0</v>
      </c>
      <c r="Y27" s="721"/>
    </row>
    <row r="28" spans="1:26" s="320" customFormat="1">
      <c r="A28" s="322"/>
      <c r="B28" s="320" t="s">
        <v>600</v>
      </c>
      <c r="C28" s="751"/>
      <c r="D28" s="762">
        <f>Input!$EI$20</f>
        <v>0</v>
      </c>
      <c r="E28" s="762">
        <f>Input!$EJ$20</f>
        <v>0</v>
      </c>
      <c r="F28" s="762">
        <f>Input!$EK$20</f>
        <v>0</v>
      </c>
      <c r="G28" s="762">
        <f>Input!$EL$20</f>
        <v>0</v>
      </c>
      <c r="H28" s="762">
        <f>Input!$EM$20</f>
        <v>0</v>
      </c>
      <c r="I28" s="762">
        <f>Input!$EN$20</f>
        <v>0</v>
      </c>
      <c r="J28" s="762">
        <f>Input!$EO$20</f>
        <v>0</v>
      </c>
      <c r="K28" s="762">
        <f>Input!$EP$20</f>
        <v>0</v>
      </c>
      <c r="L28" s="762">
        <f>Input!$EQ$20</f>
        <v>0</v>
      </c>
      <c r="M28" s="650">
        <f t="shared" si="3"/>
        <v>0</v>
      </c>
      <c r="O28" s="787" t="s">
        <v>641</v>
      </c>
      <c r="Q28" s="723"/>
      <c r="R28" s="723">
        <f>SUM(M37:M41)</f>
        <v>0</v>
      </c>
      <c r="S28" s="782"/>
      <c r="U28" s="776" t="s">
        <v>642</v>
      </c>
      <c r="X28" s="777">
        <f>(M27+M40)*-1</f>
        <v>0</v>
      </c>
      <c r="Y28" s="721"/>
      <c r="Z28" s="492"/>
    </row>
    <row r="29" spans="1:26" s="320" customFormat="1" ht="12" customHeight="1">
      <c r="A29" s="322"/>
      <c r="B29" s="795" t="s">
        <v>165</v>
      </c>
      <c r="C29" s="784"/>
      <c r="D29" s="769">
        <f t="shared" ref="D29:L29" si="4">SUM(D23:D28)</f>
        <v>0</v>
      </c>
      <c r="E29" s="769">
        <f t="shared" si="4"/>
        <v>0</v>
      </c>
      <c r="F29" s="769">
        <f t="shared" si="4"/>
        <v>0</v>
      </c>
      <c r="G29" s="769">
        <f t="shared" si="4"/>
        <v>0</v>
      </c>
      <c r="H29" s="769">
        <f t="shared" si="4"/>
        <v>0</v>
      </c>
      <c r="I29" s="769">
        <f t="shared" si="4"/>
        <v>0</v>
      </c>
      <c r="J29" s="769">
        <f t="shared" si="4"/>
        <v>0</v>
      </c>
      <c r="K29" s="769">
        <f t="shared" si="4"/>
        <v>0</v>
      </c>
      <c r="L29" s="769">
        <f t="shared" si="4"/>
        <v>0</v>
      </c>
      <c r="M29" s="769">
        <f t="shared" si="3"/>
        <v>0</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0</v>
      </c>
      <c r="R30" s="798">
        <f>R28+R24</f>
        <v>0</v>
      </c>
      <c r="S30" s="799"/>
      <c r="U30" s="780" t="s">
        <v>645</v>
      </c>
      <c r="V30" s="314"/>
      <c r="W30" s="314"/>
      <c r="X30" s="794">
        <f>SUM(X28:X29)</f>
        <v>0</v>
      </c>
      <c r="Y30" s="721"/>
    </row>
    <row r="31" spans="1:26" s="320" customFormat="1" ht="12.75" customHeight="1">
      <c r="A31" s="322"/>
      <c r="B31" s="772" t="s">
        <v>238</v>
      </c>
      <c r="C31" s="772"/>
      <c r="D31" s="769">
        <f t="shared" ref="D31:L31" si="5">D36-SUM(D32:D35)</f>
        <v>0</v>
      </c>
      <c r="E31" s="769">
        <f t="shared" si="5"/>
        <v>0</v>
      </c>
      <c r="F31" s="769">
        <f t="shared" si="5"/>
        <v>0</v>
      </c>
      <c r="G31" s="769">
        <f t="shared" si="5"/>
        <v>0</v>
      </c>
      <c r="H31" s="769">
        <f t="shared" si="5"/>
        <v>0</v>
      </c>
      <c r="I31" s="769">
        <f t="shared" si="5"/>
        <v>0</v>
      </c>
      <c r="J31" s="769">
        <f t="shared" si="5"/>
        <v>0</v>
      </c>
      <c r="K31" s="769">
        <f t="shared" si="5"/>
        <v>0</v>
      </c>
      <c r="L31" s="769">
        <f t="shared" si="5"/>
        <v>0</v>
      </c>
      <c r="M31" s="769">
        <f t="shared" ref="M31:M42" si="6">D31+E31+F31+G31+H31+I31+J31+K31+L31</f>
        <v>0</v>
      </c>
      <c r="O31" s="778" t="s">
        <v>646</v>
      </c>
      <c r="Q31" s="406"/>
      <c r="S31" s="782"/>
      <c r="U31" s="800" t="s">
        <v>647</v>
      </c>
      <c r="V31" s="801"/>
      <c r="W31" s="801"/>
      <c r="X31" s="802">
        <f>X27+X30</f>
        <v>0</v>
      </c>
      <c r="Y31" s="777"/>
      <c r="Z31" s="492"/>
    </row>
    <row r="32" spans="1:26" s="320" customFormat="1" ht="12.75" customHeight="1">
      <c r="A32" s="322"/>
      <c r="B32" s="320" t="s">
        <v>592</v>
      </c>
      <c r="D32" s="762">
        <f>Input!$ER$20</f>
        <v>0</v>
      </c>
      <c r="E32" s="762">
        <f>Input!$ES$20</f>
        <v>0</v>
      </c>
      <c r="F32" s="762">
        <f>Input!$ET$20</f>
        <v>0</v>
      </c>
      <c r="G32" s="762">
        <f>Input!$EU$20</f>
        <v>0</v>
      </c>
      <c r="H32" s="762">
        <f>Input!$EV$20</f>
        <v>0</v>
      </c>
      <c r="I32" s="762">
        <f>Input!$EW$20</f>
        <v>0</v>
      </c>
      <c r="J32" s="762">
        <f>Input!$EX$20</f>
        <v>0</v>
      </c>
      <c r="K32" s="762">
        <f>Input!$EY$20</f>
        <v>0</v>
      </c>
      <c r="L32" s="762">
        <f>Input!$EZ$20</f>
        <v>0</v>
      </c>
      <c r="M32" s="650">
        <f t="shared" si="6"/>
        <v>0</v>
      </c>
      <c r="O32" s="803" t="s">
        <v>648</v>
      </c>
      <c r="P32" s="804"/>
      <c r="Q32" s="805">
        <f>Input!$TI$20</f>
        <v>0</v>
      </c>
      <c r="R32" s="804"/>
      <c r="S32" s="806"/>
      <c r="U32" s="776"/>
      <c r="Y32" s="777"/>
      <c r="Z32" s="492"/>
    </row>
    <row r="33" spans="1:28" s="320" customFormat="1">
      <c r="A33" s="322"/>
      <c r="B33" s="320" t="s">
        <v>593</v>
      </c>
      <c r="D33" s="762">
        <f>Input!$FA$20</f>
        <v>0</v>
      </c>
      <c r="E33" s="762">
        <f>Input!$FB$20</f>
        <v>0</v>
      </c>
      <c r="F33" s="762">
        <f>Input!$FC$20</f>
        <v>0</v>
      </c>
      <c r="G33" s="762">
        <f>Input!$FD$20</f>
        <v>0</v>
      </c>
      <c r="H33" s="762">
        <f>Input!$FE$20</f>
        <v>0</v>
      </c>
      <c r="I33" s="762">
        <f>Input!$FF$20</f>
        <v>0</v>
      </c>
      <c r="J33" s="762">
        <f>Input!$FG$20</f>
        <v>0</v>
      </c>
      <c r="K33" s="762">
        <f>Input!$FH$20</f>
        <v>0</v>
      </c>
      <c r="L33" s="762">
        <f>Input!$FI$20</f>
        <v>0</v>
      </c>
      <c r="M33" s="650">
        <f t="shared" si="6"/>
        <v>0</v>
      </c>
      <c r="O33" s="803"/>
      <c r="P33" s="804"/>
      <c r="Q33" s="723"/>
      <c r="R33" s="804"/>
      <c r="S33" s="806"/>
      <c r="U33" s="776" t="s">
        <v>649</v>
      </c>
      <c r="X33" s="492">
        <f>(M19+M32)*-1</f>
        <v>0</v>
      </c>
      <c r="Y33" s="777"/>
    </row>
    <row r="34" spans="1:28" s="320" customFormat="1">
      <c r="A34" s="322"/>
      <c r="B34" s="320" t="s">
        <v>594</v>
      </c>
      <c r="D34" s="762">
        <f>Input!$FJ$20</f>
        <v>0</v>
      </c>
      <c r="E34" s="762">
        <f>Input!$FK$20</f>
        <v>0</v>
      </c>
      <c r="F34" s="762">
        <f>Input!$FL$20</f>
        <v>0</v>
      </c>
      <c r="G34" s="762">
        <f>Input!$FM$20</f>
        <v>0</v>
      </c>
      <c r="H34" s="762">
        <f>Input!$FN$20</f>
        <v>0</v>
      </c>
      <c r="I34" s="762">
        <f>Input!$FO$20</f>
        <v>0</v>
      </c>
      <c r="J34" s="762">
        <f>Input!$FP$20</f>
        <v>0</v>
      </c>
      <c r="K34" s="762">
        <f>Input!$FQ$20</f>
        <v>0</v>
      </c>
      <c r="L34" s="762">
        <f>Input!$FR$20</f>
        <v>0</v>
      </c>
      <c r="M34" s="650">
        <f t="shared" si="6"/>
        <v>0</v>
      </c>
      <c r="O34" s="807" t="s">
        <v>650</v>
      </c>
      <c r="P34" s="808"/>
      <c r="Q34" s="320" t="s">
        <v>651</v>
      </c>
      <c r="R34" s="805">
        <f>Input!$TJ$20</f>
        <v>0</v>
      </c>
      <c r="S34" s="809"/>
      <c r="U34" s="776" t="s">
        <v>652</v>
      </c>
      <c r="X34" s="739">
        <f>(M24+M37)*-1</f>
        <v>0</v>
      </c>
      <c r="Y34" s="777"/>
    </row>
    <row r="35" spans="1:28" s="320" customFormat="1" ht="13.8" thickBot="1">
      <c r="A35" s="322"/>
      <c r="B35" s="320" t="s">
        <v>595</v>
      </c>
      <c r="D35" s="762">
        <f>Input!$FS$20</f>
        <v>0</v>
      </c>
      <c r="E35" s="762">
        <f>Input!$FT$20</f>
        <v>0</v>
      </c>
      <c r="F35" s="762">
        <f>Input!$FU$20</f>
        <v>0</v>
      </c>
      <c r="G35" s="762">
        <f>Input!$FV$20</f>
        <v>0</v>
      </c>
      <c r="H35" s="762">
        <f>Input!$FW$20</f>
        <v>0</v>
      </c>
      <c r="I35" s="762">
        <f>Input!$FX$20</f>
        <v>0</v>
      </c>
      <c r="J35" s="762">
        <f>Input!$FY$20</f>
        <v>0</v>
      </c>
      <c r="K35" s="762">
        <f>Input!$FZ$20</f>
        <v>0</v>
      </c>
      <c r="L35" s="762">
        <f>Input!$GA$20</f>
        <v>0</v>
      </c>
      <c r="M35" s="650">
        <f t="shared" si="6"/>
        <v>0</v>
      </c>
      <c r="O35" s="810" t="s">
        <v>653</v>
      </c>
      <c r="P35" s="811"/>
      <c r="Q35" s="812">
        <f>Q30-Q32</f>
        <v>0</v>
      </c>
      <c r="R35" s="813">
        <f>R30-R34</f>
        <v>0</v>
      </c>
      <c r="S35" s="814"/>
      <c r="U35" s="780" t="s">
        <v>654</v>
      </c>
      <c r="V35" s="314"/>
      <c r="W35" s="314"/>
      <c r="X35" s="781">
        <f>SUM(X33:X34)</f>
        <v>0</v>
      </c>
      <c r="Y35" s="721"/>
    </row>
    <row r="36" spans="1:28" s="320" customFormat="1" ht="13.8" thickTop="1">
      <c r="A36" s="322"/>
      <c r="B36" s="772" t="s">
        <v>239</v>
      </c>
      <c r="C36" s="784"/>
      <c r="D36" s="785">
        <f>Input!$GB$20</f>
        <v>0</v>
      </c>
      <c r="E36" s="785">
        <f>Input!$GC$20</f>
        <v>0</v>
      </c>
      <c r="F36" s="785">
        <f>Input!$GD$20</f>
        <v>0</v>
      </c>
      <c r="G36" s="785">
        <f>Input!$GE$20</f>
        <v>0</v>
      </c>
      <c r="H36" s="785">
        <f>Input!$GF$20</f>
        <v>0</v>
      </c>
      <c r="I36" s="785">
        <f>Input!$GG$20</f>
        <v>0</v>
      </c>
      <c r="J36" s="785">
        <f>Input!$GH$20</f>
        <v>0</v>
      </c>
      <c r="K36" s="785">
        <f>Input!$GI$20</f>
        <v>0</v>
      </c>
      <c r="L36" s="785">
        <f>Input!$GJ$20</f>
        <v>0</v>
      </c>
      <c r="M36" s="786">
        <f t="shared" si="6"/>
        <v>0</v>
      </c>
      <c r="Q36" s="344" t="str">
        <f>IF(Q30&lt;&gt;Q32,"Out of Balance","Balanced")</f>
        <v>Balanced</v>
      </c>
      <c r="R36" s="344" t="str">
        <f>IF(R30&lt;&gt;R34,"Out of Balance","Balanced")</f>
        <v>Balanced</v>
      </c>
      <c r="U36" s="776" t="s">
        <v>655</v>
      </c>
      <c r="X36" s="492">
        <f>(M20+M33)*-1</f>
        <v>0</v>
      </c>
      <c r="Y36" s="777"/>
    </row>
    <row r="37" spans="1:28" s="320" customFormat="1">
      <c r="A37" s="322"/>
      <c r="B37" s="320" t="s">
        <v>596</v>
      </c>
      <c r="C37" s="751"/>
      <c r="D37" s="762">
        <f>Input!$GK$20</f>
        <v>0</v>
      </c>
      <c r="E37" s="762">
        <f>Input!$GL$20</f>
        <v>0</v>
      </c>
      <c r="F37" s="762">
        <f>Input!$GM$20</f>
        <v>0</v>
      </c>
      <c r="G37" s="762">
        <f>Input!$GN$20</f>
        <v>0</v>
      </c>
      <c r="H37" s="762">
        <f>Input!$GO$20</f>
        <v>0</v>
      </c>
      <c r="I37" s="762">
        <f>Input!$GP$20</f>
        <v>0</v>
      </c>
      <c r="J37" s="762">
        <f>Input!$GQ$20</f>
        <v>0</v>
      </c>
      <c r="K37" s="762">
        <f>Input!$GR$20</f>
        <v>0</v>
      </c>
      <c r="L37" s="762">
        <f>Input!$GS$20</f>
        <v>0</v>
      </c>
      <c r="M37" s="650">
        <f t="shared" si="6"/>
        <v>0</v>
      </c>
      <c r="U37" s="776" t="s">
        <v>656</v>
      </c>
      <c r="X37" s="739">
        <f>(M25+M38)*-1</f>
        <v>0</v>
      </c>
      <c r="Y37" s="721"/>
    </row>
    <row r="38" spans="1:28" s="320" customFormat="1">
      <c r="A38" s="322"/>
      <c r="B38" s="320" t="s">
        <v>597</v>
      </c>
      <c r="C38" s="751"/>
      <c r="D38" s="762">
        <f>Input!$GT$20</f>
        <v>0</v>
      </c>
      <c r="E38" s="762">
        <f>Input!$GU$20</f>
        <v>0</v>
      </c>
      <c r="F38" s="762">
        <f>Input!$GV$20</f>
        <v>0</v>
      </c>
      <c r="G38" s="762">
        <f>Input!$GW$20</f>
        <v>0</v>
      </c>
      <c r="H38" s="762">
        <f>Input!$GX$20</f>
        <v>0</v>
      </c>
      <c r="I38" s="762">
        <f>Input!$GY$20</f>
        <v>0</v>
      </c>
      <c r="J38" s="762">
        <f>Input!$GZ$20</f>
        <v>0</v>
      </c>
      <c r="K38" s="762">
        <f>Input!$HA$20</f>
        <v>0</v>
      </c>
      <c r="L38" s="762">
        <f>Input!$HB$20</f>
        <v>0</v>
      </c>
      <c r="M38" s="650">
        <f t="shared" si="6"/>
        <v>0</v>
      </c>
      <c r="U38" s="780" t="s">
        <v>657</v>
      </c>
      <c r="V38" s="314"/>
      <c r="W38" s="314"/>
      <c r="X38" s="781">
        <f>SUM(X36:X37)</f>
        <v>0</v>
      </c>
      <c r="Y38" s="777"/>
    </row>
    <row r="39" spans="1:28" s="320" customFormat="1">
      <c r="A39" s="322"/>
      <c r="B39" s="320" t="s">
        <v>598</v>
      </c>
      <c r="C39" s="751"/>
      <c r="D39" s="762">
        <f>Input!$HC$20</f>
        <v>0</v>
      </c>
      <c r="E39" s="762">
        <f>Input!$HD$20</f>
        <v>0</v>
      </c>
      <c r="F39" s="762">
        <f>Input!$HE$20</f>
        <v>0</v>
      </c>
      <c r="G39" s="762">
        <f>Input!$HF$20</f>
        <v>0</v>
      </c>
      <c r="H39" s="762">
        <f>Input!$HG$20</f>
        <v>0</v>
      </c>
      <c r="I39" s="762">
        <f>Input!$HH$20</f>
        <v>0</v>
      </c>
      <c r="J39" s="762">
        <f>Input!$HI$20</f>
        <v>0</v>
      </c>
      <c r="K39" s="762">
        <f>Input!$HJ$20</f>
        <v>0</v>
      </c>
      <c r="L39" s="762">
        <f>Input!$HK$20</f>
        <v>0</v>
      </c>
      <c r="M39" s="650">
        <f t="shared" si="6"/>
        <v>0</v>
      </c>
      <c r="U39" s="776" t="s">
        <v>658</v>
      </c>
      <c r="X39" s="492"/>
      <c r="Y39" s="777">
        <f>X38+X35</f>
        <v>0</v>
      </c>
    </row>
    <row r="40" spans="1:28" s="320" customFormat="1">
      <c r="A40" s="322"/>
      <c r="B40" s="320" t="s">
        <v>599</v>
      </c>
      <c r="C40" s="751"/>
      <c r="D40" s="762">
        <f>Input!$HL$20</f>
        <v>0</v>
      </c>
      <c r="E40" s="762">
        <f>Input!$HM$20</f>
        <v>0</v>
      </c>
      <c r="F40" s="762">
        <f>Input!$HN$20</f>
        <v>0</v>
      </c>
      <c r="G40" s="762">
        <f>Input!$HO$20</f>
        <v>0</v>
      </c>
      <c r="H40" s="762">
        <f>Input!$HP$20</f>
        <v>0</v>
      </c>
      <c r="I40" s="762">
        <f>Input!$HQ$20</f>
        <v>0</v>
      </c>
      <c r="J40" s="762">
        <f>Input!$HR$20</f>
        <v>0</v>
      </c>
      <c r="K40" s="762">
        <f>Input!$HS$20</f>
        <v>0</v>
      </c>
      <c r="L40" s="762">
        <f>Input!$HT$20</f>
        <v>0</v>
      </c>
      <c r="M40" s="650">
        <f t="shared" si="6"/>
        <v>0</v>
      </c>
      <c r="U40" s="776"/>
      <c r="Y40" s="721"/>
    </row>
    <row r="41" spans="1:28" s="320" customFormat="1">
      <c r="A41" s="322"/>
      <c r="B41" s="320" t="s">
        <v>600</v>
      </c>
      <c r="C41" s="751"/>
      <c r="D41" s="762">
        <f>Input!$HU$20</f>
        <v>0</v>
      </c>
      <c r="E41" s="762">
        <f>Input!$HV$20</f>
        <v>0</v>
      </c>
      <c r="F41" s="762">
        <f>Input!$HW$20</f>
        <v>0</v>
      </c>
      <c r="G41" s="762">
        <f>Input!$HX$20</f>
        <v>0</v>
      </c>
      <c r="H41" s="762">
        <f>Input!$HY$20</f>
        <v>0</v>
      </c>
      <c r="I41" s="762">
        <f>Input!$HZ$20</f>
        <v>0</v>
      </c>
      <c r="J41" s="762">
        <f>Input!$IA$20</f>
        <v>0</v>
      </c>
      <c r="K41" s="762">
        <f>Input!$IB$20</f>
        <v>0</v>
      </c>
      <c r="L41" s="762">
        <f>Input!$IC$20</f>
        <v>0</v>
      </c>
      <c r="M41" s="650">
        <f t="shared" si="6"/>
        <v>0</v>
      </c>
      <c r="U41" s="776" t="s">
        <v>639</v>
      </c>
      <c r="X41" s="492">
        <f>(M21+M34)*-1</f>
        <v>0</v>
      </c>
      <c r="Y41" s="777"/>
    </row>
    <row r="42" spans="1:28" s="320" customFormat="1">
      <c r="A42" s="322"/>
      <c r="B42" s="795" t="s">
        <v>166</v>
      </c>
      <c r="C42" s="784"/>
      <c r="D42" s="769">
        <f t="shared" ref="D42:L42" si="7">SUM(D36:D41)</f>
        <v>0</v>
      </c>
      <c r="E42" s="769">
        <f t="shared" si="7"/>
        <v>0</v>
      </c>
      <c r="F42" s="769">
        <f t="shared" si="7"/>
        <v>0</v>
      </c>
      <c r="G42" s="769">
        <f t="shared" si="7"/>
        <v>0</v>
      </c>
      <c r="H42" s="769">
        <f t="shared" si="7"/>
        <v>0</v>
      </c>
      <c r="I42" s="769">
        <f t="shared" si="7"/>
        <v>0</v>
      </c>
      <c r="J42" s="769">
        <f t="shared" si="7"/>
        <v>0</v>
      </c>
      <c r="K42" s="769">
        <f t="shared" si="7"/>
        <v>0</v>
      </c>
      <c r="L42" s="769">
        <f t="shared" si="7"/>
        <v>0</v>
      </c>
      <c r="M42" s="769">
        <f t="shared" si="6"/>
        <v>0</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0</v>
      </c>
      <c r="E44" s="769">
        <f t="shared" si="8"/>
        <v>0</v>
      </c>
      <c r="F44" s="769">
        <f t="shared" si="8"/>
        <v>0</v>
      </c>
      <c r="G44" s="769">
        <f t="shared" si="8"/>
        <v>0</v>
      </c>
      <c r="H44" s="769">
        <f t="shared" si="8"/>
        <v>0</v>
      </c>
      <c r="I44" s="769">
        <f t="shared" si="8"/>
        <v>0</v>
      </c>
      <c r="J44" s="769">
        <f t="shared" si="8"/>
        <v>0</v>
      </c>
      <c r="K44" s="769">
        <f t="shared" si="8"/>
        <v>0</v>
      </c>
      <c r="L44" s="769">
        <f t="shared" si="8"/>
        <v>0</v>
      </c>
      <c r="M44" s="769">
        <f>D44+E44+F44+G44+H44+I44+J44+K44+L44</f>
        <v>0</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Input!$ID$20</f>
        <v>0</v>
      </c>
      <c r="E47" s="815">
        <f>Input!$IE$20</f>
        <v>0</v>
      </c>
      <c r="F47" s="815">
        <f>Input!$IF$20</f>
        <v>0</v>
      </c>
      <c r="G47" s="815">
        <f>Input!$IG$20</f>
        <v>0</v>
      </c>
      <c r="H47" s="815">
        <f>Input!$IH$20</f>
        <v>0</v>
      </c>
      <c r="I47" s="815">
        <f>Input!$II$20</f>
        <v>0</v>
      </c>
      <c r="J47" s="815">
        <f>Input!$IJ$20</f>
        <v>0</v>
      </c>
      <c r="K47" s="815">
        <f>Input!$IK$20</f>
        <v>0</v>
      </c>
      <c r="L47" s="815">
        <f>Input!$IL$20</f>
        <v>0</v>
      </c>
      <c r="M47" s="769">
        <f>D47+E47+F47+G47+H47+I47+J47+K47+L47</f>
        <v>0</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0</v>
      </c>
      <c r="Z49" s="320"/>
      <c r="AA49" s="320"/>
      <c r="AB49" s="320"/>
    </row>
    <row r="50" spans="1:28" s="752" customFormat="1">
      <c r="A50" s="460">
        <v>33</v>
      </c>
      <c r="B50" s="768" t="s">
        <v>200</v>
      </c>
      <c r="C50" s="768"/>
      <c r="D50" s="815">
        <f>Input!$IM$20</f>
        <v>0</v>
      </c>
      <c r="E50" s="815">
        <f>Input!$IN$20</f>
        <v>0</v>
      </c>
      <c r="F50" s="815">
        <f>Input!$IO$20</f>
        <v>0</v>
      </c>
      <c r="G50" s="815">
        <f>Input!$IP$20</f>
        <v>0</v>
      </c>
      <c r="H50" s="815">
        <f>Input!$IQ$20</f>
        <v>0</v>
      </c>
      <c r="I50" s="815">
        <f>Input!$IR$20</f>
        <v>0</v>
      </c>
      <c r="J50" s="815">
        <f>Input!$IS$20</f>
        <v>0</v>
      </c>
      <c r="K50" s="815">
        <f>Input!$IT$20</f>
        <v>0</v>
      </c>
      <c r="L50" s="815">
        <f>Input!$IU$20</f>
        <v>0</v>
      </c>
      <c r="M50" s="769">
        <f>D50+E50+F50+G50+H50+I50+J50+K50+L50</f>
        <v>0</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Input!$IV$20</f>
        <v>0</v>
      </c>
      <c r="E53" s="815">
        <f>Input!$IW$20</f>
        <v>0</v>
      </c>
      <c r="F53" s="815">
        <f>Input!$IX$20</f>
        <v>0</v>
      </c>
      <c r="G53" s="815">
        <f>Input!$IY$20</f>
        <v>0</v>
      </c>
      <c r="H53" s="815">
        <f>Input!$IZ$20</f>
        <v>0</v>
      </c>
      <c r="I53" s="815">
        <f>Input!$JA$20</f>
        <v>0</v>
      </c>
      <c r="J53" s="815">
        <f>Input!$JB$20</f>
        <v>0</v>
      </c>
      <c r="K53" s="815">
        <f>Input!$JC$20</f>
        <v>0</v>
      </c>
      <c r="L53" s="815">
        <f>Input!$JD$20</f>
        <v>0</v>
      </c>
      <c r="M53" s="769">
        <f>D53+E53+F53+G53+H53+I53+J53+K53+L53</f>
        <v>0</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Input!$JE$20</f>
        <v>0</v>
      </c>
      <c r="E56" s="762">
        <f>Input!$JF$20</f>
        <v>0</v>
      </c>
      <c r="F56" s="762">
        <f>Input!$JG$20</f>
        <v>0</v>
      </c>
      <c r="G56" s="762">
        <f>Input!$JH$20</f>
        <v>0</v>
      </c>
      <c r="H56" s="762">
        <f>Input!$JI$20</f>
        <v>0</v>
      </c>
      <c r="I56" s="762">
        <f>Input!$JJ$20</f>
        <v>0</v>
      </c>
      <c r="J56" s="762">
        <f>Input!$JK$20</f>
        <v>0</v>
      </c>
      <c r="K56" s="762">
        <f>Input!$JL$20</f>
        <v>0</v>
      </c>
      <c r="L56" s="762">
        <f>Input!$JM$20</f>
        <v>0</v>
      </c>
      <c r="M56" s="723">
        <f t="shared" ref="M56:M62" si="9">D56+E56+F56+G56+H56+I56+J56+K56+L56</f>
        <v>0</v>
      </c>
      <c r="O56" s="320"/>
      <c r="P56" s="320"/>
      <c r="Q56" s="320"/>
      <c r="R56" s="320"/>
      <c r="S56" s="320"/>
      <c r="T56" s="320"/>
      <c r="U56" s="320"/>
      <c r="V56" s="320"/>
      <c r="W56" s="320"/>
      <c r="X56" s="322"/>
      <c r="Y56" s="320"/>
      <c r="Z56" s="320"/>
      <c r="AA56" s="320"/>
      <c r="AB56" s="320"/>
    </row>
    <row r="57" spans="1:28" s="752" customFormat="1">
      <c r="A57" s="460">
        <v>40</v>
      </c>
      <c r="B57" s="752" t="s">
        <v>173</v>
      </c>
      <c r="D57" s="762">
        <f>Input!$JN$20</f>
        <v>0</v>
      </c>
      <c r="E57" s="762">
        <f>Input!$JO$20</f>
        <v>0</v>
      </c>
      <c r="F57" s="762">
        <f>Input!$JP$20</f>
        <v>0</v>
      </c>
      <c r="G57" s="762">
        <f>Input!$JQ$20</f>
        <v>0</v>
      </c>
      <c r="H57" s="762">
        <f>Input!$JR$20</f>
        <v>0</v>
      </c>
      <c r="I57" s="762">
        <f>Input!$JS$20</f>
        <v>0</v>
      </c>
      <c r="J57" s="762">
        <f>Input!$JT$20</f>
        <v>0</v>
      </c>
      <c r="K57" s="762">
        <f>Input!$JU$20</f>
        <v>0</v>
      </c>
      <c r="L57" s="762">
        <f>Input!$JV$20</f>
        <v>0</v>
      </c>
      <c r="M57" s="723">
        <f t="shared" si="9"/>
        <v>0</v>
      </c>
      <c r="O57" s="320"/>
      <c r="P57" s="819"/>
      <c r="Q57" s="320"/>
      <c r="R57" s="320"/>
      <c r="S57" s="320"/>
      <c r="T57" s="320"/>
      <c r="U57" s="320"/>
      <c r="V57" s="320"/>
      <c r="W57" s="320"/>
      <c r="X57" s="320"/>
      <c r="Y57" s="320"/>
      <c r="Z57" s="320"/>
      <c r="AA57" s="320"/>
      <c r="AB57" s="320"/>
    </row>
    <row r="58" spans="1:28" s="752" customFormat="1">
      <c r="A58" s="460">
        <v>41</v>
      </c>
      <c r="B58" s="752" t="s">
        <v>174</v>
      </c>
      <c r="D58" s="762">
        <f>Input!$JW$20</f>
        <v>0</v>
      </c>
      <c r="E58" s="762">
        <f>Input!$JX$20</f>
        <v>0</v>
      </c>
      <c r="F58" s="762">
        <f>Input!$JY$20</f>
        <v>0</v>
      </c>
      <c r="G58" s="762">
        <f>Input!$JZ$20</f>
        <v>0</v>
      </c>
      <c r="H58" s="762">
        <f>Input!$KA$20</f>
        <v>0</v>
      </c>
      <c r="I58" s="762">
        <f>Input!$KB$20</f>
        <v>0</v>
      </c>
      <c r="J58" s="762">
        <f>Input!$KC$20</f>
        <v>0</v>
      </c>
      <c r="K58" s="762">
        <f>Input!$KD$20</f>
        <v>0</v>
      </c>
      <c r="L58" s="762">
        <f>Input!$KE$20</f>
        <v>0</v>
      </c>
      <c r="M58" s="723">
        <f t="shared" si="9"/>
        <v>0</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Input!$KF$20</f>
        <v>0</v>
      </c>
      <c r="E59" s="762">
        <f>Input!$KG$20</f>
        <v>0</v>
      </c>
      <c r="F59" s="762">
        <f>Input!$KH$20</f>
        <v>0</v>
      </c>
      <c r="G59" s="762">
        <f>Input!$KI$20</f>
        <v>0</v>
      </c>
      <c r="H59" s="762">
        <f>Input!$KJ$20</f>
        <v>0</v>
      </c>
      <c r="I59" s="762">
        <f>Input!$KK$20</f>
        <v>0</v>
      </c>
      <c r="J59" s="762">
        <f>Input!$KL$20</f>
        <v>0</v>
      </c>
      <c r="K59" s="762">
        <f>Input!$KM$20</f>
        <v>0</v>
      </c>
      <c r="L59" s="762">
        <f>Input!$KN$20</f>
        <v>0</v>
      </c>
      <c r="M59" s="723">
        <f t="shared" si="9"/>
        <v>0</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Input!$KO$20</f>
        <v>0</v>
      </c>
      <c r="E60" s="762">
        <f>Input!$KP$20</f>
        <v>0</v>
      </c>
      <c r="F60" s="762">
        <f>Input!$KQ$20</f>
        <v>0</v>
      </c>
      <c r="G60" s="762">
        <f>Input!$KR$20</f>
        <v>0</v>
      </c>
      <c r="H60" s="762">
        <f>Input!$KS$20</f>
        <v>0</v>
      </c>
      <c r="I60" s="762">
        <f>Input!$KT$20</f>
        <v>0</v>
      </c>
      <c r="J60" s="762">
        <f>Input!$KU$20</f>
        <v>0</v>
      </c>
      <c r="K60" s="762">
        <f>Input!$KV$20</f>
        <v>0</v>
      </c>
      <c r="L60" s="762">
        <f>Input!$KW$20</f>
        <v>0</v>
      </c>
      <c r="M60" s="723">
        <f t="shared" si="9"/>
        <v>0</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Input!$KX$20</f>
        <v>0</v>
      </c>
      <c r="E61" s="762">
        <f>Input!$KY$20</f>
        <v>0</v>
      </c>
      <c r="F61" s="762">
        <f>Input!$KZ$20</f>
        <v>0</v>
      </c>
      <c r="G61" s="762">
        <f>Input!$LA$20</f>
        <v>0</v>
      </c>
      <c r="H61" s="762">
        <f>Input!$LB$20</f>
        <v>0</v>
      </c>
      <c r="I61" s="762">
        <f>Input!$LC$20</f>
        <v>0</v>
      </c>
      <c r="J61" s="762">
        <f>Input!$LD$20</f>
        <v>0</v>
      </c>
      <c r="K61" s="762">
        <f>Input!$LE$20</f>
        <v>0</v>
      </c>
      <c r="L61" s="762">
        <f>Input!$LF$20</f>
        <v>0</v>
      </c>
      <c r="M61" s="723">
        <f t="shared" si="9"/>
        <v>0</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0</v>
      </c>
      <c r="E62" s="769">
        <f t="shared" si="10"/>
        <v>0</v>
      </c>
      <c r="F62" s="769">
        <f t="shared" si="10"/>
        <v>0</v>
      </c>
      <c r="G62" s="769">
        <f t="shared" si="10"/>
        <v>0</v>
      </c>
      <c r="H62" s="769">
        <f t="shared" si="10"/>
        <v>0</v>
      </c>
      <c r="I62" s="769">
        <f t="shared" si="10"/>
        <v>0</v>
      </c>
      <c r="J62" s="769">
        <f t="shared" si="10"/>
        <v>0</v>
      </c>
      <c r="K62" s="769">
        <f t="shared" si="10"/>
        <v>0</v>
      </c>
      <c r="L62" s="769">
        <f t="shared" si="10"/>
        <v>0</v>
      </c>
      <c r="M62" s="769">
        <f t="shared" si="9"/>
        <v>0</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0</v>
      </c>
      <c r="E63" s="769">
        <f t="shared" ref="E63:M63" si="11">E15+E44+E47+E50+E53+E62</f>
        <v>0</v>
      </c>
      <c r="F63" s="769">
        <f t="shared" si="11"/>
        <v>0</v>
      </c>
      <c r="G63" s="769">
        <f t="shared" si="11"/>
        <v>0</v>
      </c>
      <c r="H63" s="769">
        <f t="shared" si="11"/>
        <v>0</v>
      </c>
      <c r="I63" s="769">
        <f t="shared" si="11"/>
        <v>0</v>
      </c>
      <c r="J63" s="769">
        <f t="shared" si="11"/>
        <v>0</v>
      </c>
      <c r="K63" s="769">
        <f t="shared" si="11"/>
        <v>0</v>
      </c>
      <c r="L63" s="769">
        <f t="shared" si="11"/>
        <v>0</v>
      </c>
      <c r="M63" s="769">
        <f t="shared" si="11"/>
        <v>0</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Input!$LG$20</f>
        <v>0</v>
      </c>
      <c r="E65" s="762">
        <f>Input!$LH$20</f>
        <v>21649</v>
      </c>
      <c r="F65" s="762">
        <f>Input!$LI$20</f>
        <v>0</v>
      </c>
      <c r="G65" s="762">
        <f>Input!$LJ$20</f>
        <v>0</v>
      </c>
      <c r="H65" s="762">
        <f>Input!$LK$20</f>
        <v>0</v>
      </c>
      <c r="I65" s="762">
        <f>Input!$LL$20</f>
        <v>0</v>
      </c>
      <c r="J65" s="762">
        <f>Input!$LM$20</f>
        <v>0</v>
      </c>
      <c r="K65" s="762">
        <f>Input!$LN$20</f>
        <v>0</v>
      </c>
      <c r="L65" s="762">
        <f>Input!$LO$20</f>
        <v>0</v>
      </c>
      <c r="M65" s="723">
        <f t="shared" ref="M65:M77" si="12">D65+E65+F65+G65+H65+I65+J65+K65+L65</f>
        <v>21649</v>
      </c>
      <c r="O65" s="824">
        <f>D65+E65+G65</f>
        <v>21649</v>
      </c>
      <c r="P65" s="825">
        <f>Input!$TK$20</f>
        <v>0</v>
      </c>
      <c r="Q65" s="825">
        <f>Input!$TU$20</f>
        <v>0</v>
      </c>
      <c r="R65" s="825">
        <f>Input!$UD$20</f>
        <v>0</v>
      </c>
      <c r="S65" s="826">
        <f>O65+P65-Q65-R65</f>
        <v>21649</v>
      </c>
      <c r="T65" s="492"/>
      <c r="U65" s="827">
        <f>D65+E65+F65+G65+J65</f>
        <v>21649</v>
      </c>
      <c r="V65" s="492"/>
      <c r="W65" s="828" t="s">
        <v>92</v>
      </c>
      <c r="X65" s="829">
        <f>Input!$UO$20</f>
        <v>21649</v>
      </c>
      <c r="Y65" s="830">
        <f t="shared" ref="Y65:Y74" si="13">X65-M65</f>
        <v>0</v>
      </c>
      <c r="Z65" s="492"/>
      <c r="AA65" s="492"/>
      <c r="AB65" s="492"/>
    </row>
    <row r="66" spans="1:28" s="752" customFormat="1" ht="14.4" thickTop="1" thickBot="1">
      <c r="A66" s="460">
        <v>49</v>
      </c>
      <c r="B66" s="823" t="s">
        <v>179</v>
      </c>
      <c r="C66" s="823"/>
      <c r="D66" s="762">
        <f>Input!$LP$20</f>
        <v>0</v>
      </c>
      <c r="E66" s="762">
        <f>Input!$LQ$20</f>
        <v>0</v>
      </c>
      <c r="F66" s="762">
        <f>Input!$LR$20</f>
        <v>0</v>
      </c>
      <c r="G66" s="762">
        <f>Input!$LS$20</f>
        <v>0</v>
      </c>
      <c r="H66" s="762">
        <f>Input!$LT$20</f>
        <v>0</v>
      </c>
      <c r="I66" s="762">
        <f>Input!$LU$20</f>
        <v>0</v>
      </c>
      <c r="J66" s="762">
        <f>Input!$LV$20</f>
        <v>0</v>
      </c>
      <c r="K66" s="762">
        <f>Input!$LW$20</f>
        <v>0</v>
      </c>
      <c r="L66" s="762">
        <f>Input!$LX$20</f>
        <v>0</v>
      </c>
      <c r="M66" s="723">
        <f t="shared" si="12"/>
        <v>0</v>
      </c>
      <c r="O66" s="831">
        <f t="shared" ref="O66:O72" si="14">D66+E66+G66</f>
        <v>0</v>
      </c>
      <c r="P66" s="832">
        <f>Input!$TL$20</f>
        <v>0</v>
      </c>
      <c r="Q66" s="832">
        <f>Input!$TV$20</f>
        <v>0</v>
      </c>
      <c r="R66" s="832">
        <f>Input!$UE$20</f>
        <v>0</v>
      </c>
      <c r="S66" s="833">
        <f>O66+P66-Q66-R66</f>
        <v>0</v>
      </c>
      <c r="T66" s="492"/>
      <c r="U66" s="834">
        <f t="shared" ref="U66:U76" si="15">D66+E66+F66+G66+J66</f>
        <v>0</v>
      </c>
      <c r="V66" s="492"/>
      <c r="W66" s="828" t="s">
        <v>179</v>
      </c>
      <c r="X66" s="835">
        <f>Input!$UP$20</f>
        <v>0</v>
      </c>
      <c r="Y66" s="836">
        <f t="shared" si="13"/>
        <v>0</v>
      </c>
      <c r="Z66" s="723"/>
      <c r="AA66" s="723"/>
      <c r="AB66" s="723"/>
    </row>
    <row r="67" spans="1:28" s="752" customFormat="1" ht="13.8" thickTop="1">
      <c r="A67" s="460">
        <v>50</v>
      </c>
      <c r="B67" s="823" t="s">
        <v>180</v>
      </c>
      <c r="C67" s="823"/>
      <c r="D67" s="762">
        <f>Input!$LY$20</f>
        <v>0</v>
      </c>
      <c r="E67" s="762">
        <f>Input!$LZ$20</f>
        <v>0</v>
      </c>
      <c r="F67" s="762">
        <f>Input!$MA$20</f>
        <v>0</v>
      </c>
      <c r="G67" s="762">
        <f>Input!$MB$20</f>
        <v>0</v>
      </c>
      <c r="H67" s="762">
        <f>Input!$MC$20</f>
        <v>0</v>
      </c>
      <c r="I67" s="762">
        <f>Input!$MD$20</f>
        <v>0</v>
      </c>
      <c r="J67" s="762">
        <f>Input!$ME$20</f>
        <v>0</v>
      </c>
      <c r="K67" s="762">
        <f>Input!$MF$20</f>
        <v>0</v>
      </c>
      <c r="L67" s="762">
        <f>Input!$MG$20</f>
        <v>0</v>
      </c>
      <c r="M67" s="723">
        <f t="shared" si="12"/>
        <v>0</v>
      </c>
      <c r="O67" s="831">
        <f t="shared" si="14"/>
        <v>0</v>
      </c>
      <c r="P67" s="832">
        <f>Input!$TM$20</f>
        <v>0</v>
      </c>
      <c r="Q67" s="832">
        <f>Input!$TW$20</f>
        <v>0</v>
      </c>
      <c r="R67" s="832">
        <f>Input!$UF$20</f>
        <v>0</v>
      </c>
      <c r="S67" s="837">
        <f t="shared" ref="S67:S72" si="16">O67+P67-Q67-R67</f>
        <v>0</v>
      </c>
      <c r="T67" s="723"/>
      <c r="U67" s="834">
        <f t="shared" si="15"/>
        <v>0</v>
      </c>
      <c r="V67" s="723"/>
      <c r="W67" s="828" t="s">
        <v>180</v>
      </c>
      <c r="X67" s="835">
        <f>Input!$UQ$20</f>
        <v>0</v>
      </c>
      <c r="Y67" s="836">
        <f t="shared" si="13"/>
        <v>0</v>
      </c>
      <c r="Z67" s="723"/>
      <c r="AA67" s="723"/>
      <c r="AB67" s="723"/>
    </row>
    <row r="68" spans="1:28" s="752" customFormat="1">
      <c r="A68" s="460">
        <v>51</v>
      </c>
      <c r="B68" s="823" t="s">
        <v>164</v>
      </c>
      <c r="C68" s="823"/>
      <c r="D68" s="762">
        <f>Input!$MH$20</f>
        <v>0</v>
      </c>
      <c r="E68" s="762">
        <f>Input!$MI$20</f>
        <v>0</v>
      </c>
      <c r="F68" s="762">
        <f>Input!$MJ$20</f>
        <v>0</v>
      </c>
      <c r="G68" s="762">
        <f>Input!$MK$20</f>
        <v>0</v>
      </c>
      <c r="H68" s="762">
        <f>Input!$ML$20</f>
        <v>0</v>
      </c>
      <c r="I68" s="762">
        <f>Input!$MM$20</f>
        <v>0</v>
      </c>
      <c r="J68" s="762">
        <f>Input!$MN$20</f>
        <v>0</v>
      </c>
      <c r="K68" s="762">
        <f>Input!$MO$20</f>
        <v>0</v>
      </c>
      <c r="L68" s="762">
        <f>Input!$MP$20</f>
        <v>0</v>
      </c>
      <c r="M68" s="723">
        <f t="shared" si="12"/>
        <v>0</v>
      </c>
      <c r="O68" s="831">
        <f t="shared" si="14"/>
        <v>0</v>
      </c>
      <c r="P68" s="832">
        <f>Input!$TN$20</f>
        <v>0</v>
      </c>
      <c r="Q68" s="832">
        <f>Input!$TX$20</f>
        <v>0</v>
      </c>
      <c r="R68" s="832">
        <f>Input!$UG$20</f>
        <v>0</v>
      </c>
      <c r="S68" s="837">
        <f t="shared" si="16"/>
        <v>0</v>
      </c>
      <c r="T68" s="723"/>
      <c r="U68" s="834">
        <f t="shared" si="15"/>
        <v>0</v>
      </c>
      <c r="V68" s="723"/>
      <c r="W68" s="828" t="s">
        <v>164</v>
      </c>
      <c r="X68" s="835">
        <f>Input!$UR$20</f>
        <v>0</v>
      </c>
      <c r="Y68" s="836">
        <f t="shared" si="13"/>
        <v>0</v>
      </c>
      <c r="Z68" s="723"/>
      <c r="AA68" s="723"/>
      <c r="AB68" s="723"/>
    </row>
    <row r="69" spans="1:28" s="752" customFormat="1">
      <c r="A69" s="460">
        <v>52</v>
      </c>
      <c r="B69" s="823" t="s">
        <v>181</v>
      </c>
      <c r="C69" s="823"/>
      <c r="D69" s="762">
        <f>Input!$MQ$20</f>
        <v>0</v>
      </c>
      <c r="E69" s="762">
        <f>Input!$MR$20</f>
        <v>534571</v>
      </c>
      <c r="F69" s="762">
        <f>Input!$MS$20</f>
        <v>0</v>
      </c>
      <c r="G69" s="762">
        <f>Input!$MT$20</f>
        <v>0</v>
      </c>
      <c r="H69" s="762">
        <f>Input!$MU$20</f>
        <v>0</v>
      </c>
      <c r="I69" s="762">
        <f>Input!$MV$20</f>
        <v>0</v>
      </c>
      <c r="J69" s="762">
        <f>Input!$MW$20</f>
        <v>0</v>
      </c>
      <c r="K69" s="762">
        <f>Input!$MX$20</f>
        <v>0</v>
      </c>
      <c r="L69" s="762">
        <f>Input!$MY$20</f>
        <v>0</v>
      </c>
      <c r="M69" s="723">
        <f t="shared" si="12"/>
        <v>534571</v>
      </c>
      <c r="O69" s="831">
        <f t="shared" si="14"/>
        <v>534571</v>
      </c>
      <c r="P69" s="832">
        <f>Input!$TO$20</f>
        <v>0</v>
      </c>
      <c r="Q69" s="832">
        <f>Input!$TY$20</f>
        <v>0</v>
      </c>
      <c r="R69" s="832">
        <f>Input!$UH$20</f>
        <v>0</v>
      </c>
      <c r="S69" s="837">
        <f t="shared" si="16"/>
        <v>534571</v>
      </c>
      <c r="T69" s="723"/>
      <c r="U69" s="834">
        <f t="shared" si="15"/>
        <v>534571</v>
      </c>
      <c r="V69" s="723"/>
      <c r="W69" s="828" t="s">
        <v>181</v>
      </c>
      <c r="X69" s="835">
        <f>Input!$US$20</f>
        <v>534571</v>
      </c>
      <c r="Y69" s="836">
        <f t="shared" si="13"/>
        <v>0</v>
      </c>
      <c r="Z69" s="723"/>
      <c r="AA69" s="723"/>
      <c r="AB69" s="723"/>
    </row>
    <row r="70" spans="1:28" s="752" customFormat="1">
      <c r="A70" s="460">
        <v>53</v>
      </c>
      <c r="B70" s="823" t="s">
        <v>182</v>
      </c>
      <c r="C70" s="823"/>
      <c r="D70" s="762">
        <f>Input!$MZ$20</f>
        <v>0</v>
      </c>
      <c r="E70" s="762">
        <f>Input!$NA$20</f>
        <v>0</v>
      </c>
      <c r="F70" s="762">
        <f>Input!$NB$20</f>
        <v>0</v>
      </c>
      <c r="G70" s="762">
        <f>Input!$NC$20</f>
        <v>0</v>
      </c>
      <c r="H70" s="762">
        <f>Input!$ND$20</f>
        <v>0</v>
      </c>
      <c r="I70" s="762">
        <f>Input!$NE$20</f>
        <v>0</v>
      </c>
      <c r="J70" s="762">
        <f>Input!$NF$20</f>
        <v>0</v>
      </c>
      <c r="K70" s="762">
        <f>Input!$NG$20</f>
        <v>0</v>
      </c>
      <c r="L70" s="762">
        <f>Input!$NH$20</f>
        <v>0</v>
      </c>
      <c r="M70" s="723">
        <f t="shared" si="12"/>
        <v>0</v>
      </c>
      <c r="O70" s="831">
        <f t="shared" si="14"/>
        <v>0</v>
      </c>
      <c r="P70" s="832">
        <f>Input!$TP$20</f>
        <v>0</v>
      </c>
      <c r="Q70" s="832">
        <f>Input!$TZ$20</f>
        <v>0</v>
      </c>
      <c r="R70" s="832">
        <f>Input!$UI$20</f>
        <v>0</v>
      </c>
      <c r="S70" s="837">
        <f t="shared" si="16"/>
        <v>0</v>
      </c>
      <c r="T70" s="723"/>
      <c r="U70" s="834">
        <f t="shared" si="15"/>
        <v>0</v>
      </c>
      <c r="V70" s="723"/>
      <c r="W70" s="828" t="s">
        <v>182</v>
      </c>
      <c r="X70" s="835">
        <f>Input!$UT$20</f>
        <v>0</v>
      </c>
      <c r="Y70" s="836">
        <f t="shared" si="13"/>
        <v>0</v>
      </c>
      <c r="Z70" s="723"/>
      <c r="AA70" s="723"/>
      <c r="AB70" s="723"/>
    </row>
    <row r="71" spans="1:28" s="752" customFormat="1">
      <c r="A71" s="460">
        <v>54</v>
      </c>
      <c r="B71" s="823" t="s">
        <v>183</v>
      </c>
      <c r="C71" s="823"/>
      <c r="D71" s="762">
        <f>Input!$NI$20</f>
        <v>0</v>
      </c>
      <c r="E71" s="762">
        <f>Input!$NJ$20</f>
        <v>181</v>
      </c>
      <c r="F71" s="762">
        <f>Input!$NK$20</f>
        <v>0</v>
      </c>
      <c r="G71" s="762">
        <f>Input!$NL$20</f>
        <v>0</v>
      </c>
      <c r="H71" s="762">
        <f>Input!$NM$20</f>
        <v>0</v>
      </c>
      <c r="I71" s="762">
        <f>Input!$NN$20</f>
        <v>0</v>
      </c>
      <c r="J71" s="762">
        <f>Input!$NO$20</f>
        <v>0</v>
      </c>
      <c r="K71" s="762">
        <f>Input!$NP$20</f>
        <v>0</v>
      </c>
      <c r="L71" s="762">
        <f>Input!$NQ$20</f>
        <v>0</v>
      </c>
      <c r="M71" s="723">
        <f t="shared" si="12"/>
        <v>181</v>
      </c>
      <c r="O71" s="831">
        <f t="shared" si="14"/>
        <v>181</v>
      </c>
      <c r="P71" s="832">
        <f>Input!$TQ$20</f>
        <v>0</v>
      </c>
      <c r="Q71" s="832">
        <f>Input!$UA$20</f>
        <v>0</v>
      </c>
      <c r="R71" s="832">
        <f>Input!$UJ$20</f>
        <v>0</v>
      </c>
      <c r="S71" s="837">
        <f t="shared" si="16"/>
        <v>181</v>
      </c>
      <c r="T71" s="723"/>
      <c r="U71" s="834">
        <f t="shared" si="15"/>
        <v>181</v>
      </c>
      <c r="V71" s="723"/>
      <c r="W71" s="828" t="s">
        <v>183</v>
      </c>
      <c r="X71" s="835">
        <f>Input!$UU$20</f>
        <v>181</v>
      </c>
      <c r="Y71" s="836">
        <f t="shared" si="13"/>
        <v>0</v>
      </c>
      <c r="Z71" s="723"/>
      <c r="AA71" s="723"/>
      <c r="AB71" s="723"/>
    </row>
    <row r="72" spans="1:28" s="752" customFormat="1">
      <c r="A72" s="460">
        <v>55</v>
      </c>
      <c r="B72" s="823" t="s">
        <v>184</v>
      </c>
      <c r="C72" s="823"/>
      <c r="D72" s="762">
        <f>Input!$NR$20</f>
        <v>0</v>
      </c>
      <c r="E72" s="762">
        <f>Input!$NS$20</f>
        <v>0</v>
      </c>
      <c r="F72" s="762">
        <f>Input!$NT$20</f>
        <v>0</v>
      </c>
      <c r="G72" s="762">
        <f>Input!$NU$20</f>
        <v>0</v>
      </c>
      <c r="H72" s="762">
        <f>Input!$NV$20</f>
        <v>0</v>
      </c>
      <c r="I72" s="762">
        <f>Input!$NW$20</f>
        <v>0</v>
      </c>
      <c r="J72" s="762">
        <f>Input!$NX$20</f>
        <v>0</v>
      </c>
      <c r="K72" s="762">
        <f>Input!$NY$20</f>
        <v>0</v>
      </c>
      <c r="L72" s="762">
        <f>Input!$NZ$20</f>
        <v>0</v>
      </c>
      <c r="M72" s="723">
        <f t="shared" si="12"/>
        <v>0</v>
      </c>
      <c r="O72" s="831">
        <f t="shared" si="14"/>
        <v>0</v>
      </c>
      <c r="P72" s="832">
        <f>Input!$TR$20</f>
        <v>0</v>
      </c>
      <c r="Q72" s="832">
        <f>Input!$UB$20</f>
        <v>0</v>
      </c>
      <c r="R72" s="832">
        <f>Input!$UK$20</f>
        <v>0</v>
      </c>
      <c r="S72" s="837">
        <f t="shared" si="16"/>
        <v>0</v>
      </c>
      <c r="T72" s="723"/>
      <c r="U72" s="834">
        <f t="shared" si="15"/>
        <v>0</v>
      </c>
      <c r="V72" s="723"/>
      <c r="W72" s="828" t="s">
        <v>671</v>
      </c>
      <c r="X72" s="835">
        <f>Input!$UV$20</f>
        <v>0</v>
      </c>
      <c r="Y72" s="836">
        <f t="shared" si="13"/>
        <v>0</v>
      </c>
      <c r="Z72" s="723"/>
      <c r="AA72" s="723"/>
      <c r="AB72" s="723"/>
    </row>
    <row r="73" spans="1:28" s="752" customFormat="1" ht="13.8" thickBot="1">
      <c r="A73" s="460">
        <v>56</v>
      </c>
      <c r="B73" s="823" t="s">
        <v>185</v>
      </c>
      <c r="C73" s="823"/>
      <c r="D73" s="762">
        <f>Input!$OA$20</f>
        <v>0</v>
      </c>
      <c r="E73" s="762">
        <f>Input!$OB$20</f>
        <v>0</v>
      </c>
      <c r="F73" s="762">
        <f>Input!$OC$20</f>
        <v>0</v>
      </c>
      <c r="G73" s="762">
        <f>Input!$OD$20</f>
        <v>0</v>
      </c>
      <c r="H73" s="762">
        <f>Input!$OE$20</f>
        <v>0</v>
      </c>
      <c r="I73" s="762">
        <f>Input!$OF$20</f>
        <v>0</v>
      </c>
      <c r="J73" s="762">
        <f>Input!$OG$20</f>
        <v>0</v>
      </c>
      <c r="K73" s="762">
        <f>Input!$OH$20</f>
        <v>0</v>
      </c>
      <c r="L73" s="762">
        <f>Input!$OI$20</f>
        <v>0</v>
      </c>
      <c r="M73" s="723">
        <f t="shared" si="12"/>
        <v>0</v>
      </c>
      <c r="O73" s="838">
        <f>D73+E73+G73</f>
        <v>0</v>
      </c>
      <c r="P73" s="832">
        <f>Input!$TS$20</f>
        <v>0</v>
      </c>
      <c r="Q73" s="839">
        <f>Input!$UC$20</f>
        <v>0</v>
      </c>
      <c r="R73" s="839">
        <f>Input!$UL$20</f>
        <v>0</v>
      </c>
      <c r="S73" s="840">
        <f>O73+P73-Q73-R73</f>
        <v>0</v>
      </c>
      <c r="T73" s="841"/>
      <c r="U73" s="834">
        <f t="shared" si="15"/>
        <v>0</v>
      </c>
      <c r="V73" s="841"/>
      <c r="W73" s="828" t="s">
        <v>185</v>
      </c>
      <c r="X73" s="835">
        <f>Input!$UW$20</f>
        <v>0</v>
      </c>
      <c r="Y73" s="836">
        <f t="shared" si="13"/>
        <v>0</v>
      </c>
      <c r="Z73" s="723"/>
      <c r="AA73" s="723"/>
      <c r="AB73" s="723"/>
    </row>
    <row r="74" spans="1:28" s="752" customFormat="1" ht="13.8" thickTop="1">
      <c r="A74" s="460">
        <v>57</v>
      </c>
      <c r="B74" s="823" t="s">
        <v>472</v>
      </c>
      <c r="C74" s="823"/>
      <c r="D74" s="762">
        <f>Input!$OJ$20</f>
        <v>0</v>
      </c>
      <c r="E74" s="762">
        <f>Input!$OK$20</f>
        <v>0</v>
      </c>
      <c r="F74" s="762">
        <f>Input!$OL$20</f>
        <v>0</v>
      </c>
      <c r="G74" s="762">
        <f>Input!$OM$20</f>
        <v>0</v>
      </c>
      <c r="H74" s="762">
        <f>Input!$ON$20</f>
        <v>0</v>
      </c>
      <c r="I74" s="762">
        <f>Input!$OO$20</f>
        <v>0</v>
      </c>
      <c r="J74" s="762">
        <f>Input!$OP$20</f>
        <v>0</v>
      </c>
      <c r="K74" s="762">
        <f>Input!$OQ$20</f>
        <v>0</v>
      </c>
      <c r="L74" s="762">
        <f>Input!$OR$20</f>
        <v>0</v>
      </c>
      <c r="M74" s="723">
        <f t="shared" si="12"/>
        <v>0</v>
      </c>
      <c r="O74" s="492"/>
      <c r="P74" s="842">
        <f>Input!$TT$20</f>
        <v>0</v>
      </c>
      <c r="Q74" s="843"/>
      <c r="R74" s="844"/>
      <c r="S74" s="845">
        <f>SUM(S65:S73)</f>
        <v>556401</v>
      </c>
      <c r="T74" s="844"/>
      <c r="U74" s="834">
        <f t="shared" si="15"/>
        <v>0</v>
      </c>
      <c r="V74" s="844"/>
      <c r="W74" s="828" t="s">
        <v>186</v>
      </c>
      <c r="X74" s="835">
        <f>Input!$UX$20</f>
        <v>0</v>
      </c>
      <c r="Y74" s="836">
        <f t="shared" si="13"/>
        <v>0</v>
      </c>
      <c r="Z74" s="723"/>
      <c r="AA74" s="723"/>
      <c r="AB74" s="723"/>
    </row>
    <row r="75" spans="1:28" s="752" customFormat="1">
      <c r="A75" s="460">
        <v>58</v>
      </c>
      <c r="B75" s="846" t="s">
        <v>602</v>
      </c>
      <c r="C75" s="846"/>
      <c r="D75" s="762">
        <f>Input!$OS$20</f>
        <v>0</v>
      </c>
      <c r="E75" s="762">
        <f>Input!$OT$20</f>
        <v>0</v>
      </c>
      <c r="F75" s="762">
        <f>Input!$OU$20</f>
        <v>0</v>
      </c>
      <c r="G75" s="762">
        <f>Input!$OV$20</f>
        <v>0</v>
      </c>
      <c r="H75" s="762">
        <f>Input!$OW$20</f>
        <v>0</v>
      </c>
      <c r="I75" s="762">
        <f>Input!$OX$20</f>
        <v>0</v>
      </c>
      <c r="J75" s="762">
        <f>Input!$OY$20</f>
        <v>0</v>
      </c>
      <c r="K75" s="762">
        <f>Input!$OZ$20</f>
        <v>0</v>
      </c>
      <c r="L75" s="762">
        <f>Input!$PA$20</f>
        <v>0</v>
      </c>
      <c r="M75" s="723">
        <f t="shared" si="12"/>
        <v>0</v>
      </c>
      <c r="O75" s="492"/>
      <c r="P75" s="492">
        <f>SUM(P65:P74)</f>
        <v>0</v>
      </c>
      <c r="Q75" s="843" t="s">
        <v>672</v>
      </c>
      <c r="R75" s="844"/>
      <c r="S75" s="847"/>
      <c r="T75" s="844"/>
      <c r="U75" s="834">
        <f t="shared" si="15"/>
        <v>0</v>
      </c>
      <c r="V75" s="844"/>
      <c r="W75" s="828" t="s">
        <v>673</v>
      </c>
      <c r="X75" s="848">
        <f>M93*-1</f>
        <v>0</v>
      </c>
      <c r="Y75" s="836">
        <f>X75+M93</f>
        <v>0</v>
      </c>
      <c r="Z75" s="849"/>
      <c r="AA75" s="849"/>
      <c r="AB75" s="849"/>
    </row>
    <row r="76" spans="1:28" s="752" customFormat="1" ht="13.8" thickBot="1">
      <c r="A76" s="460">
        <v>59</v>
      </c>
      <c r="B76" s="850" t="s">
        <v>603</v>
      </c>
      <c r="C76" s="850"/>
      <c r="D76" s="851">
        <f>Input!$PB$20</f>
        <v>0</v>
      </c>
      <c r="E76" s="851">
        <f>Input!$PC$20</f>
        <v>0</v>
      </c>
      <c r="F76" s="851">
        <f>Input!$PD$20</f>
        <v>0</v>
      </c>
      <c r="G76" s="851">
        <f>Input!$PE$20</f>
        <v>0</v>
      </c>
      <c r="H76" s="851">
        <f>Input!$PF$20</f>
        <v>0</v>
      </c>
      <c r="I76" s="851">
        <f>Input!$PG$20</f>
        <v>0</v>
      </c>
      <c r="J76" s="851">
        <f>Input!$PH$20</f>
        <v>0</v>
      </c>
      <c r="K76" s="851">
        <f>Input!$PI$20</f>
        <v>0</v>
      </c>
      <c r="L76" s="851">
        <f>Input!$PJ$20</f>
        <v>0</v>
      </c>
      <c r="M76" s="723">
        <f t="shared" si="12"/>
        <v>0</v>
      </c>
      <c r="O76" s="492"/>
      <c r="P76" s="852" t="str">
        <f>IF(P75&lt;&gt;M75,"Out of Balance","Balanced")</f>
        <v>Balanced</v>
      </c>
      <c r="Q76" s="1213" t="s">
        <v>674</v>
      </c>
      <c r="R76" s="1214"/>
      <c r="S76" s="853">
        <f>Input!$UM$20</f>
        <v>0</v>
      </c>
      <c r="T76" s="492"/>
      <c r="U76" s="854">
        <f t="shared" si="15"/>
        <v>0</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0</v>
      </c>
      <c r="E77" s="769">
        <f t="shared" si="17"/>
        <v>556401</v>
      </c>
      <c r="F77" s="769">
        <f t="shared" si="17"/>
        <v>0</v>
      </c>
      <c r="G77" s="769">
        <f t="shared" si="17"/>
        <v>0</v>
      </c>
      <c r="H77" s="769">
        <f t="shared" si="17"/>
        <v>0</v>
      </c>
      <c r="I77" s="769">
        <f t="shared" si="17"/>
        <v>0</v>
      </c>
      <c r="J77" s="769">
        <f t="shared" si="17"/>
        <v>0</v>
      </c>
      <c r="K77" s="769">
        <f t="shared" si="17"/>
        <v>0</v>
      </c>
      <c r="L77" s="769">
        <f t="shared" si="17"/>
        <v>0</v>
      </c>
      <c r="M77" s="769">
        <f t="shared" si="12"/>
        <v>556401</v>
      </c>
      <c r="O77" s="320"/>
      <c r="P77" s="492"/>
      <c r="Q77" s="859" t="s">
        <v>676</v>
      </c>
      <c r="R77" s="860"/>
      <c r="S77" s="861">
        <f>Input!$UN$20</f>
        <v>0</v>
      </c>
      <c r="T77" s="320"/>
      <c r="U77" s="862">
        <f>SUM(U65:U76)</f>
        <v>556401</v>
      </c>
      <c r="V77" s="320"/>
      <c r="W77" s="320"/>
      <c r="X77" s="863">
        <f>SUM(X65:X76)</f>
        <v>556401</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556401</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Input!$PK$20</f>
        <v>0</v>
      </c>
      <c r="E80" s="762">
        <f>Input!$PL$20</f>
        <v>0</v>
      </c>
      <c r="F80" s="762">
        <f>Input!$PM$20</f>
        <v>0</v>
      </c>
      <c r="G80" s="762">
        <f>Input!$PN$20</f>
        <v>0</v>
      </c>
      <c r="H80" s="762">
        <f>Input!$PO$20</f>
        <v>0</v>
      </c>
      <c r="I80" s="762">
        <f>Input!$PP$20</f>
        <v>0</v>
      </c>
      <c r="J80" s="762">
        <f>Input!$PQ$20</f>
        <v>0</v>
      </c>
      <c r="K80" s="762">
        <f>Input!$PR$20</f>
        <v>0</v>
      </c>
      <c r="L80" s="762">
        <f>Input!$PS$20</f>
        <v>0</v>
      </c>
      <c r="M80" s="723">
        <f>D80+E80+F80+G80+H80+I80+J80+K80+L80</f>
        <v>0</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Input!$PT$20</f>
        <v>0</v>
      </c>
      <c r="E81" s="762">
        <f>Input!$PU$20</f>
        <v>0</v>
      </c>
      <c r="F81" s="762">
        <f>Input!$PV$20</f>
        <v>0</v>
      </c>
      <c r="G81" s="762">
        <f>Input!$PW$20</f>
        <v>0</v>
      </c>
      <c r="H81" s="762">
        <f>Input!$PX$20</f>
        <v>0</v>
      </c>
      <c r="I81" s="762">
        <f>Input!$PY$20</f>
        <v>0</v>
      </c>
      <c r="J81" s="762">
        <f>Input!$PZ$20</f>
        <v>0</v>
      </c>
      <c r="K81" s="762">
        <f>Input!$QA$20</f>
        <v>0</v>
      </c>
      <c r="L81" s="762">
        <f>Input!$QB$20</f>
        <v>0</v>
      </c>
      <c r="M81" s="723">
        <f>D81+E81+F81+G81+H81+I81+J81+K81+L81</f>
        <v>0</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Input!$QC$20</f>
        <v>0</v>
      </c>
      <c r="E82" s="762">
        <f>Input!$QD$20</f>
        <v>0</v>
      </c>
      <c r="F82" s="762">
        <f>Input!$QE$20</f>
        <v>0</v>
      </c>
      <c r="G82" s="762">
        <f>Input!$QF$20</f>
        <v>0</v>
      </c>
      <c r="H82" s="762">
        <f>Input!$QG$20</f>
        <v>0</v>
      </c>
      <c r="I82" s="762">
        <f>Input!$QH$20</f>
        <v>0</v>
      </c>
      <c r="J82" s="762">
        <f>Input!$QI$20</f>
        <v>0</v>
      </c>
      <c r="K82" s="762">
        <f>Input!$QJ$20</f>
        <v>0</v>
      </c>
      <c r="L82" s="762">
        <f>Input!$QK$20</f>
        <v>0</v>
      </c>
      <c r="M82" s="723">
        <f>D82+E82+F82+G82+H82+I82+J82+K82+L82</f>
        <v>0</v>
      </c>
      <c r="O82" s="492"/>
      <c r="P82" s="1218" t="str">
        <f>IF(M91&lt;0,"Footnote 11 is N/A - No Data Entry Required","Footnote 11")</f>
        <v>Footnote 11 is N/A - No Data Entry Required</v>
      </c>
      <c r="Q82" s="1219"/>
      <c r="R82" s="1219"/>
      <c r="S82" s="1220"/>
      <c r="T82" s="443"/>
      <c r="U82" s="443"/>
      <c r="V82" s="320"/>
      <c r="W82" s="320"/>
      <c r="X82" s="320"/>
      <c r="Y82" s="320"/>
      <c r="Z82" s="320"/>
      <c r="AA82" s="320"/>
      <c r="AB82" s="320"/>
    </row>
    <row r="83" spans="1:28" s="752" customFormat="1" ht="13.8" thickTop="1">
      <c r="A83" s="460">
        <v>66</v>
      </c>
      <c r="B83" s="752" t="s">
        <v>477</v>
      </c>
      <c r="D83" s="762">
        <f>Input!$QL$20</f>
        <v>0</v>
      </c>
      <c r="E83" s="762">
        <f>Input!$QM$20</f>
        <v>0</v>
      </c>
      <c r="F83" s="762">
        <f>Input!$QN$20</f>
        <v>0</v>
      </c>
      <c r="G83" s="762">
        <f>Input!$QO$20</f>
        <v>0</v>
      </c>
      <c r="H83" s="762">
        <f>Input!$QP$20</f>
        <v>0</v>
      </c>
      <c r="I83" s="762">
        <f>Input!$QQ$20</f>
        <v>0</v>
      </c>
      <c r="J83" s="762">
        <f>Input!$QR$20</f>
        <v>0</v>
      </c>
      <c r="K83" s="762">
        <f>Input!$QS$20</f>
        <v>0</v>
      </c>
      <c r="L83" s="762">
        <f>Input!$QT$20</f>
        <v>0</v>
      </c>
      <c r="M83" s="723">
        <f>D83+E83+F83+G83+H83+I83+J83+K83+L83</f>
        <v>0</v>
      </c>
      <c r="O83" s="723"/>
      <c r="P83" s="869" t="s">
        <v>678</v>
      </c>
      <c r="Q83" s="870"/>
      <c r="R83" s="871"/>
      <c r="S83" s="872" t="str">
        <f>IF(M91&lt;0,"N/A",M91)</f>
        <v>N/A</v>
      </c>
      <c r="T83" s="492"/>
      <c r="U83" s="443"/>
      <c r="V83" s="320"/>
      <c r="W83" s="320"/>
      <c r="X83" s="443"/>
      <c r="Y83" s="443"/>
      <c r="Z83" s="320"/>
      <c r="AA83" s="320"/>
      <c r="AB83" s="320"/>
    </row>
    <row r="84" spans="1:28" s="752" customFormat="1">
      <c r="A84" s="460">
        <v>67</v>
      </c>
      <c r="B84" s="858" t="s">
        <v>155</v>
      </c>
      <c r="C84" s="858"/>
      <c r="D84" s="769">
        <f t="shared" ref="D84:L84" si="18">SUM(D80:D83)</f>
        <v>0</v>
      </c>
      <c r="E84" s="769">
        <f t="shared" si="18"/>
        <v>0</v>
      </c>
      <c r="F84" s="769">
        <f t="shared" si="18"/>
        <v>0</v>
      </c>
      <c r="G84" s="769">
        <f t="shared" si="18"/>
        <v>0</v>
      </c>
      <c r="H84" s="769">
        <f t="shared" si="18"/>
        <v>0</v>
      </c>
      <c r="I84" s="769">
        <f t="shared" si="18"/>
        <v>0</v>
      </c>
      <c r="J84" s="769">
        <f t="shared" si="18"/>
        <v>0</v>
      </c>
      <c r="K84" s="769">
        <f t="shared" si="18"/>
        <v>0</v>
      </c>
      <c r="L84" s="769">
        <f t="shared" si="18"/>
        <v>0</v>
      </c>
      <c r="M84" s="769">
        <f>D84+E84+F84+G84+H84+I84+J84+K84+L84</f>
        <v>0</v>
      </c>
      <c r="O84" s="723"/>
      <c r="P84" s="873" t="s">
        <v>679</v>
      </c>
      <c r="Q84" s="492"/>
      <c r="R84" s="492"/>
      <c r="S84" s="874">
        <f>Input!$UY$20</f>
        <v>0</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t="str">
        <f>IF(M91&lt;0,"",S83-S84)</f>
        <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Input!$QU$20</f>
        <v>0</v>
      </c>
      <c r="E87" s="762">
        <f>Input!$QV$20</f>
        <v>0</v>
      </c>
      <c r="F87" s="762">
        <f>Input!$QW$20</f>
        <v>0</v>
      </c>
      <c r="G87" s="762">
        <f>Input!$QX$20</f>
        <v>0</v>
      </c>
      <c r="H87" s="762">
        <f>Input!$QY$20</f>
        <v>0</v>
      </c>
      <c r="I87" s="762">
        <f>Input!$QZ$20</f>
        <v>0</v>
      </c>
      <c r="J87" s="762">
        <f>Input!$RA$20</f>
        <v>0</v>
      </c>
      <c r="K87" s="762">
        <f>Input!$RB$20</f>
        <v>0</v>
      </c>
      <c r="L87" s="762">
        <f>Input!$RC$20</f>
        <v>0</v>
      </c>
      <c r="M87" s="723">
        <f>D87+E87+F87+G87+H87+I87+J87+K87+L87</f>
        <v>0</v>
      </c>
      <c r="O87" s="320"/>
      <c r="P87" s="873" t="s">
        <v>681</v>
      </c>
      <c r="Q87" s="320"/>
      <c r="R87" s="492"/>
      <c r="S87" s="878">
        <f>Input!$UZ$20</f>
        <v>0</v>
      </c>
      <c r="T87" s="320"/>
      <c r="U87" s="320"/>
      <c r="V87" s="320"/>
      <c r="W87" s="320"/>
      <c r="X87" s="443"/>
      <c r="Y87" s="443"/>
      <c r="Z87" s="320"/>
      <c r="AA87" s="320"/>
      <c r="AB87" s="320"/>
    </row>
    <row r="88" spans="1:28" s="752" customFormat="1">
      <c r="A88" s="460">
        <v>71</v>
      </c>
      <c r="B88" s="752" t="s">
        <v>480</v>
      </c>
      <c r="D88" s="762">
        <f>Input!$RD$20</f>
        <v>0</v>
      </c>
      <c r="E88" s="762">
        <f>Input!$RE$20</f>
        <v>0</v>
      </c>
      <c r="F88" s="762">
        <f>Input!$RF$20</f>
        <v>0</v>
      </c>
      <c r="G88" s="762">
        <f>Input!$RG$20</f>
        <v>0</v>
      </c>
      <c r="H88" s="762">
        <f>Input!$RH$20</f>
        <v>0</v>
      </c>
      <c r="I88" s="762">
        <f>Input!$RI$20</f>
        <v>0</v>
      </c>
      <c r="J88" s="762">
        <f>Input!$RJ$20</f>
        <v>0</v>
      </c>
      <c r="K88" s="762">
        <f>Input!$RK$20</f>
        <v>0</v>
      </c>
      <c r="L88" s="762">
        <f>Input!$RL$20</f>
        <v>0</v>
      </c>
      <c r="M88" s="723">
        <f>D88+E88+F88+G88+H88+I88+J88+K88+L88</f>
        <v>0</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0</v>
      </c>
      <c r="E89" s="769">
        <f t="shared" si="19"/>
        <v>0</v>
      </c>
      <c r="F89" s="769">
        <f t="shared" si="19"/>
        <v>0</v>
      </c>
      <c r="G89" s="769">
        <f t="shared" si="19"/>
        <v>0</v>
      </c>
      <c r="H89" s="769">
        <f t="shared" si="19"/>
        <v>0</v>
      </c>
      <c r="I89" s="769">
        <f t="shared" si="19"/>
        <v>0</v>
      </c>
      <c r="J89" s="769">
        <f t="shared" si="19"/>
        <v>0</v>
      </c>
      <c r="K89" s="769">
        <f t="shared" si="19"/>
        <v>0</v>
      </c>
      <c r="L89" s="769">
        <f t="shared" si="19"/>
        <v>0</v>
      </c>
      <c r="M89" s="769">
        <f>D89+E89+F89+G89+H89+I89+J89+K89+L89</f>
        <v>0</v>
      </c>
      <c r="O89" s="320"/>
      <c r="P89" s="873" t="s">
        <v>683</v>
      </c>
      <c r="Q89" s="320"/>
      <c r="R89" s="320"/>
      <c r="S89" s="875" t="str">
        <f>IFERROR(S85-S87,"")</f>
        <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0</v>
      </c>
      <c r="E91" s="769">
        <f t="shared" si="20"/>
        <v>-556401</v>
      </c>
      <c r="F91" s="769">
        <f t="shared" si="20"/>
        <v>0</v>
      </c>
      <c r="G91" s="769">
        <f t="shared" si="20"/>
        <v>0</v>
      </c>
      <c r="H91" s="769">
        <f t="shared" si="20"/>
        <v>0</v>
      </c>
      <c r="I91" s="769">
        <f t="shared" si="20"/>
        <v>0</v>
      </c>
      <c r="J91" s="769">
        <f t="shared" si="20"/>
        <v>0</v>
      </c>
      <c r="K91" s="769">
        <f t="shared" si="20"/>
        <v>0</v>
      </c>
      <c r="L91" s="769">
        <f>L63-L77+L84+L89</f>
        <v>0</v>
      </c>
      <c r="M91" s="769">
        <f>D91+E91+F91+G91+H91+I91+J91+K91+L91</f>
        <v>-556401</v>
      </c>
      <c r="O91" s="320"/>
      <c r="P91" s="881" t="s">
        <v>684</v>
      </c>
      <c r="Q91" s="882"/>
      <c r="R91" s="882"/>
      <c r="S91" s="883" t="str">
        <f>IFERROR((S89+S87)-S85,"")</f>
        <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Input!$RM$20</f>
        <v>0</v>
      </c>
      <c r="E93" s="762">
        <f>Input!$RN$20</f>
        <v>0</v>
      </c>
      <c r="F93" s="762">
        <f>Input!$RO$20</f>
        <v>0</v>
      </c>
      <c r="G93" s="762">
        <f>Input!$RP$20</f>
        <v>0</v>
      </c>
      <c r="H93" s="762">
        <f>Input!$RQ$20</f>
        <v>0</v>
      </c>
      <c r="I93" s="762">
        <f>Input!$RR$20</f>
        <v>0</v>
      </c>
      <c r="J93" s="762">
        <f>Input!$RS$20</f>
        <v>0</v>
      </c>
      <c r="K93" s="762">
        <f>Input!$RT$20</f>
        <v>0</v>
      </c>
      <c r="L93" s="762">
        <f>Input!$RU$20</f>
        <v>0</v>
      </c>
      <c r="M93" s="723">
        <f>D93+E93+F93+G93+H93+I93+J93+K93+L93</f>
        <v>0</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Input!$RV$20</f>
        <v>0</v>
      </c>
      <c r="E94" s="762">
        <f>Input!$RW$20</f>
        <v>0</v>
      </c>
      <c r="F94" s="762">
        <f>Input!$RX$20</f>
        <v>0</v>
      </c>
      <c r="G94" s="762">
        <f>Input!$RY$20</f>
        <v>0</v>
      </c>
      <c r="H94" s="762">
        <f>Input!$RZ$20</f>
        <v>0</v>
      </c>
      <c r="I94" s="762">
        <f>Input!$SA$20</f>
        <v>0</v>
      </c>
      <c r="J94" s="762">
        <f>Input!$SB$20</f>
        <v>0</v>
      </c>
      <c r="K94" s="762">
        <f>Input!$SC$20</f>
        <v>0</v>
      </c>
      <c r="L94" s="762">
        <f>Input!$SD$20</f>
        <v>0</v>
      </c>
      <c r="M94" s="723">
        <f>D94+E94+F94+G94+H94+I94+J94+K94+L94</f>
        <v>0</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Input!$SE$20</f>
        <v>0</v>
      </c>
      <c r="E95" s="762">
        <f>Input!$SF$20</f>
        <v>0</v>
      </c>
      <c r="F95" s="762">
        <f>Input!$SG$20</f>
        <v>0</v>
      </c>
      <c r="G95" s="762">
        <f>Input!$SH$20</f>
        <v>0</v>
      </c>
      <c r="H95" s="762">
        <f>Input!$SI$20</f>
        <v>0</v>
      </c>
      <c r="I95" s="762">
        <f>Input!$SJ$20</f>
        <v>0</v>
      </c>
      <c r="J95" s="762">
        <f>Input!$SK$20</f>
        <v>0</v>
      </c>
      <c r="K95" s="762">
        <f>Input!$SL$20</f>
        <v>0</v>
      </c>
      <c r="L95" s="762">
        <f>Input!$SM$20</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Input!$SN$20</f>
        <v>0</v>
      </c>
      <c r="E96" s="762">
        <f>Input!$SO$20</f>
        <v>0</v>
      </c>
      <c r="F96" s="762">
        <f>Input!$SP$20</f>
        <v>0</v>
      </c>
      <c r="G96" s="762">
        <f>Input!$SQ$20</f>
        <v>0</v>
      </c>
      <c r="H96" s="762">
        <f>Input!$SR$20</f>
        <v>0</v>
      </c>
      <c r="I96" s="762">
        <f>Input!$SS$20</f>
        <v>0</v>
      </c>
      <c r="J96" s="762">
        <f>Input!$ST$20</f>
        <v>0</v>
      </c>
      <c r="K96" s="762">
        <f>Input!$SU$20</f>
        <v>0</v>
      </c>
      <c r="L96" s="762">
        <f>Input!$SV$20</f>
        <v>0</v>
      </c>
      <c r="M96" s="723">
        <f>D96+E96+F96+G96+H96+I96+J96+K96+L96</f>
        <v>0</v>
      </c>
      <c r="O96" s="884"/>
      <c r="P96" s="320"/>
      <c r="Q96" s="320"/>
      <c r="R96" s="320"/>
      <c r="S96" s="320"/>
      <c r="Y96" s="320"/>
      <c r="Z96" s="320"/>
      <c r="AA96" s="320"/>
      <c r="AB96" s="320"/>
    </row>
    <row r="97" spans="1:28" s="752" customFormat="1">
      <c r="A97" s="460">
        <v>79</v>
      </c>
      <c r="B97" s="320" t="s">
        <v>486</v>
      </c>
      <c r="C97" s="320"/>
      <c r="D97" s="762">
        <f>Input!$SW$20</f>
        <v>0</v>
      </c>
      <c r="E97" s="762">
        <f>Input!$SX$20</f>
        <v>0</v>
      </c>
      <c r="F97" s="762">
        <f>Input!$SY$20</f>
        <v>0</v>
      </c>
      <c r="G97" s="762">
        <f>Input!$SZ$20</f>
        <v>0</v>
      </c>
      <c r="H97" s="762">
        <f>Input!$TA$20</f>
        <v>0</v>
      </c>
      <c r="I97" s="762">
        <f>Input!$TB$20</f>
        <v>0</v>
      </c>
      <c r="J97" s="762">
        <f>Input!$TC$20</f>
        <v>0</v>
      </c>
      <c r="K97" s="762">
        <f>Input!$TD$20</f>
        <v>0</v>
      </c>
      <c r="L97" s="762">
        <f>Input!$TE$20</f>
        <v>0</v>
      </c>
      <c r="M97" s="723">
        <f>D97+E97+F97+G97+H97+I97+J97+K97+L97</f>
        <v>0</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0</v>
      </c>
      <c r="E98" s="886">
        <f t="shared" si="21"/>
        <v>-556401</v>
      </c>
      <c r="F98" s="886">
        <f t="shared" si="21"/>
        <v>0</v>
      </c>
      <c r="G98" s="886">
        <f t="shared" si="21"/>
        <v>0</v>
      </c>
      <c r="H98" s="886">
        <f t="shared" si="21"/>
        <v>0</v>
      </c>
      <c r="I98" s="886">
        <f t="shared" si="21"/>
        <v>0</v>
      </c>
      <c r="J98" s="886">
        <f t="shared" si="21"/>
        <v>0</v>
      </c>
      <c r="K98" s="886">
        <f t="shared" si="21"/>
        <v>0</v>
      </c>
      <c r="L98" s="886">
        <f t="shared" si="21"/>
        <v>0</v>
      </c>
      <c r="M98" s="886">
        <f>SUM(M91:M97)</f>
        <v>-556401</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9" t="str">
        <f>Input!$VC$20</f>
        <v>Julie Meisinger</v>
      </c>
      <c r="Q103" s="1225"/>
      <c r="R103" s="1224" t="str">
        <f>Input!$VD$20</f>
        <v>817-735-2609</v>
      </c>
      <c r="S103" s="1225"/>
      <c r="T103" s="320"/>
      <c r="U103" s="1226" t="str">
        <f>HYPERLINK("Mailto:"&amp;Input!$VE$20,Input!$VE$20)</f>
        <v>julie.meisinger@unthsc.edu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Input!$TF$20</f>
        <v>-556401</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IF($L$123&lt;&gt;Input!$F$20,"Out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0</v>
      </c>
      <c r="E110" s="723">
        <f>SUM($E$10:$E$14)+SUM($E$19:$E$28)+SUM($E$50)+$E$53+SUM($E$56:$E$61)+SUM($E$65:$E$76)+SUM($E$80:$E$83)+SUM($E$87:$E$88)+SUM($E$93:$E$97)+SUM($E$32:$E$41)+$E$47</f>
        <v>556401</v>
      </c>
      <c r="F110" s="723">
        <f>SUM($F$10:$F$14)+SUM($F$19:$F$28)+SUM($F$50)+$F$53+SUM($F$56:$F$61)+SUM($F$65:$F$76)+SUM($F$80:$F$83)+SUM($F$87:$F$88)+SUM($F$93:$F$97)+SUM($F$32:$F$41)+$F$47</f>
        <v>0</v>
      </c>
      <c r="G110" s="723">
        <f>SUM($G$10:$G$14)+SUM($G$19:$G$28)+SUM($G$50)+$G$53+SUM($G$56:$G$61)+SUM($G$65:$G$76)+SUM($G$80:$G$83)+SUM($G$87:$G$88)+SUM($G$93:$G$97)+SUM($G$32:$G$41)+$G$47</f>
        <v>0</v>
      </c>
      <c r="H110" s="723">
        <f>SUM($H$10:$H$14)+SUM($H$19:$H$28)+SUM($H$50)+$H$53+SUM($H$56:$H$61)+SUM($H$65:$H$76)+SUM($H$80:$H$83)+SUM($H$87:$H$88)+SUM($H$93:$H$97)+SUM($H$32:$H$41)+$H$47</f>
        <v>0</v>
      </c>
      <c r="I110" s="723">
        <f>SUM($I$10:$I$14)+SUM($I$19:$I$28)+SUM($I$50)+$I$53+SUM($I$56:$I$61)+SUM($I$65:$I$76)+SUM($I$80:$I$83)+SUM($I$87:$I$88)+SUM($I$93:$I$97)+SUM($I$32:$I$41)+$I$47</f>
        <v>0</v>
      </c>
      <c r="J110" s="723">
        <f>SUM($J$10:$J$14)+SUM($J$19:$J$28)+SUM($J$50)+$J$53+SUM($J$56:$J$61)+SUM($J$65:$J$76)+SUM($J$80:$J$83)+SUM($J$87:$J$88)+SUM($J$93:$J$97)+SUM($J$32:$J$41)+$J$47</f>
        <v>0</v>
      </c>
      <c r="K110" s="723">
        <f>SUM($K$10:$K$14)+SUM($K$19:$K$28)+SUM($K$50)+$K$53+SUM($K$56:$K$61)+SUM($K$65:$K$76)+SUM($K$80:$K$83)+SUM($K$87:$K$88)+SUM($K$93:$K$97)+SUM($K$32:$K$41)+$K$47</f>
        <v>0</v>
      </c>
      <c r="L110" s="723">
        <f>SUM($L$10:$L$14)+SUM($L$19:$L$28)+SUM($L$50)+$L$53+SUM($L$56:$L$61)+SUM($L$65:$L$76)+SUM($L$80:$L$83)+SUM($L$87:$L$88)+SUM($L$93:$L$97)+SUM($L$32:$L$41)+$L$47</f>
        <v>0</v>
      </c>
    </row>
    <row r="111" spans="1:28" s="320" customFormat="1">
      <c r="A111" s="322"/>
      <c r="L111" s="723">
        <f>SUM($D$110:$L$110)</f>
        <v>556401</v>
      </c>
    </row>
    <row r="112" spans="1:28" s="320" customFormat="1">
      <c r="A112" s="322"/>
      <c r="J112" s="320" t="s">
        <v>690</v>
      </c>
      <c r="L112" s="723">
        <f>$M$105</f>
        <v>-556401</v>
      </c>
    </row>
    <row r="113" spans="1:12" s="320" customFormat="1">
      <c r="A113" s="322"/>
      <c r="J113" s="320" t="s">
        <v>691</v>
      </c>
      <c r="L113" s="492">
        <f>$Q$32</f>
        <v>0</v>
      </c>
    </row>
    <row r="114" spans="1:12" s="320" customFormat="1">
      <c r="A114" s="322"/>
      <c r="J114" s="320" t="s">
        <v>691</v>
      </c>
      <c r="L114" s="492">
        <f>$R$34</f>
        <v>0</v>
      </c>
    </row>
    <row r="115" spans="1:12" s="320" customFormat="1">
      <c r="A115" s="322"/>
      <c r="J115" s="320" t="s">
        <v>521</v>
      </c>
      <c r="L115" s="492">
        <f>SUM($P$65:$P$74)</f>
        <v>0</v>
      </c>
    </row>
    <row r="116" spans="1:12" s="320" customFormat="1">
      <c r="A116" s="322"/>
      <c r="J116" s="320" t="s">
        <v>692</v>
      </c>
      <c r="L116" s="492">
        <f>$S$76+$S$77</f>
        <v>0</v>
      </c>
    </row>
    <row r="117" spans="1:12" s="320" customFormat="1">
      <c r="A117" s="322"/>
      <c r="J117" s="320" t="s">
        <v>693</v>
      </c>
      <c r="L117" s="492">
        <f>SUM($Q$65:$Q$73)</f>
        <v>0</v>
      </c>
    </row>
    <row r="118" spans="1:12" s="320" customFormat="1">
      <c r="A118" s="322"/>
      <c r="J118" s="320" t="s">
        <v>694</v>
      </c>
      <c r="L118" s="492">
        <f>SUM($R$65:$R$73)</f>
        <v>0</v>
      </c>
    </row>
    <row r="119" spans="1:12" s="320" customFormat="1">
      <c r="A119" s="322"/>
      <c r="J119" s="320" t="s">
        <v>695</v>
      </c>
      <c r="L119" s="492">
        <f>SUM($X$65:$X$74)</f>
        <v>556401</v>
      </c>
    </row>
    <row r="120" spans="1:12" s="320" customFormat="1">
      <c r="A120" s="322"/>
      <c r="J120" s="320" t="s">
        <v>696</v>
      </c>
      <c r="L120" s="492">
        <f>$S$84</f>
        <v>0</v>
      </c>
    </row>
    <row r="121" spans="1:12" s="320" customFormat="1">
      <c r="A121" s="322"/>
      <c r="J121" s="320" t="s">
        <v>696</v>
      </c>
      <c r="L121" s="492">
        <f>$S$87</f>
        <v>0</v>
      </c>
    </row>
    <row r="122" spans="1:12" s="320" customFormat="1">
      <c r="A122" s="322"/>
      <c r="J122" s="320" t="s">
        <v>697</v>
      </c>
      <c r="L122" s="443">
        <f>VLOOKUP(B2,Names!$B$10:$C$96,2,FALSE)</f>
        <v>100130</v>
      </c>
    </row>
    <row r="123" spans="1:12" s="320" customFormat="1">
      <c r="A123" s="322"/>
      <c r="L123" s="898">
        <f>SUM($L$111:$L$122)</f>
        <v>656531</v>
      </c>
    </row>
    <row r="128" spans="1:12">
      <c r="L128" s="724"/>
    </row>
  </sheetData>
  <mergeCells count="26">
    <mergeCell ref="P105:V106"/>
    <mergeCell ref="G64:K64"/>
    <mergeCell ref="Q76:R76"/>
    <mergeCell ref="P100:V100"/>
    <mergeCell ref="P103:Q103"/>
    <mergeCell ref="R103:S103"/>
    <mergeCell ref="U103:V103"/>
    <mergeCell ref="P82:S82"/>
    <mergeCell ref="O19:S19"/>
    <mergeCell ref="U19:Y19"/>
    <mergeCell ref="O60:S60"/>
    <mergeCell ref="W60:Y60"/>
    <mergeCell ref="O61:O64"/>
    <mergeCell ref="P61:P64"/>
    <mergeCell ref="Q61:Q64"/>
    <mergeCell ref="R61:R64"/>
    <mergeCell ref="S61:S64"/>
    <mergeCell ref="U61:U64"/>
    <mergeCell ref="W61:W64"/>
    <mergeCell ref="X61:X64"/>
    <mergeCell ref="Y61:Y64"/>
    <mergeCell ref="B3:F3"/>
    <mergeCell ref="B4:F4"/>
    <mergeCell ref="P4:Q4"/>
    <mergeCell ref="B6:M6"/>
    <mergeCell ref="P10:P11"/>
  </mergeCells>
  <conditionalFormatting sqref="D98:L98">
    <cfRule type="cellIs" dxfId="53" priority="15" stopIfTrue="1" operator="notEqual">
      <formula>#REF!</formula>
    </cfRule>
  </conditionalFormatting>
  <conditionalFormatting sqref="D99:M99">
    <cfRule type="cellIs" dxfId="52" priority="21" stopIfTrue="1" operator="notEqual">
      <formula>#REF!</formula>
    </cfRule>
  </conditionalFormatting>
  <conditionalFormatting sqref="G64:K64">
    <cfRule type="expression" dxfId="51" priority="14">
      <formula>$R$98&lt;&gt;0</formula>
    </cfRule>
    <cfRule type="expression" dxfId="50" priority="37">
      <formula>$T$93&gt;0</formula>
    </cfRule>
  </conditionalFormatting>
  <conditionalFormatting sqref="M15">
    <cfRule type="cellIs" dxfId="49" priority="16" stopIfTrue="1" operator="notEqual">
      <formula>SUM($M$10:$M$14)</formula>
    </cfRule>
  </conditionalFormatting>
  <conditionalFormatting sqref="M62">
    <cfRule type="cellIs" dxfId="48" priority="17" stopIfTrue="1" operator="notEqual">
      <formula>SUM($M$56:$M$61)</formula>
    </cfRule>
  </conditionalFormatting>
  <conditionalFormatting sqref="M77">
    <cfRule type="cellIs" dxfId="47" priority="20" stopIfTrue="1" operator="notEqual">
      <formula>SUM($M$65:$M$76)</formula>
    </cfRule>
  </conditionalFormatting>
  <conditionalFormatting sqref="M84">
    <cfRule type="cellIs" dxfId="46" priority="18" stopIfTrue="1" operator="notEqual">
      <formula>SUM($M$80:$M$83)</formula>
    </cfRule>
  </conditionalFormatting>
  <conditionalFormatting sqref="M89">
    <cfRule type="cellIs" dxfId="45" priority="19" stopIfTrue="1" operator="notEqual">
      <formula>SUM($M$87:$M$88)</formula>
    </cfRule>
  </conditionalFormatting>
  <conditionalFormatting sqref="O12">
    <cfRule type="expression" dxfId="44" priority="11">
      <formula>$Q$12&lt;&gt;$N$12</formula>
    </cfRule>
    <cfRule type="expression" dxfId="43" priority="56">
      <formula>$P$12&lt;&gt;$M$12</formula>
    </cfRule>
  </conditionalFormatting>
  <conditionalFormatting sqref="O13">
    <cfRule type="expression" dxfId="42" priority="12">
      <formula>$Q$13&lt;&gt;$N$13</formula>
    </cfRule>
    <cfRule type="expression" dxfId="41" priority="57">
      <formula>$P$13&lt;&gt;$M$13</formula>
    </cfRule>
  </conditionalFormatting>
  <conditionalFormatting sqref="O11:P11">
    <cfRule type="expression" dxfId="40" priority="13">
      <formula>#REF!&lt;&gt;$N$11</formula>
    </cfRule>
  </conditionalFormatting>
  <conditionalFormatting sqref="P76">
    <cfRule type="expression" dxfId="39" priority="5">
      <formula>$P$75&lt;&gt;$M$75</formula>
    </cfRule>
  </conditionalFormatting>
  <conditionalFormatting sqref="P94:P101 Q100:R100 U100:V100 S100:T102 U101 R102 S105:U106">
    <cfRule type="cellIs" dxfId="38" priority="6" stopIfTrue="1" operator="notEqual">
      <formula>#REF!</formula>
    </cfRule>
  </conditionalFormatting>
  <conditionalFormatting sqref="Q35">
    <cfRule type="expression" dxfId="37" priority="1">
      <formula>#REF!&lt;&gt;0</formula>
    </cfRule>
  </conditionalFormatting>
  <conditionalFormatting sqref="Q93:Q100 U93:W100 T95:T102 R99:S102 O93:O100 R95:R97 S95:S98 X95:AB102">
    <cfRule type="cellIs" dxfId="36" priority="38" stopIfTrue="1" operator="notEqual">
      <formula>#REF!</formula>
    </cfRule>
  </conditionalFormatting>
  <conditionalFormatting sqref="Q36:R36">
    <cfRule type="expression" dxfId="35" priority="3">
      <formula>#REF!&lt;&gt;#REF!</formula>
    </cfRule>
  </conditionalFormatting>
  <conditionalFormatting sqref="R35">
    <cfRule type="expression" dxfId="34" priority="2">
      <formula>#REF!&lt;&gt;0</formula>
    </cfRule>
  </conditionalFormatting>
  <conditionalFormatting sqref="S84 S87">
    <cfRule type="expression" dxfId="33" priority="7" stopIfTrue="1">
      <formula>$M$91&gt;=0</formula>
    </cfRule>
    <cfRule type="expression" priority="8">
      <formula>$M$91&lt;0</formula>
    </cfRule>
    <cfRule type="expression" dxfId="32" priority="29" stopIfTrue="1">
      <formula>$M$91&gt;=0</formula>
    </cfRule>
    <cfRule type="expression" priority="30">
      <formula>$M$91&lt;0</formula>
    </cfRule>
    <cfRule type="expression" dxfId="31" priority="52" stopIfTrue="1">
      <formula>$N$91&gt;=0</formula>
    </cfRule>
    <cfRule type="expression" priority="53">
      <formula>$N$91&lt;0</formula>
    </cfRule>
  </conditionalFormatting>
  <conditionalFormatting sqref="S91">
    <cfRule type="expression" priority="9" stopIfTrue="1">
      <formula>$N$91&lt;0</formula>
    </cfRule>
    <cfRule type="expression" dxfId="30" priority="10">
      <formula>$T$91&lt;&gt;0</formula>
    </cfRule>
    <cfRule type="expression" priority="31" stopIfTrue="1">
      <formula>$N$91&lt;0</formula>
    </cfRule>
    <cfRule type="expression" dxfId="29" priority="32">
      <formula>$T$91&lt;&gt;0</formula>
    </cfRule>
    <cfRule type="expression" priority="54" stopIfTrue="1">
      <formula>$N$91&lt;0</formula>
    </cfRule>
    <cfRule type="expression" dxfId="28" priority="55">
      <formula>$T$91&lt;&gt;0</formula>
    </cfRule>
  </conditionalFormatting>
  <conditionalFormatting sqref="Y78">
    <cfRule type="expression" dxfId="27" priority="4">
      <formula>$Y$77&lt;&gt;0</formula>
    </cfRule>
  </conditionalFormatting>
  <hyperlinks>
    <hyperlink ref="O2" location="Index!A1" display="Return to Index" xr:uid="{00000000-0004-0000-50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2.109375" style="277" customWidth="1"/>
    <col min="11" max="16384" width="9.109375" style="277"/>
  </cols>
  <sheetData>
    <row r="1" spans="1:6">
      <c r="B1" s="742" t="str">
        <f>'UNTHSCPM Chts'!$A$1</f>
        <v>University of North Texas Health Science Center at Fort Worth Private Medical School (Priv M)</v>
      </c>
      <c r="D1" s="321" t="s">
        <v>51</v>
      </c>
    </row>
    <row r="2" spans="1:6">
      <c r="B2" s="742" t="str">
        <f>'Smmy Chts'!$A$2</f>
        <v>For the Year Ended August 31, 2022</v>
      </c>
    </row>
    <row r="3" spans="1:6">
      <c r="B3" s="742" t="str">
        <f>'Smmy Chts'!$A$3</f>
        <v>Source: FY 2022 Annual Financial Report</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str">
        <f>IF('UNTHSCPM FGD'!$S$83="N/A","FN11.  N/A",$B$14&amp;$B$15&amp;$B$16&amp;$B$17&amp;$B$18&amp;$B$19&amp;$B$20&amp;$B$21&amp;$B$22&amp;$B$23&amp;$B$24)</f>
        <v>FN11.  N/A</v>
      </c>
      <c r="E9" s="669"/>
    </row>
    <row r="14" spans="1:6">
      <c r="B14" s="277" t="s">
        <v>698</v>
      </c>
    </row>
    <row r="15" spans="1:6">
      <c r="A15" s="277">
        <v>75</v>
      </c>
      <c r="B15" s="669" t="str">
        <f>TEXT(IF('UNTHSCPM FGD'!$M$91&lt;0,"N/A",'UNTHSCPM FGD'!$M$91),"$* #,##0;$* (#,##0)")</f>
        <v>N/A</v>
      </c>
      <c r="C15" s="282"/>
      <c r="F15" s="282"/>
    </row>
    <row r="16" spans="1:6">
      <c r="B16" s="277" t="s">
        <v>699</v>
      </c>
    </row>
    <row r="17" spans="1:6">
      <c r="A17" s="277">
        <v>68</v>
      </c>
      <c r="B17" s="748" t="str">
        <f>IF(ABS('UNTHSCPM FGD'!$S$84)&gt;=1000000,TEXT('UNTHSCPM FGD'!$S$84/1000000,"$* #,##0.0;$* (#,##0.0)")&amp;" million",IF(ABS('UNTHSCPM FGD'!$S$84)&lt;1000,TEXT('UNTHSCPM FGD'!$S$84,"$* #,##0;$* (#,##0)"),TEXT('UNTHSCPM FGD'!$S$84/1000,"$* #,##0;$* (#,##0)")&amp;" thousand"))</f>
        <v>$0</v>
      </c>
      <c r="C17" s="748"/>
      <c r="F17" s="748"/>
    </row>
    <row r="18" spans="1:6">
      <c r="B18" s="277" t="s">
        <v>700</v>
      </c>
    </row>
    <row r="19" spans="1:6">
      <c r="A19" s="277">
        <v>69</v>
      </c>
      <c r="B19" s="277" t="e">
        <f>IF(ABS('UNTHSCPM FGD'!$S$85)&gt;=1000000,TEXT('UNTHSCPM FGD'!$S$85/1000000,"$* #,##0.0;$* (#,##0.0)")&amp;" million",IF(ABS('UNTHSCPM FGD'!$S$85)&lt;1000,TEXT('UNTHSCPM FGD'!$S$85,"$* #,##0;$* (#,##0)"),TEXT('UNTHSCPM FGD'!$S$85/1000,"$* #,##0;$* (#,##0)")&amp;" thousand"))</f>
        <v>#VALUE!</v>
      </c>
    </row>
    <row r="20" spans="1:6">
      <c r="B20" s="277" t="s">
        <v>701</v>
      </c>
    </row>
    <row r="21" spans="1:6">
      <c r="A21" s="277">
        <v>71</v>
      </c>
      <c r="B21" s="277" t="str">
        <f>IF(ABS('UNTHSCPM FGD'!$S$87)&gt;=1000000,TEXT('UNTHSCPM FGD'!$S$87/1000000,"$* #,##0.0;$* (#,##0.0)")&amp;" million",IF(ABS('UNTHSCPM FGD'!$S$87)&lt;1000,TEXT('UNTHSCPM FGD'!$S$87,"$* #,##0;$* (#,##0)"),TEXT('UNTHSCPM FGD'!$S$87/1000,"$* #,##0;$* (#,##0)")&amp;" thousand"))</f>
        <v>$0</v>
      </c>
    </row>
    <row r="22" spans="1:6">
      <c r="B22" s="277" t="s">
        <v>702</v>
      </c>
    </row>
    <row r="23" spans="1:6">
      <c r="A23" s="277">
        <v>73</v>
      </c>
      <c r="B23" s="277" t="e">
        <f>IF(ABS('UNTHSCPM FGD'!$S$89)&gt;=1000000,TEXT('UNTHSCPM FGD'!$S$89/1000000,"$* #,##0.0;$* (#,##0.0)")&amp;" million",IF(ABS('UNTHSCPM FGD'!$S$89)&lt;1000,TEXT('UNTHSCPM FGD'!$S$89,"$* #,##0;$* (#,##0)"),TEXT('UNTHSCPM FGD'!$S$89/1000,"$* #,##0;$* (#,##0)")&amp;" thousand"))</f>
        <v>#VALUE!</v>
      </c>
    </row>
    <row r="24" spans="1:6">
      <c r="B24" s="277" t="s">
        <v>703</v>
      </c>
    </row>
  </sheetData>
  <hyperlinks>
    <hyperlink ref="D1" location="Index!A1" display="Return to Index" xr:uid="{00000000-0004-0000-5100-000000000000}"/>
  </hyperlinks>
  <pageMargins left="0.25" right="0.25" top="0.5" bottom="0.25" header="0.5" footer="0.5"/>
  <pageSetup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indexed="47"/>
    <pageSetUpPr fitToPage="1"/>
  </sheetPr>
  <dimension ref="A1:E153"/>
  <sheetViews>
    <sheetView showGridLines="0" zoomScale="65" zoomScaleNormal="65" workbookViewId="0">
      <selection activeCell="B4" sqref="A1:XFD1048576"/>
    </sheetView>
  </sheetViews>
  <sheetFormatPr defaultColWidth="9.109375" defaultRowHeight="13.5" customHeight="1"/>
  <cols>
    <col min="1" max="1" width="158.33203125" style="277" customWidth="1"/>
    <col min="2" max="2" width="13.5546875" style="277" customWidth="1"/>
    <col min="3" max="3" width="55" style="277" customWidth="1"/>
    <col min="4" max="4" width="20.109375" style="277" customWidth="1"/>
    <col min="5" max="16384" width="9.109375" style="277"/>
  </cols>
  <sheetData>
    <row r="1" spans="1:5" ht="27.75" customHeight="1">
      <c r="A1" s="989" t="s">
        <v>34</v>
      </c>
      <c r="D1" s="321" t="s">
        <v>51</v>
      </c>
    </row>
    <row r="2" spans="1:5" ht="27.75" customHeight="1">
      <c r="A2" s="990" t="str">
        <f>'Smmy Chts'!$A$2</f>
        <v>For the Year Ended August 31, 2022</v>
      </c>
    </row>
    <row r="3" spans="1:5" ht="27" customHeight="1">
      <c r="A3" s="990" t="str">
        <f>'Smmy Chts'!$A$3</f>
        <v>Source: FY 2022 Annual Financial Report</v>
      </c>
      <c r="C3" s="991" t="s">
        <v>493</v>
      </c>
    </row>
    <row r="4" spans="1:5" ht="19.5" customHeight="1">
      <c r="A4" s="279" t="s">
        <v>718</v>
      </c>
      <c r="C4" s="991" t="s">
        <v>494</v>
      </c>
    </row>
    <row r="5" spans="1:5" ht="12.9" customHeight="1">
      <c r="C5" s="991" t="s">
        <v>495</v>
      </c>
    </row>
    <row r="6" spans="1:5" ht="12.9" customHeight="1"/>
    <row r="7" spans="1:5" ht="12.9" customHeight="1"/>
    <row r="8" spans="1:5" ht="12.9" customHeight="1"/>
    <row r="9" spans="1:5" ht="12.9" customHeight="1">
      <c r="C9" s="1138" t="s">
        <v>496</v>
      </c>
      <c r="D9" s="1138"/>
    </row>
    <row r="10" spans="1:5" ht="12.9" customHeight="1">
      <c r="C10" s="991"/>
      <c r="D10" s="992"/>
    </row>
    <row r="11" spans="1:5" ht="12.9" customHeight="1">
      <c r="C11" s="993" t="str">
        <f>'UNTHSC Sum'!A9</f>
        <v>State of Texas</v>
      </c>
      <c r="D11" s="994">
        <f>'UNTHSC Sum'!B15</f>
        <v>129494349</v>
      </c>
      <c r="E11" s="995">
        <f>ROUND(D11/$D$17,3)</f>
        <v>0.41399999999999998</v>
      </c>
    </row>
    <row r="12" spans="1:5" ht="12.9" customHeight="1">
      <c r="C12" s="993" t="str">
        <f>'UNTHSC Sum'!A17</f>
        <v>Student &amp; Parent</v>
      </c>
      <c r="D12" s="994">
        <f>'UNTHSC Sum'!B20</f>
        <v>34477812</v>
      </c>
      <c r="E12" s="995">
        <f t="shared" ref="E12:E15" si="0">ROUND(D12/$D$17,3)</f>
        <v>0.11</v>
      </c>
    </row>
    <row r="13" spans="1:5" ht="12.9" customHeight="1">
      <c r="C13" s="993" t="str">
        <f>'UNTHSC Sum'!A22</f>
        <v>Federal Government</v>
      </c>
      <c r="D13" s="994">
        <f>'UNTHSC Sum'!B23</f>
        <v>55261728</v>
      </c>
      <c r="E13" s="995">
        <f t="shared" si="0"/>
        <v>0.17699999999999999</v>
      </c>
    </row>
    <row r="14" spans="1:5" ht="12.9" customHeight="1">
      <c r="C14" s="993" t="str">
        <f>'UNTHSC Sum'!A31</f>
        <v>Institutional Resources</v>
      </c>
      <c r="D14" s="994">
        <f>'UNTHSC Sum'!B38</f>
        <v>80925325</v>
      </c>
      <c r="E14" s="995">
        <f t="shared" si="0"/>
        <v>0.25900000000000001</v>
      </c>
    </row>
    <row r="15" spans="1:5" ht="12.9" customHeight="1">
      <c r="C15" s="996" t="s">
        <v>497</v>
      </c>
      <c r="D15" s="994">
        <f>'UNTHSC Sum'!B29+'UNTHSC Sum'!B26</f>
        <v>12885666</v>
      </c>
      <c r="E15" s="995">
        <f t="shared" si="0"/>
        <v>4.1000000000000002E-2</v>
      </c>
    </row>
    <row r="16" spans="1:5" ht="12.9" customHeight="1">
      <c r="C16" s="991"/>
      <c r="D16" s="992"/>
    </row>
    <row r="17" spans="3:5" ht="12.9" customHeight="1">
      <c r="C17" s="997" t="s">
        <v>201</v>
      </c>
      <c r="D17" s="998">
        <f>SUM(D11:D16)</f>
        <v>313044880</v>
      </c>
      <c r="E17" s="999">
        <f>SUM(E11:E15)</f>
        <v>1.0010000000000001</v>
      </c>
    </row>
    <row r="18" spans="3:5" ht="12.9" customHeight="1">
      <c r="E18" s="999"/>
    </row>
    <row r="19" spans="3:5" ht="12.9" customHeight="1"/>
    <row r="20" spans="3:5" ht="12.9" customHeight="1"/>
    <row r="21" spans="3:5" ht="12.9" customHeight="1">
      <c r="C21" s="320" t="s">
        <v>498</v>
      </c>
    </row>
    <row r="22" spans="3:5" ht="12.9" customHeight="1">
      <c r="C22" s="320" t="s">
        <v>499</v>
      </c>
    </row>
    <row r="23" spans="3:5" ht="12.9" customHeight="1">
      <c r="C23" s="320" t="s">
        <v>500</v>
      </c>
    </row>
    <row r="24" spans="3:5" ht="12.9" customHeight="1">
      <c r="C24" s="320" t="s">
        <v>501</v>
      </c>
    </row>
    <row r="25" spans="3:5" ht="12.9" customHeight="1"/>
    <row r="26" spans="3:5" ht="12.9" customHeight="1"/>
    <row r="27" spans="3:5" ht="12.9" customHeight="1"/>
    <row r="28" spans="3:5" ht="12.9" customHeight="1"/>
    <row r="29" spans="3:5" ht="12.9" customHeight="1"/>
    <row r="30" spans="3:5" ht="12.9" customHeight="1"/>
    <row r="31" spans="3:5" ht="12.9" customHeight="1"/>
    <row r="32" spans="3:5" ht="12.9" customHeight="1"/>
    <row r="33" spans="1:1" ht="12.9" customHeight="1"/>
    <row r="34" spans="1:1" ht="12.9" customHeight="1"/>
    <row r="35" spans="1:1" ht="12.9" customHeight="1"/>
    <row r="36" spans="1:1" ht="12.9" customHeight="1"/>
    <row r="37" spans="1:1" ht="12.9" customHeight="1"/>
    <row r="38" spans="1:1" ht="12.9" customHeight="1"/>
    <row r="39" spans="1:1" ht="12.9" customHeight="1"/>
    <row r="40" spans="1:1" ht="12.9" customHeight="1"/>
    <row r="41" spans="1:1" ht="12.9" customHeight="1"/>
    <row r="42" spans="1:1" ht="12.9" customHeight="1"/>
    <row r="43" spans="1:1" ht="12.9" customHeight="1"/>
    <row r="44" spans="1:1" ht="12.9" customHeight="1"/>
    <row r="45" spans="1:1" ht="12.9" customHeight="1"/>
    <row r="46" spans="1:1" ht="12.9" customHeight="1"/>
    <row r="47" spans="1:1" ht="12.9" customHeight="1">
      <c r="A47" s="1136" t="str">
        <f>C17&amp;" "&amp;TEXT(D17,"$#,###")</f>
        <v>Total Operating Sources $313,044,880</v>
      </c>
    </row>
    <row r="48" spans="1:1" ht="12.9" customHeight="1">
      <c r="A48" s="1136"/>
    </row>
    <row r="49" spans="3:5" ht="12.9" customHeight="1"/>
    <row r="50" spans="3:5" ht="12.9" customHeight="1">
      <c r="C50" s="1000" t="s">
        <v>496</v>
      </c>
      <c r="D50" s="1000"/>
    </row>
    <row r="51" spans="3:5" ht="12.9" customHeight="1">
      <c r="C51" s="991"/>
      <c r="D51" s="992"/>
    </row>
    <row r="52" spans="3:5" ht="12.9" customHeight="1">
      <c r="C52" s="991"/>
      <c r="D52" s="991"/>
    </row>
    <row r="53" spans="3:5" ht="15" customHeight="1">
      <c r="C53" s="993" t="s">
        <v>101</v>
      </c>
      <c r="D53" s="994">
        <f>'UNTHSC Sum'!B10</f>
        <v>112276178</v>
      </c>
      <c r="E53" s="995">
        <f>ROUND(D53/$D$68,3)</f>
        <v>0.35899999999999999</v>
      </c>
    </row>
    <row r="54" spans="3:5" ht="15" customHeight="1">
      <c r="C54" s="993" t="s">
        <v>510</v>
      </c>
      <c r="D54" s="994">
        <f>'UNTHSC Sum'!B11</f>
        <v>2092669</v>
      </c>
      <c r="E54" s="995">
        <f t="shared" ref="E54:E67" si="1">ROUND(D54/$D$68,3)</f>
        <v>7.0000000000000001E-3</v>
      </c>
    </row>
    <row r="55" spans="3:5" ht="12.9" customHeight="1">
      <c r="C55" s="1001"/>
      <c r="D55" s="994"/>
      <c r="E55" s="995"/>
    </row>
    <row r="56" spans="3:5" ht="16.5" customHeight="1">
      <c r="C56" s="993" t="str">
        <f>'UNTHSC Sum'!A13</f>
        <v>Higher Education Fund</v>
      </c>
      <c r="D56" s="994">
        <f>'UNTHSC Sum'!B13</f>
        <v>15125502</v>
      </c>
      <c r="E56" s="995">
        <f t="shared" si="1"/>
        <v>4.8000000000000001E-2</v>
      </c>
    </row>
    <row r="57" spans="3:5" ht="16.5" customHeight="1">
      <c r="C57" s="1001" t="s">
        <v>511</v>
      </c>
      <c r="D57" s="994">
        <f>'UNTHSC Sum'!B14</f>
        <v>0</v>
      </c>
      <c r="E57" s="995">
        <f t="shared" si="1"/>
        <v>0</v>
      </c>
    </row>
    <row r="58" spans="3:5" ht="12.9" customHeight="1">
      <c r="C58" s="993" t="s">
        <v>460</v>
      </c>
      <c r="D58" s="994">
        <f>'UNTHSC Sum'!B20</f>
        <v>34477812</v>
      </c>
      <c r="E58" s="995">
        <f t="shared" si="1"/>
        <v>0.11</v>
      </c>
    </row>
    <row r="59" spans="3:5" ht="12.9" customHeight="1">
      <c r="C59" s="993" t="s">
        <v>512</v>
      </c>
      <c r="D59" s="994">
        <f>'UNTHSC Sum'!B23</f>
        <v>55261728</v>
      </c>
      <c r="E59" s="995">
        <f t="shared" si="1"/>
        <v>0.17699999999999999</v>
      </c>
    </row>
    <row r="60" spans="3:5" ht="12.9" customHeight="1">
      <c r="C60" s="993" t="s">
        <v>513</v>
      </c>
      <c r="D60" s="994">
        <f>'UNTHSC Sum'!B32</f>
        <v>16617179</v>
      </c>
      <c r="E60" s="995">
        <f t="shared" si="1"/>
        <v>5.2999999999999999E-2</v>
      </c>
    </row>
    <row r="61" spans="3:5" ht="12.9" customHeight="1">
      <c r="C61" s="993" t="s">
        <v>514</v>
      </c>
      <c r="D61" s="994">
        <f>'UNTHSC Sum'!B33</f>
        <v>1046856</v>
      </c>
      <c r="E61" s="995">
        <f t="shared" si="1"/>
        <v>3.0000000000000001E-3</v>
      </c>
    </row>
    <row r="62" spans="3:5" ht="12.9" customHeight="1">
      <c r="C62" s="993" t="s">
        <v>515</v>
      </c>
      <c r="D62" s="994">
        <f>'UNTHSC Sum'!B34</f>
        <v>3951843</v>
      </c>
      <c r="E62" s="995">
        <f t="shared" si="1"/>
        <v>1.2999999999999999E-2</v>
      </c>
    </row>
    <row r="63" spans="3:5" ht="12.9" customHeight="1">
      <c r="C63" s="993" t="s">
        <v>516</v>
      </c>
      <c r="D63" s="994">
        <f>'UNTHSC Sum'!B35</f>
        <v>52490499</v>
      </c>
      <c r="E63" s="995">
        <f t="shared" si="1"/>
        <v>0.16800000000000001</v>
      </c>
    </row>
    <row r="64" spans="3:5" ht="12.9" customHeight="1">
      <c r="C64" s="993" t="s">
        <v>176</v>
      </c>
      <c r="D64" s="994">
        <f>'UNTHSC Sum'!B36</f>
        <v>695653</v>
      </c>
      <c r="E64" s="995">
        <f t="shared" si="1"/>
        <v>2E-3</v>
      </c>
    </row>
    <row r="65" spans="3:5" ht="12.9" customHeight="1">
      <c r="C65" s="993" t="s">
        <v>517</v>
      </c>
      <c r="D65" s="994">
        <f>'UNTHSC Sum'!B37</f>
        <v>6123295</v>
      </c>
      <c r="E65" s="995">
        <f t="shared" si="1"/>
        <v>0.02</v>
      </c>
    </row>
    <row r="66" spans="3:5" ht="12.9" customHeight="1">
      <c r="C66" s="993" t="s">
        <v>163</v>
      </c>
      <c r="D66" s="994">
        <f>'UNTHSC Sum'!B26</f>
        <v>12885666</v>
      </c>
      <c r="E66" s="995">
        <f t="shared" si="1"/>
        <v>4.1000000000000002E-2</v>
      </c>
    </row>
    <row r="67" spans="3:5" ht="12.9" customHeight="1">
      <c r="C67" s="1002" t="s">
        <v>497</v>
      </c>
      <c r="D67" s="994">
        <f>'UNTHSC Sum'!B29</f>
        <v>0</v>
      </c>
      <c r="E67" s="995">
        <f t="shared" si="1"/>
        <v>0</v>
      </c>
    </row>
    <row r="68" spans="3:5" ht="12.9" customHeight="1">
      <c r="C68" s="997" t="s">
        <v>201</v>
      </c>
      <c r="D68" s="998">
        <f>SUM(D53:D67)</f>
        <v>313044880</v>
      </c>
      <c r="E68" s="999">
        <f>SUM(E53:E67)</f>
        <v>1.0010000000000001</v>
      </c>
    </row>
    <row r="69" spans="3:5" ht="12.9" customHeight="1">
      <c r="E69" s="999"/>
    </row>
    <row r="70" spans="3:5" ht="12.9" customHeight="1"/>
    <row r="71" spans="3:5" ht="12.9" customHeight="1"/>
    <row r="72" spans="3:5" ht="12.9" customHeight="1"/>
    <row r="73" spans="3:5" ht="12.9" customHeight="1"/>
    <row r="74" spans="3:5" ht="12.9" customHeight="1"/>
    <row r="75" spans="3:5" ht="12.9" customHeight="1"/>
    <row r="76" spans="3:5" ht="12.9" customHeight="1"/>
    <row r="77" spans="3:5" ht="12.9" customHeight="1"/>
    <row r="78" spans="3:5" ht="12.9" customHeight="1"/>
    <row r="79" spans="3:5" ht="12.9" customHeight="1"/>
    <row r="80" spans="3:5" ht="12.9" customHeight="1"/>
    <row r="81" spans="1:1" ht="12.9" customHeight="1"/>
    <row r="82" spans="1:1" ht="12.9" customHeight="1">
      <c r="A82" s="1003"/>
    </row>
    <row r="83" spans="1:1" ht="12.9" customHeight="1">
      <c r="A83" s="1003"/>
    </row>
    <row r="84" spans="1:1" ht="12.9" customHeight="1">
      <c r="A84" s="1003"/>
    </row>
    <row r="85" spans="1:1" ht="12.9" customHeight="1">
      <c r="A85" s="1003"/>
    </row>
    <row r="86" spans="1:1" ht="12.9" customHeight="1">
      <c r="A86" s="1003"/>
    </row>
    <row r="87" spans="1:1" ht="12.9" customHeight="1">
      <c r="A87" s="1003"/>
    </row>
    <row r="88" spans="1:1" ht="12.9" customHeight="1">
      <c r="A88" s="1003"/>
    </row>
    <row r="89" spans="1:1" ht="12.9" customHeight="1">
      <c r="A89" s="1003"/>
    </row>
    <row r="90" spans="1:1" ht="12.9" customHeight="1">
      <c r="A90" s="1003"/>
    </row>
    <row r="91" spans="1:1" ht="12.9" customHeight="1">
      <c r="A91" s="1003"/>
    </row>
    <row r="92" spans="1:1" ht="12.9" customHeight="1">
      <c r="A92" s="1136" t="str">
        <f>C68&amp;" "&amp;TEXT(D68,"$#,###")</f>
        <v>Total Operating Sources $313,044,880</v>
      </c>
    </row>
    <row r="93" spans="1:1" ht="12.9" customHeight="1">
      <c r="A93" s="1136"/>
    </row>
    <row r="94" spans="1:1" ht="12.9" customHeight="1">
      <c r="A94" s="1003"/>
    </row>
    <row r="95" spans="1:1" ht="12.9" customHeight="1">
      <c r="A95" s="1003"/>
    </row>
    <row r="96" spans="1:1" ht="12.9" customHeight="1">
      <c r="A96" s="1003"/>
    </row>
    <row r="97" spans="1:5" ht="12.9" customHeight="1">
      <c r="A97" s="1003"/>
    </row>
    <row r="98" spans="1:5" ht="12.9" customHeight="1">
      <c r="A98" s="1003"/>
    </row>
    <row r="99" spans="1:5" ht="12.9" customHeight="1"/>
    <row r="100" spans="1:5" ht="12.9" customHeight="1">
      <c r="C100" s="1137" t="s">
        <v>518</v>
      </c>
      <c r="D100" s="1137"/>
    </row>
    <row r="101" spans="1:5" ht="12.9" customHeight="1">
      <c r="C101" s="1137"/>
      <c r="D101" s="1137"/>
    </row>
    <row r="102" spans="1:5" ht="12.9" customHeight="1">
      <c r="C102" s="1004" t="s">
        <v>92</v>
      </c>
      <c r="D102" s="994">
        <f>'UNTHSC Sum'!B42</f>
        <v>79560385</v>
      </c>
      <c r="E102" s="995">
        <f>ROUND(D102/$D$115,3)</f>
        <v>0.30299999999999999</v>
      </c>
    </row>
    <row r="103" spans="1:5" ht="12.9" customHeight="1">
      <c r="C103" s="1004" t="s">
        <v>179</v>
      </c>
      <c r="D103" s="994">
        <f>'UNTHSC Sum'!B43</f>
        <v>46416280</v>
      </c>
      <c r="E103" s="995">
        <f t="shared" ref="E103:E113" si="2">ROUND(D103/$D$115,3)</f>
        <v>0.17699999999999999</v>
      </c>
    </row>
    <row r="104" spans="1:5" ht="12.9" customHeight="1">
      <c r="C104" s="1004" t="s">
        <v>180</v>
      </c>
      <c r="D104" s="994">
        <f>'UNTHSC Sum'!B44</f>
        <v>46516667</v>
      </c>
      <c r="E104" s="995">
        <f t="shared" si="2"/>
        <v>0.17699999999999999</v>
      </c>
    </row>
    <row r="105" spans="1:5" ht="12.9" customHeight="1">
      <c r="C105" s="1004" t="s">
        <v>181</v>
      </c>
      <c r="D105" s="994">
        <f>'UNTHSC Sum'!B46</f>
        <v>27944229</v>
      </c>
      <c r="E105" s="995">
        <f t="shared" si="2"/>
        <v>0.106</v>
      </c>
    </row>
    <row r="106" spans="1:5" ht="12.9" customHeight="1">
      <c r="C106" s="1004" t="s">
        <v>182</v>
      </c>
      <c r="D106" s="994">
        <f>'UNTHSC Sum'!B47</f>
        <v>8018588</v>
      </c>
      <c r="E106" s="995">
        <f t="shared" si="2"/>
        <v>3.1E-2</v>
      </c>
    </row>
    <row r="107" spans="1:5" ht="12.9" customHeight="1">
      <c r="C107" s="1004" t="s">
        <v>183</v>
      </c>
      <c r="D107" s="994">
        <f>'UNTHSC Sum'!B48</f>
        <v>21860988</v>
      </c>
      <c r="E107" s="995">
        <f t="shared" si="2"/>
        <v>8.3000000000000004E-2</v>
      </c>
    </row>
    <row r="108" spans="1:5" ht="12.9" customHeight="1">
      <c r="C108" s="1004" t="s">
        <v>519</v>
      </c>
      <c r="D108" s="994">
        <f>'UNTHSC Sum'!B49</f>
        <v>17048260</v>
      </c>
      <c r="E108" s="995">
        <f t="shared" si="2"/>
        <v>6.5000000000000002E-2</v>
      </c>
    </row>
    <row r="109" spans="1:5" ht="12.9" customHeight="1">
      <c r="C109" s="1004" t="s">
        <v>520</v>
      </c>
      <c r="D109" s="994">
        <f>'UNTHSC Sum'!B50</f>
        <v>2612265</v>
      </c>
      <c r="E109" s="995">
        <f t="shared" si="2"/>
        <v>0.01</v>
      </c>
    </row>
    <row r="110" spans="1:5" ht="12.9" customHeight="1">
      <c r="C110" s="1004" t="s">
        <v>186</v>
      </c>
      <c r="D110" s="994">
        <f>'UNTHSC Sum'!B51</f>
        <v>177508</v>
      </c>
      <c r="E110" s="995">
        <f t="shared" si="2"/>
        <v>1E-3</v>
      </c>
    </row>
    <row r="111" spans="1:5" ht="12.9" customHeight="1">
      <c r="C111" s="1004" t="s">
        <v>521</v>
      </c>
      <c r="D111" s="994">
        <f>'UNTHSC Sum'!B52</f>
        <v>11895376</v>
      </c>
      <c r="E111" s="995">
        <f t="shared" si="2"/>
        <v>4.4999999999999998E-2</v>
      </c>
    </row>
    <row r="112" spans="1:5" ht="12.9" customHeight="1">
      <c r="C112" s="993" t="s">
        <v>522</v>
      </c>
      <c r="D112" s="994">
        <f>'UNTHSC Sum'!B53</f>
        <v>520360</v>
      </c>
      <c r="E112" s="995">
        <f t="shared" si="2"/>
        <v>2E-3</v>
      </c>
    </row>
    <row r="113" spans="3:5" ht="12.9" customHeight="1">
      <c r="C113" s="996" t="s">
        <v>523</v>
      </c>
      <c r="D113" s="994">
        <f>'UNTHSC Sum'!B45</f>
        <v>0</v>
      </c>
      <c r="E113" s="995">
        <f t="shared" si="2"/>
        <v>0</v>
      </c>
    </row>
    <row r="114" spans="3:5" ht="12.9" customHeight="1">
      <c r="C114" s="991"/>
      <c r="D114" s="991"/>
      <c r="E114" s="999"/>
    </row>
    <row r="115" spans="3:5" ht="12.9" customHeight="1">
      <c r="C115" s="1005" t="s">
        <v>189</v>
      </c>
      <c r="D115" s="998">
        <f>SUM(D102:D114)</f>
        <v>262570906</v>
      </c>
      <c r="E115" s="999">
        <f>SUM(E102:E113)</f>
        <v>1</v>
      </c>
    </row>
    <row r="116" spans="3:5" ht="12.9" customHeight="1">
      <c r="E116" s="999"/>
    </row>
    <row r="117" spans="3:5" ht="12.9" customHeight="1"/>
    <row r="118" spans="3:5" ht="12.9" customHeight="1"/>
    <row r="119" spans="3:5" ht="12.9" customHeight="1"/>
    <row r="120" spans="3:5" ht="12.9" customHeight="1"/>
    <row r="121" spans="3:5" ht="12.9" customHeight="1"/>
    <row r="122" spans="3:5" ht="12.9" customHeight="1"/>
    <row r="123" spans="3:5" ht="12.9" customHeight="1"/>
    <row r="124" spans="3:5" ht="12.9" customHeight="1"/>
    <row r="125" spans="3:5" ht="12.9" customHeight="1"/>
    <row r="126" spans="3:5" ht="12.9" customHeight="1"/>
    <row r="127" spans="3:5" ht="12.9" customHeight="1"/>
    <row r="128" spans="3:5" ht="12.9" customHeight="1"/>
    <row r="129" spans="1:1" ht="12.9" customHeight="1"/>
    <row r="130" spans="1:1" ht="12.9" customHeight="1"/>
    <row r="131" spans="1:1" ht="12.9" customHeight="1"/>
    <row r="132" spans="1:1" ht="12.9" customHeight="1"/>
    <row r="133" spans="1:1" ht="12.9" customHeight="1"/>
    <row r="134" spans="1:1" ht="12.9" customHeight="1"/>
    <row r="135" spans="1:1" ht="12.9" customHeight="1"/>
    <row r="136" spans="1:1" ht="12.9" customHeight="1">
      <c r="A136" s="1136" t="str">
        <f>C115&amp;" "&amp;TEXT(D115,"$#,###")</f>
        <v>Total Operating Uses $262,570,906</v>
      </c>
    </row>
    <row r="137" spans="1:1" ht="12.9" customHeight="1">
      <c r="A137" s="1136"/>
    </row>
    <row r="138" spans="1:1" ht="12.9" customHeight="1"/>
    <row r="139" spans="1:1" ht="12.9" customHeight="1">
      <c r="A139" s="1006" t="s">
        <v>524</v>
      </c>
    </row>
    <row r="140" spans="1:1" ht="12.75" customHeight="1">
      <c r="A140" s="276" t="s">
        <v>525</v>
      </c>
    </row>
    <row r="141" spans="1:1" ht="12.9" customHeight="1"/>
    <row r="142" spans="1:1" ht="12.9" customHeight="1"/>
    <row r="143" spans="1:1" ht="12.9" customHeight="1"/>
    <row r="144" spans="1:1" ht="12.9" customHeight="1"/>
    <row r="145" spans="1:1" ht="12.9" customHeight="1"/>
    <row r="146" spans="1:1" ht="12.9" customHeight="1"/>
    <row r="147" spans="1:1" ht="12.9" customHeight="1">
      <c r="A147" s="279"/>
    </row>
    <row r="148" spans="1:1" ht="12.9" customHeight="1">
      <c r="A148" s="279"/>
    </row>
    <row r="149" spans="1:1" ht="12.9" customHeight="1">
      <c r="A149" s="279"/>
    </row>
    <row r="150" spans="1:1" ht="12.9" customHeight="1"/>
    <row r="151" spans="1:1" ht="12.9" customHeight="1"/>
    <row r="152" spans="1:1" ht="12.9" customHeight="1"/>
    <row r="153" spans="1:1" ht="12.9" customHeight="1"/>
  </sheetData>
  <mergeCells count="6">
    <mergeCell ref="A136:A137"/>
    <mergeCell ref="C9:D9"/>
    <mergeCell ref="A47:A48"/>
    <mergeCell ref="A92:A93"/>
    <mergeCell ref="C100:D100"/>
    <mergeCell ref="C101:D101"/>
  </mergeCells>
  <hyperlinks>
    <hyperlink ref="D1" location="Index!A1" display="Return to Index" xr:uid="{00000000-0004-0000-5200-000000000000}"/>
  </hyperlinks>
  <printOptions horizontalCentered="1"/>
  <pageMargins left="0.5" right="0.5" top="0.25" bottom="0.25" header="0.25" footer="0.25"/>
  <pageSetup scale="41" orientation="portrait" r:id="rId1"/>
  <headerFooter alignWithMargins="0"/>
  <drawing r:id="rId2"/>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ransitionEvaluation="1" transitionEntry="1">
    <tabColor indexed="13"/>
  </sheetPr>
  <dimension ref="A1:AD83"/>
  <sheetViews>
    <sheetView showGridLines="0" zoomScale="85" zoomScaleNormal="85" workbookViewId="0">
      <pane xSplit="2" ySplit="6" topLeftCell="C7"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68.6640625" style="277" customWidth="1"/>
    <col min="2" max="2" width="17.88671875" style="277" customWidth="1"/>
    <col min="3" max="3" width="14.6640625" style="320" customWidth="1"/>
    <col min="4" max="4" width="16" style="320" customWidth="1"/>
    <col min="5" max="5" width="16.33203125" style="320" customWidth="1"/>
    <col min="6" max="6" width="17" style="320" customWidth="1"/>
    <col min="7" max="7" width="18.33203125" style="320" customWidth="1"/>
    <col min="8" max="8" width="23.33203125" style="320" customWidth="1"/>
    <col min="9" max="9" width="16.5546875" style="320" customWidth="1"/>
    <col min="10" max="10" width="17.6640625" style="320" customWidth="1"/>
    <col min="11" max="11" width="16.44140625" style="320" customWidth="1"/>
    <col min="12" max="12" width="15" style="320" customWidth="1"/>
    <col min="13" max="13" width="14.109375" style="320" customWidth="1"/>
    <col min="14" max="14" width="13.109375" style="320" customWidth="1"/>
    <col min="15" max="15" width="13.33203125" style="277" customWidth="1"/>
    <col min="16" max="16384" width="9.109375" style="277"/>
  </cols>
  <sheetData>
    <row r="1" spans="1:15" ht="16.8" thickTop="1" thickBot="1">
      <c r="A1" s="899" t="str">
        <f>'UNTHSC Chts'!$A$1</f>
        <v>University of North Texas Health Science Center at Fort Worth (Public Medical + Private Medical)</v>
      </c>
      <c r="B1" s="754"/>
      <c r="C1" s="754"/>
      <c r="E1" s="321" t="s">
        <v>51</v>
      </c>
      <c r="F1" s="1144" t="s">
        <v>526</v>
      </c>
      <c r="G1" s="1145"/>
      <c r="H1" s="1145"/>
      <c r="I1" s="1146"/>
      <c r="J1" s="1139"/>
      <c r="K1" s="1140"/>
      <c r="L1" s="1140"/>
      <c r="M1" s="1140"/>
      <c r="N1" s="1140"/>
      <c r="O1" s="1141"/>
    </row>
    <row r="2" spans="1:15" ht="16.2" thickTop="1">
      <c r="A2" s="900" t="str">
        <f>'Smmy Chts'!$A$2</f>
        <v>For the Year Ended August 31, 2022</v>
      </c>
      <c r="B2" s="754"/>
      <c r="C2" s="754"/>
      <c r="D2" s="901"/>
      <c r="E2" s="901"/>
      <c r="F2" s="901"/>
      <c r="G2" s="320">
        <f>VLOOKUP(A1,NamesLU,2,FALSE)</f>
        <v>999130</v>
      </c>
      <c r="J2" s="901"/>
      <c r="K2" s="901"/>
      <c r="L2" s="901"/>
      <c r="M2" s="901"/>
      <c r="O2" s="320"/>
    </row>
    <row r="3" spans="1:15" ht="15.75" customHeight="1">
      <c r="A3" s="900" t="str">
        <f>'Smmy Chts'!$A$3</f>
        <v>Source: FY 2022 Annual Financial Report</v>
      </c>
      <c r="B3" s="754"/>
      <c r="C3" s="754"/>
      <c r="O3" s="320"/>
    </row>
    <row r="4" spans="1:15" ht="13.5" customHeight="1">
      <c r="A4" s="279" t="s">
        <v>719</v>
      </c>
      <c r="B4" s="282"/>
      <c r="C4" s="322"/>
      <c r="D4" s="902"/>
      <c r="E4" s="1142" t="s">
        <v>528</v>
      </c>
      <c r="O4" s="320"/>
    </row>
    <row r="5" spans="1:15" ht="17.399999999999999">
      <c r="A5" s="903" t="str">
        <f>'Smmy Chts'!$C$35</f>
        <v>Summary Worksheet FY 2022</v>
      </c>
      <c r="B5" s="904" t="s">
        <v>458</v>
      </c>
      <c r="C5" s="904" t="s">
        <v>148</v>
      </c>
      <c r="D5" s="905" t="s">
        <v>380</v>
      </c>
      <c r="E5" s="1143"/>
      <c r="G5" s="906" t="s">
        <v>529</v>
      </c>
      <c r="I5" s="907" t="s">
        <v>622</v>
      </c>
      <c r="J5" s="908" t="s">
        <v>148</v>
      </c>
      <c r="O5" s="320"/>
    </row>
    <row r="6" spans="1:15" ht="13.5" customHeight="1">
      <c r="A6" s="279" t="s">
        <v>147</v>
      </c>
      <c r="B6" s="909"/>
      <c r="C6" s="427">
        <f>VLOOKUP($G$2,FTSELU,10,FALSE)</f>
        <v>2988.4</v>
      </c>
      <c r="J6" s="910"/>
      <c r="O6" s="320"/>
    </row>
    <row r="7" spans="1:15">
      <c r="B7" s="909"/>
      <c r="C7" s="909"/>
      <c r="I7" s="446" t="s">
        <v>533</v>
      </c>
      <c r="J7" s="911"/>
      <c r="O7" s="320"/>
    </row>
    <row r="8" spans="1:15">
      <c r="A8" s="912" t="s">
        <v>151</v>
      </c>
      <c r="B8" s="912"/>
      <c r="C8" s="913"/>
      <c r="I8" s="914">
        <f>VLOOKUP($G$2,FTSELU,11,FALSE)</f>
        <v>309.99</v>
      </c>
      <c r="J8" s="910"/>
      <c r="O8" s="320"/>
    </row>
    <row r="9" spans="1:15" ht="12.75" customHeight="1" thickBot="1">
      <c r="A9" s="279" t="s">
        <v>152</v>
      </c>
      <c r="B9" s="915"/>
      <c r="C9" s="915"/>
      <c r="J9" s="910"/>
      <c r="O9" s="320"/>
    </row>
    <row r="10" spans="1:15" ht="12.75" customHeight="1" thickTop="1">
      <c r="A10" s="277" t="s">
        <v>535</v>
      </c>
      <c r="B10" s="501">
        <f>'UNTHSC FGD'!M10</f>
        <v>112276178</v>
      </c>
      <c r="C10" s="501"/>
      <c r="D10" s="492">
        <f>'UNTHSC FGD'!F10</f>
        <v>0</v>
      </c>
      <c r="E10" s="492"/>
      <c r="F10" s="916">
        <f>B10-(SUM(D10:E10))</f>
        <v>112276178</v>
      </c>
      <c r="G10" s="917" t="s">
        <v>101</v>
      </c>
      <c r="H10" s="918"/>
      <c r="I10" s="919" t="s">
        <v>536</v>
      </c>
      <c r="J10" s="920">
        <f>ROUND(F10/$C$6,0)</f>
        <v>37571</v>
      </c>
      <c r="O10" s="320"/>
    </row>
    <row r="11" spans="1:15" ht="12.75" customHeight="1" thickBot="1">
      <c r="A11" s="277" t="s">
        <v>134</v>
      </c>
      <c r="B11" s="669">
        <f>'UNTHSC FGD'!M11</f>
        <v>2092669</v>
      </c>
      <c r="C11" s="669"/>
      <c r="D11" s="921">
        <f>'UNTHSC FGD'!F11</f>
        <v>0</v>
      </c>
      <c r="E11" s="754"/>
      <c r="F11" s="922">
        <f t="shared" ref="F11:F14" si="0">B11-(SUM(D11:E11))</f>
        <v>2092669</v>
      </c>
      <c r="G11" s="923">
        <f>SUM(F10:F11)</f>
        <v>114368847</v>
      </c>
      <c r="H11" s="924"/>
      <c r="I11" s="925">
        <f>ROUND($G$11/$C$6,0)</f>
        <v>38271</v>
      </c>
      <c r="J11" s="926">
        <f t="shared" ref="J11:J14" si="1">ROUND(F11/$C$6,0)</f>
        <v>700</v>
      </c>
      <c r="O11" s="320"/>
    </row>
    <row r="12" spans="1:15" ht="12.75" hidden="1" customHeight="1" thickTop="1" thickBot="1">
      <c r="A12" s="277" t="s">
        <v>537</v>
      </c>
      <c r="B12" s="669"/>
      <c r="C12" s="669"/>
      <c r="D12" s="921"/>
      <c r="E12" s="754"/>
      <c r="F12" s="927"/>
      <c r="J12" s="926"/>
      <c r="O12" s="928"/>
    </row>
    <row r="13" spans="1:15" ht="12.75" customHeight="1" thickTop="1">
      <c r="A13" s="277" t="s">
        <v>468</v>
      </c>
      <c r="B13" s="669">
        <f>'UNTHSC FGD'!M13</f>
        <v>15125502</v>
      </c>
      <c r="C13" s="669"/>
      <c r="D13" s="921">
        <f>'UNTHSC FGD'!F13</f>
        <v>0</v>
      </c>
      <c r="E13" s="754"/>
      <c r="F13" s="929">
        <f t="shared" si="0"/>
        <v>15125502</v>
      </c>
      <c r="G13" s="930" t="s">
        <v>102</v>
      </c>
      <c r="H13" s="931"/>
      <c r="I13" s="417" t="s">
        <v>538</v>
      </c>
      <c r="J13" s="926">
        <f t="shared" si="1"/>
        <v>5061</v>
      </c>
      <c r="O13" s="320"/>
    </row>
    <row r="14" spans="1:15" ht="12.75" customHeight="1" thickBot="1">
      <c r="A14" s="277" t="s">
        <v>135</v>
      </c>
      <c r="B14" s="669">
        <f>'UNTHSC FGD'!M14</f>
        <v>0</v>
      </c>
      <c r="C14" s="669"/>
      <c r="D14" s="921">
        <f>'UNTHSC FGD'!F14</f>
        <v>0</v>
      </c>
      <c r="E14" s="754"/>
      <c r="F14" s="927">
        <f t="shared" si="0"/>
        <v>0</v>
      </c>
      <c r="G14" s="932">
        <f>SUM(F13:F14)</f>
        <v>15125502</v>
      </c>
      <c r="H14" s="933"/>
      <c r="I14" s="934">
        <f>ROUND($G$11/$I$8,0)</f>
        <v>368944</v>
      </c>
      <c r="J14" s="935">
        <f t="shared" si="1"/>
        <v>0</v>
      </c>
      <c r="O14" s="320"/>
    </row>
    <row r="15" spans="1:15" ht="12.75" customHeight="1" thickTop="1">
      <c r="A15" s="936" t="s">
        <v>155</v>
      </c>
      <c r="B15" s="937">
        <f>SUM(B10:B14)</f>
        <v>129494349</v>
      </c>
      <c r="C15" s="937">
        <f>SUM(C10:C14)</f>
        <v>0</v>
      </c>
      <c r="D15" s="937">
        <f>SUM(D10:D14)</f>
        <v>0</v>
      </c>
      <c r="E15" s="937">
        <f>SUM(E10:E14)</f>
        <v>0</v>
      </c>
      <c r="F15" s="938">
        <f>SUM(F10:F14)</f>
        <v>129494349</v>
      </c>
      <c r="I15" s="345"/>
      <c r="J15" s="939">
        <f>SUM(J10:J14)</f>
        <v>43332</v>
      </c>
      <c r="O15" s="320"/>
    </row>
    <row r="16" spans="1:15">
      <c r="C16" s="277"/>
      <c r="J16" s="910"/>
      <c r="O16" s="320"/>
    </row>
    <row r="17" spans="1:15" ht="12.75" customHeight="1">
      <c r="A17" s="279" t="s">
        <v>161</v>
      </c>
      <c r="C17" s="277"/>
      <c r="J17" s="910"/>
      <c r="O17" s="320"/>
    </row>
    <row r="18" spans="1:15">
      <c r="A18" s="277" t="s">
        <v>165</v>
      </c>
      <c r="B18" s="501">
        <f>'UNTHSC FGD'!M29</f>
        <v>23170437</v>
      </c>
      <c r="C18" s="501"/>
      <c r="D18" s="492">
        <f>'UNTHSC FGD'!$F$29</f>
        <v>0</v>
      </c>
      <c r="E18" s="492"/>
      <c r="F18" s="492">
        <f t="shared" ref="F18:F19" si="2">B18-(SUM(D18:E18))</f>
        <v>23170437</v>
      </c>
      <c r="J18" s="920">
        <f>ROUND(F18/$C$6,0)</f>
        <v>7753</v>
      </c>
      <c r="O18" s="320"/>
    </row>
    <row r="19" spans="1:15" ht="13.8" thickBot="1">
      <c r="A19" s="277" t="s">
        <v>166</v>
      </c>
      <c r="B19" s="669">
        <f>'UNTHSC FGD'!M42</f>
        <v>11307375</v>
      </c>
      <c r="C19" s="669"/>
      <c r="D19" s="754">
        <f>'UNTHSC FGD'!$F$42</f>
        <v>0</v>
      </c>
      <c r="E19" s="754"/>
      <c r="F19" s="754">
        <f t="shared" si="2"/>
        <v>11307375</v>
      </c>
      <c r="J19" s="926">
        <f>ROUND(F19/$C$6,0)</f>
        <v>3784</v>
      </c>
      <c r="O19" s="320"/>
    </row>
    <row r="20" spans="1:15" ht="14.4" thickTop="1" thickBot="1">
      <c r="A20" s="936" t="s">
        <v>167</v>
      </c>
      <c r="B20" s="937">
        <f>SUM(B18:B19)</f>
        <v>34477812</v>
      </c>
      <c r="C20" s="937">
        <f>SUM(C18:C19)</f>
        <v>0</v>
      </c>
      <c r="D20" s="798">
        <f>SUM(D18:D19)</f>
        <v>0</v>
      </c>
      <c r="E20" s="940">
        <f>SUM(E18:E19)</f>
        <v>0</v>
      </c>
      <c r="F20" s="941">
        <f>SUM(F18:F19)</f>
        <v>34477812</v>
      </c>
      <c r="G20" s="942" t="s">
        <v>539</v>
      </c>
      <c r="H20" s="943"/>
      <c r="J20" s="944">
        <f>SUM(J18:J19)</f>
        <v>11537</v>
      </c>
      <c r="O20" s="320"/>
    </row>
    <row r="21" spans="1:15" ht="12.75" customHeight="1" thickTop="1">
      <c r="C21" s="277"/>
      <c r="F21" s="945"/>
      <c r="J21" s="910"/>
      <c r="O21" s="320"/>
    </row>
    <row r="22" spans="1:15" ht="14.25" customHeight="1" thickBot="1">
      <c r="A22" s="279" t="s">
        <v>162</v>
      </c>
      <c r="C22" s="277"/>
      <c r="J22" s="910"/>
      <c r="O22" s="320"/>
    </row>
    <row r="23" spans="1:15" ht="14.4" thickTop="1" thickBot="1">
      <c r="A23" s="936" t="s">
        <v>168</v>
      </c>
      <c r="B23" s="937">
        <f>'UNTHSC FGD'!M47</f>
        <v>55261728</v>
      </c>
      <c r="C23" s="937"/>
      <c r="D23" s="798">
        <f>'UNTHSC FGD'!F47</f>
        <v>0</v>
      </c>
      <c r="E23" s="940"/>
      <c r="F23" s="941">
        <f>B23-(SUM(D23:E23))</f>
        <v>55261728</v>
      </c>
      <c r="G23" s="946" t="s">
        <v>540</v>
      </c>
      <c r="H23" s="943"/>
      <c r="J23" s="947">
        <f>ROUND(F23/$C$6,0)</f>
        <v>18492</v>
      </c>
      <c r="O23" s="320"/>
    </row>
    <row r="24" spans="1:15" ht="13.8" thickTop="1">
      <c r="C24" s="277"/>
      <c r="J24" s="910"/>
      <c r="O24" s="320"/>
    </row>
    <row r="25" spans="1:15">
      <c r="A25" s="279" t="s">
        <v>163</v>
      </c>
      <c r="C25" s="277"/>
      <c r="D25" s="754"/>
      <c r="J25" s="910"/>
      <c r="O25" s="320"/>
    </row>
    <row r="26" spans="1:15">
      <c r="A26" s="936" t="s">
        <v>200</v>
      </c>
      <c r="B26" s="937">
        <f>'UNTHSC FGD'!M50</f>
        <v>12885666</v>
      </c>
      <c r="C26" s="937"/>
      <c r="D26" s="937">
        <f>'UNTHSC FGD'!F50</f>
        <v>0</v>
      </c>
      <c r="E26" s="937">
        <f>B26-D26</f>
        <v>12885666</v>
      </c>
      <c r="F26" s="937">
        <f t="shared" ref="F26" si="3">B26-(SUM(D26:E26))</f>
        <v>0</v>
      </c>
      <c r="J26" s="920"/>
      <c r="O26" s="320"/>
    </row>
    <row r="27" spans="1:15">
      <c r="C27" s="277"/>
      <c r="D27" s="723"/>
      <c r="E27" s="948"/>
      <c r="J27" s="926"/>
      <c r="O27" s="320"/>
    </row>
    <row r="28" spans="1:15">
      <c r="A28" s="279" t="s">
        <v>164</v>
      </c>
      <c r="C28" s="277"/>
      <c r="D28" s="921"/>
      <c r="E28" s="884"/>
      <c r="J28" s="926"/>
      <c r="O28" s="320"/>
    </row>
    <row r="29" spans="1:15">
      <c r="A29" s="936" t="s">
        <v>200</v>
      </c>
      <c r="B29" s="937">
        <f>'UNTHSC FGD'!M53</f>
        <v>0</v>
      </c>
      <c r="C29" s="937"/>
      <c r="D29" s="937">
        <f>'UNTHSC FGD'!F53</f>
        <v>0</v>
      </c>
      <c r="E29" s="937">
        <f>B29-D29</f>
        <v>0</v>
      </c>
      <c r="F29" s="937">
        <f t="shared" ref="F29" si="4">B29-(SUM(D29:E29))</f>
        <v>0</v>
      </c>
      <c r="J29" s="926"/>
      <c r="O29" s="320"/>
    </row>
    <row r="30" spans="1:15">
      <c r="C30" s="277"/>
      <c r="E30" s="754"/>
      <c r="F30" s="754"/>
      <c r="J30" s="926"/>
      <c r="O30" s="320"/>
    </row>
    <row r="31" spans="1:15">
      <c r="A31" s="279" t="s">
        <v>171</v>
      </c>
      <c r="C31" s="277"/>
      <c r="E31" s="754"/>
      <c r="F31" s="754"/>
      <c r="G31" s="400"/>
      <c r="H31" s="400"/>
      <c r="I31" s="400"/>
      <c r="J31" s="926"/>
      <c r="O31" s="320"/>
    </row>
    <row r="32" spans="1:15">
      <c r="A32" s="277" t="s">
        <v>172</v>
      </c>
      <c r="B32" s="501">
        <f>'UNTHSC FGD'!M56</f>
        <v>16617179</v>
      </c>
      <c r="C32" s="501"/>
      <c r="D32" s="492">
        <f>'UNTHSC FGD'!F56</f>
        <v>0</v>
      </c>
      <c r="E32" s="492"/>
      <c r="F32" s="492">
        <f t="shared" ref="F32:F37" si="5">B32-(SUM(D32:E32))</f>
        <v>16617179</v>
      </c>
      <c r="J32" s="920">
        <f>ROUND(F32/$C$6,0)</f>
        <v>5561</v>
      </c>
      <c r="O32" s="320"/>
    </row>
    <row r="33" spans="1:30">
      <c r="A33" s="277" t="s">
        <v>173</v>
      </c>
      <c r="B33" s="669">
        <f>'UNTHSC FGD'!M57</f>
        <v>1046856</v>
      </c>
      <c r="C33" s="669"/>
      <c r="D33" s="921">
        <f>'UNTHSC FGD'!F57</f>
        <v>0</v>
      </c>
      <c r="E33" s="754"/>
      <c r="F33" s="754">
        <f t="shared" si="5"/>
        <v>1046856</v>
      </c>
      <c r="J33" s="926">
        <f t="shared" ref="J33:J37" si="6">ROUND(F33/$C$6,0)</f>
        <v>350</v>
      </c>
      <c r="O33" s="320"/>
    </row>
    <row r="34" spans="1:30" ht="13.8" thickBot="1">
      <c r="A34" s="277" t="s">
        <v>174</v>
      </c>
      <c r="B34" s="669">
        <f>'UNTHSC FGD'!M58</f>
        <v>3951843</v>
      </c>
      <c r="C34" s="669"/>
      <c r="D34" s="921">
        <f>'UNTHSC FGD'!F58</f>
        <v>0</v>
      </c>
      <c r="E34" s="754"/>
      <c r="F34" s="754">
        <f t="shared" si="5"/>
        <v>3951843</v>
      </c>
      <c r="J34" s="926">
        <f t="shared" si="6"/>
        <v>1322</v>
      </c>
      <c r="O34" s="320"/>
    </row>
    <row r="35" spans="1:30" ht="13.8" thickBot="1">
      <c r="A35" s="277" t="s">
        <v>175</v>
      </c>
      <c r="B35" s="669">
        <f>'UNTHSC FGD'!M59</f>
        <v>52490499</v>
      </c>
      <c r="C35" s="669"/>
      <c r="D35" s="921">
        <f>'UNTHSC FGD'!F59</f>
        <v>0</v>
      </c>
      <c r="E35" s="754"/>
      <c r="F35" s="754">
        <f t="shared" si="5"/>
        <v>52490499</v>
      </c>
      <c r="J35" s="926">
        <f t="shared" si="6"/>
        <v>17565</v>
      </c>
      <c r="K35" s="1157"/>
      <c r="L35" s="1140"/>
      <c r="M35" s="1140"/>
      <c r="N35" s="1140"/>
      <c r="O35" s="1141"/>
    </row>
    <row r="36" spans="1:30" ht="13.8" thickBot="1">
      <c r="A36" s="277" t="s">
        <v>471</v>
      </c>
      <c r="B36" s="669">
        <f>'UNTHSC FGD'!M60</f>
        <v>695653</v>
      </c>
      <c r="C36" s="669"/>
      <c r="D36" s="921">
        <f>'UNTHSC FGD'!F60</f>
        <v>695653</v>
      </c>
      <c r="E36" s="754"/>
      <c r="F36" s="754">
        <f t="shared" si="5"/>
        <v>0</v>
      </c>
      <c r="J36" s="926">
        <f t="shared" si="6"/>
        <v>0</v>
      </c>
      <c r="K36" s="1157" t="s">
        <v>268</v>
      </c>
      <c r="L36" s="1140"/>
      <c r="M36" s="1140"/>
      <c r="N36" s="1140"/>
      <c r="O36" s="1141"/>
    </row>
    <row r="37" spans="1:30" ht="13.5" customHeight="1" thickBot="1">
      <c r="A37" s="538" t="s">
        <v>177</v>
      </c>
      <c r="B37" s="669">
        <f>'UNTHSC FGD'!M61</f>
        <v>6123295</v>
      </c>
      <c r="C37" s="669"/>
      <c r="D37" s="921">
        <f>'UNTHSC FGD'!F61</f>
        <v>0</v>
      </c>
      <c r="E37" s="754"/>
      <c r="F37" s="754">
        <f t="shared" si="5"/>
        <v>6123295</v>
      </c>
      <c r="G37" s="400"/>
      <c r="H37" s="400"/>
      <c r="I37" s="400"/>
      <c r="J37" s="926">
        <f t="shared" si="6"/>
        <v>2049</v>
      </c>
      <c r="K37" s="1158" t="s">
        <v>276</v>
      </c>
      <c r="L37" s="1158" t="s">
        <v>277</v>
      </c>
      <c r="M37" s="1158" t="s">
        <v>278</v>
      </c>
      <c r="N37" s="1158" t="s">
        <v>279</v>
      </c>
      <c r="O37" s="1158" t="s">
        <v>280</v>
      </c>
      <c r="P37" s="333"/>
      <c r="Q37" s="333"/>
      <c r="R37" s="333"/>
      <c r="S37" s="333"/>
      <c r="T37" s="333"/>
      <c r="U37" s="333"/>
      <c r="V37" s="333"/>
      <c r="W37" s="333"/>
      <c r="X37" s="333"/>
      <c r="Y37" s="333"/>
      <c r="Z37" s="333"/>
      <c r="AA37" s="333"/>
      <c r="AB37" s="333"/>
      <c r="AC37" s="333"/>
      <c r="AD37" s="333"/>
    </row>
    <row r="38" spans="1:30" ht="14.25" customHeight="1" thickTop="1" thickBot="1">
      <c r="A38" s="936" t="s">
        <v>155</v>
      </c>
      <c r="B38" s="937">
        <f>SUM(B32:B37)</f>
        <v>80925325</v>
      </c>
      <c r="C38" s="937"/>
      <c r="D38" s="949">
        <f>SUM(D32:D37)</f>
        <v>695653</v>
      </c>
      <c r="E38" s="949">
        <f>SUM(E32:E37)</f>
        <v>0</v>
      </c>
      <c r="F38" s="950">
        <f>SUM(F32:F37)</f>
        <v>80229672</v>
      </c>
      <c r="G38" s="1154" t="s">
        <v>171</v>
      </c>
      <c r="H38" s="1155"/>
      <c r="I38" s="951" t="s">
        <v>542</v>
      </c>
      <c r="J38" s="952">
        <f>SUM(J32:J37)</f>
        <v>26847</v>
      </c>
      <c r="K38" s="1159"/>
      <c r="L38" s="1159"/>
      <c r="M38" s="1159"/>
      <c r="N38" s="1159" t="s">
        <v>543</v>
      </c>
      <c r="O38" s="1159" t="s">
        <v>280</v>
      </c>
    </row>
    <row r="39" spans="1:30" ht="13.8" thickTop="1">
      <c r="A39" s="953" t="s">
        <v>201</v>
      </c>
      <c r="B39" s="954">
        <f>B15+B20+B23+B26+B29+B38</f>
        <v>313044880</v>
      </c>
      <c r="C39" s="955"/>
      <c r="D39" s="954">
        <f>D15+D20+D23+D26+D29+D38</f>
        <v>695653</v>
      </c>
      <c r="E39" s="954">
        <f>E15+E20+E23+E26+E29+E38</f>
        <v>12885666</v>
      </c>
      <c r="F39" s="956">
        <f>F38+F23+F20+F15</f>
        <v>299463561</v>
      </c>
      <c r="G39" s="1156" t="s">
        <v>271</v>
      </c>
      <c r="H39" s="1156"/>
      <c r="I39" s="957">
        <f>ROUND($G$41/$C$6,0)</f>
        <v>95147</v>
      </c>
      <c r="J39" s="958">
        <f>J15+J20+J23+J38</f>
        <v>100208</v>
      </c>
      <c r="K39" s="1159"/>
      <c r="L39" s="1159"/>
      <c r="M39" s="1159"/>
      <c r="N39" s="1159"/>
      <c r="O39" s="1159"/>
    </row>
    <row r="40" spans="1:30" ht="13.8" thickBot="1">
      <c r="C40" s="277"/>
      <c r="F40" s="320" t="s">
        <v>577</v>
      </c>
      <c r="G40" s="959">
        <f>G14*-1</f>
        <v>-15125502</v>
      </c>
      <c r="I40" s="951" t="s">
        <v>545</v>
      </c>
      <c r="J40" s="960"/>
      <c r="K40" s="1160"/>
      <c r="L40" s="1160"/>
      <c r="M40" s="1160"/>
      <c r="N40" s="1160"/>
      <c r="O40" s="1160"/>
    </row>
    <row r="41" spans="1:30" ht="14.4" thickTop="1" thickBot="1">
      <c r="A41" s="912" t="s">
        <v>178</v>
      </c>
      <c r="B41" s="912"/>
      <c r="C41" s="912"/>
      <c r="D41" s="344"/>
      <c r="E41" s="344"/>
      <c r="F41" s="961" t="s">
        <v>546</v>
      </c>
      <c r="G41" s="962">
        <f>F39+G40</f>
        <v>284338059</v>
      </c>
      <c r="I41" s="963">
        <f>ROUND($G$41/$I$8,0)</f>
        <v>917249</v>
      </c>
      <c r="K41" s="964"/>
      <c r="L41" s="964"/>
      <c r="M41" s="964"/>
      <c r="N41" s="964"/>
      <c r="O41" s="964"/>
    </row>
    <row r="42" spans="1:30" ht="13.8" thickTop="1">
      <c r="A42" s="490" t="s">
        <v>92</v>
      </c>
      <c r="B42" s="501">
        <f>'UNTHSC FGD'!M65</f>
        <v>79560385</v>
      </c>
      <c r="C42" s="501"/>
      <c r="D42" s="492">
        <f>'UNTHSC FGD'!F65</f>
        <v>0</v>
      </c>
      <c r="E42" s="492"/>
      <c r="F42" s="492">
        <f t="shared" ref="F42" si="7">B42-(SUM(D42:E42))</f>
        <v>79560385</v>
      </c>
      <c r="H42" s="965" t="s">
        <v>547</v>
      </c>
      <c r="I42" s="966">
        <f>ROUND(F42/$C$6,0)</f>
        <v>26623</v>
      </c>
      <c r="J42" s="320" t="s">
        <v>548</v>
      </c>
      <c r="K42" s="492">
        <f>F42</f>
        <v>79560385</v>
      </c>
      <c r="L42" s="492">
        <f>K42</f>
        <v>79560385</v>
      </c>
      <c r="M42" s="492"/>
      <c r="N42" s="492"/>
      <c r="O42" s="492"/>
    </row>
    <row r="43" spans="1:30">
      <c r="A43" s="490" t="s">
        <v>179</v>
      </c>
      <c r="B43" s="669">
        <f>'UNTHSC FGD'!M66</f>
        <v>46416280</v>
      </c>
      <c r="C43" s="669"/>
      <c r="D43" s="723">
        <f>'UNTHSC FGD'!F66</f>
        <v>0</v>
      </c>
      <c r="E43" s="754"/>
      <c r="F43" s="754">
        <f t="shared" ref="F43:F44" si="8">B43-(SUM(D43:E43))</f>
        <v>46416280</v>
      </c>
      <c r="J43" s="320" t="s">
        <v>549</v>
      </c>
      <c r="K43" s="723">
        <f>F43</f>
        <v>46416280</v>
      </c>
      <c r="L43" s="723">
        <f>K43</f>
        <v>46416280</v>
      </c>
      <c r="M43" s="723"/>
      <c r="N43" s="723"/>
      <c r="O43" s="723"/>
    </row>
    <row r="44" spans="1:30">
      <c r="A44" s="490" t="s">
        <v>180</v>
      </c>
      <c r="B44" s="669">
        <f>'UNTHSC FGD'!M67</f>
        <v>46516667</v>
      </c>
      <c r="C44" s="669"/>
      <c r="D44" s="723">
        <f>'UNTHSC FGD'!F67</f>
        <v>0</v>
      </c>
      <c r="E44" s="921">
        <f>B44-D44</f>
        <v>46516667</v>
      </c>
      <c r="F44" s="754">
        <f t="shared" si="8"/>
        <v>0</v>
      </c>
      <c r="J44" s="320" t="s">
        <v>550</v>
      </c>
      <c r="K44" s="967"/>
      <c r="L44" s="769"/>
      <c r="M44" s="769" t="s">
        <v>551</v>
      </c>
      <c r="N44" s="769"/>
      <c r="O44" s="968"/>
    </row>
    <row r="45" spans="1:30">
      <c r="A45" s="300" t="s">
        <v>164</v>
      </c>
      <c r="B45" s="669">
        <f>'UNTHSC FGD'!M68</f>
        <v>0</v>
      </c>
      <c r="C45" s="669"/>
      <c r="D45" s="723">
        <f>'UNTHSC FGD'!F68</f>
        <v>0</v>
      </c>
      <c r="E45" s="921">
        <f>B45-D45</f>
        <v>0</v>
      </c>
      <c r="F45" s="754">
        <f t="shared" ref="F45:F53" si="9">B45-(SUM(D45:E45))</f>
        <v>0</v>
      </c>
      <c r="G45" s="492"/>
      <c r="J45" s="320" t="s">
        <v>552</v>
      </c>
      <c r="K45" s="1161" t="s">
        <v>551</v>
      </c>
      <c r="L45" s="1162"/>
      <c r="M45" s="1162"/>
      <c r="N45" s="1162"/>
      <c r="O45" s="1163"/>
    </row>
    <row r="46" spans="1:30">
      <c r="A46" s="490" t="s">
        <v>181</v>
      </c>
      <c r="B46" s="669">
        <f>'UNTHSC FGD'!M69</f>
        <v>27944229</v>
      </c>
      <c r="C46" s="669"/>
      <c r="D46" s="723">
        <f>'UNTHSC FGD'!F69</f>
        <v>0</v>
      </c>
      <c r="E46" s="754"/>
      <c r="F46" s="754">
        <f t="shared" si="9"/>
        <v>27944229</v>
      </c>
      <c r="H46" s="965" t="s">
        <v>553</v>
      </c>
      <c r="I46" s="966">
        <f>ROUND(F46/$C$6,0)</f>
        <v>9351</v>
      </c>
      <c r="J46" s="320" t="s">
        <v>554</v>
      </c>
      <c r="K46" s="723">
        <f t="shared" ref="K46:K50" si="10">F46</f>
        <v>27944229</v>
      </c>
      <c r="L46" s="723">
        <f>K46</f>
        <v>27944229</v>
      </c>
      <c r="M46" s="723"/>
      <c r="N46" s="723"/>
      <c r="O46" s="723"/>
    </row>
    <row r="47" spans="1:30">
      <c r="A47" s="490" t="s">
        <v>182</v>
      </c>
      <c r="B47" s="669">
        <f>'UNTHSC FGD'!M70</f>
        <v>8018588</v>
      </c>
      <c r="C47" s="669"/>
      <c r="D47" s="723">
        <f>'UNTHSC FGD'!F70</f>
        <v>0</v>
      </c>
      <c r="E47" s="754"/>
      <c r="F47" s="754">
        <f t="shared" si="9"/>
        <v>8018588</v>
      </c>
      <c r="J47" s="320" t="s">
        <v>555</v>
      </c>
      <c r="K47" s="723">
        <f t="shared" si="10"/>
        <v>8018588</v>
      </c>
      <c r="L47" s="723"/>
      <c r="M47" s="723">
        <f>K47</f>
        <v>8018588</v>
      </c>
      <c r="N47" s="723"/>
      <c r="O47" s="723"/>
    </row>
    <row r="48" spans="1:30">
      <c r="A48" s="490" t="s">
        <v>183</v>
      </c>
      <c r="B48" s="669">
        <f>'UNTHSC FGD'!M71</f>
        <v>21860988</v>
      </c>
      <c r="C48" s="669"/>
      <c r="D48" s="723">
        <f>'UNTHSC FGD'!F71</f>
        <v>0</v>
      </c>
      <c r="E48" s="754"/>
      <c r="F48" s="754">
        <f t="shared" si="9"/>
        <v>21860988</v>
      </c>
      <c r="H48" s="965" t="s">
        <v>556</v>
      </c>
      <c r="I48" s="966">
        <f>ROUND(F48/$C$6,0)</f>
        <v>7315</v>
      </c>
      <c r="J48" s="320" t="s">
        <v>557</v>
      </c>
      <c r="K48" s="723">
        <f t="shared" si="10"/>
        <v>21860988</v>
      </c>
      <c r="L48" s="723"/>
      <c r="M48" s="723"/>
      <c r="N48" s="723">
        <f>K48</f>
        <v>21860988</v>
      </c>
      <c r="O48" s="723"/>
    </row>
    <row r="49" spans="1:30">
      <c r="A49" s="490" t="s">
        <v>184</v>
      </c>
      <c r="B49" s="669">
        <f>'UNTHSC FGD'!M72</f>
        <v>17048260</v>
      </c>
      <c r="C49" s="669"/>
      <c r="D49" s="723">
        <f>'UNTHSC FGD'!F72</f>
        <v>0</v>
      </c>
      <c r="E49" s="754"/>
      <c r="F49" s="754">
        <f t="shared" si="9"/>
        <v>17048260</v>
      </c>
      <c r="J49" s="320" t="s">
        <v>558</v>
      </c>
      <c r="K49" s="723">
        <f t="shared" si="10"/>
        <v>17048260</v>
      </c>
      <c r="L49" s="723"/>
      <c r="M49" s="723"/>
      <c r="N49" s="723">
        <f>K49</f>
        <v>17048260</v>
      </c>
      <c r="O49" s="723"/>
    </row>
    <row r="50" spans="1:30">
      <c r="A50" s="490" t="s">
        <v>185</v>
      </c>
      <c r="B50" s="669">
        <f>'UNTHSC FGD'!M73</f>
        <v>2612265</v>
      </c>
      <c r="C50" s="669"/>
      <c r="D50" s="723">
        <f>'UNTHSC FGD'!F73</f>
        <v>0</v>
      </c>
      <c r="E50" s="754"/>
      <c r="F50" s="754">
        <f t="shared" si="9"/>
        <v>2612265</v>
      </c>
      <c r="J50" s="320" t="s">
        <v>559</v>
      </c>
      <c r="K50" s="723">
        <f t="shared" si="10"/>
        <v>2612265</v>
      </c>
      <c r="L50" s="723"/>
      <c r="M50" s="723">
        <f>K50</f>
        <v>2612265</v>
      </c>
      <c r="N50" s="723"/>
      <c r="O50" s="723"/>
    </row>
    <row r="51" spans="1:30">
      <c r="A51" s="490" t="s">
        <v>472</v>
      </c>
      <c r="B51" s="669">
        <f>'UNTHSC FGD'!M74</f>
        <v>177508</v>
      </c>
      <c r="C51" s="669"/>
      <c r="D51" s="969">
        <f>B51</f>
        <v>177508</v>
      </c>
      <c r="E51" s="754"/>
      <c r="F51" s="754">
        <f t="shared" si="9"/>
        <v>0</v>
      </c>
      <c r="J51" s="320" t="s">
        <v>560</v>
      </c>
      <c r="K51" s="967"/>
      <c r="L51" s="769"/>
      <c r="M51" s="769" t="s">
        <v>551</v>
      </c>
      <c r="N51" s="769"/>
      <c r="O51" s="968"/>
    </row>
    <row r="52" spans="1:30">
      <c r="A52" s="490" t="s">
        <v>187</v>
      </c>
      <c r="B52" s="669">
        <f>'UNTHSC FGD'!M75</f>
        <v>11895376</v>
      </c>
      <c r="C52" s="669"/>
      <c r="D52" s="723">
        <f>'UNTHSC FGD'!F75</f>
        <v>14600</v>
      </c>
      <c r="E52" s="754"/>
      <c r="F52" s="754">
        <f t="shared" si="9"/>
        <v>11880776</v>
      </c>
      <c r="J52" s="320" t="s">
        <v>561</v>
      </c>
      <c r="K52" s="723">
        <f t="shared" ref="K52:K53" si="11">F52</f>
        <v>11880776</v>
      </c>
      <c r="L52" s="723"/>
      <c r="M52" s="723"/>
      <c r="N52" s="723"/>
      <c r="O52" s="723">
        <f>K52</f>
        <v>11880776</v>
      </c>
    </row>
    <row r="53" spans="1:30" ht="13.8" thickBot="1">
      <c r="A53" s="277" t="s">
        <v>1713</v>
      </c>
      <c r="B53" s="669">
        <f>'UNTHSC FGD'!M76</f>
        <v>520360</v>
      </c>
      <c r="C53" s="669"/>
      <c r="D53" s="723">
        <f>'UNTHSC FGD'!F76</f>
        <v>0</v>
      </c>
      <c r="E53" s="754"/>
      <c r="F53" s="754">
        <f t="shared" si="9"/>
        <v>520360</v>
      </c>
      <c r="G53" s="400"/>
      <c r="H53" s="965" t="s">
        <v>562</v>
      </c>
      <c r="I53" s="966">
        <f>ROUND(SUM(F43+F47+F49+F50+F52+F53)/$C$6,0)</f>
        <v>28944</v>
      </c>
      <c r="J53" s="400" t="s">
        <v>280</v>
      </c>
      <c r="K53" s="723">
        <f t="shared" si="11"/>
        <v>520360</v>
      </c>
      <c r="L53" s="970"/>
      <c r="M53" s="970"/>
      <c r="N53" s="970"/>
      <c r="O53" s="723">
        <f>K53</f>
        <v>520360</v>
      </c>
      <c r="P53" s="333"/>
      <c r="Q53" s="333"/>
      <c r="R53" s="333"/>
      <c r="S53" s="333"/>
      <c r="T53" s="333"/>
      <c r="U53" s="333"/>
      <c r="V53" s="333"/>
      <c r="W53" s="333"/>
      <c r="X53" s="333"/>
      <c r="Y53" s="333"/>
      <c r="Z53" s="333"/>
      <c r="AA53" s="333"/>
      <c r="AB53" s="333"/>
      <c r="AC53" s="333"/>
      <c r="AD53" s="333"/>
    </row>
    <row r="54" spans="1:30" ht="14.25" customHeight="1" thickTop="1" thickBot="1">
      <c r="A54" s="971" t="s">
        <v>189</v>
      </c>
      <c r="B54" s="972">
        <f>SUM(B42:B53)</f>
        <v>262570906</v>
      </c>
      <c r="C54" s="972">
        <f>SUM(C42:C53)</f>
        <v>0</v>
      </c>
      <c r="D54" s="972">
        <f>SUM(D42:D53)</f>
        <v>192108</v>
      </c>
      <c r="E54" s="973">
        <f>SUM(E43:E53)</f>
        <v>46516667</v>
      </c>
      <c r="F54" s="974">
        <f>SUM(F42:F53)</f>
        <v>215862131</v>
      </c>
      <c r="G54" s="1174" t="s">
        <v>563</v>
      </c>
      <c r="H54" s="1175"/>
      <c r="I54" s="975" t="s">
        <v>623</v>
      </c>
      <c r="J54" s="400" t="s">
        <v>564</v>
      </c>
      <c r="K54" s="976">
        <f>SUM(K42:K53)</f>
        <v>215862131</v>
      </c>
      <c r="L54" s="976">
        <f t="shared" ref="L54:O54" si="12">SUM(L42:L53)</f>
        <v>153920894</v>
      </c>
      <c r="M54" s="976">
        <f t="shared" si="12"/>
        <v>10630853</v>
      </c>
      <c r="N54" s="976">
        <f t="shared" si="12"/>
        <v>38909248</v>
      </c>
      <c r="O54" s="976">
        <f t="shared" si="12"/>
        <v>12401136</v>
      </c>
    </row>
    <row r="55" spans="1:30" ht="14.25" customHeight="1" thickTop="1" thickBot="1">
      <c r="C55" s="277"/>
      <c r="F55" s="931"/>
      <c r="G55" s="1176"/>
      <c r="H55" s="1177"/>
      <c r="I55" s="977">
        <f>ROUND(F54/C6,0)</f>
        <v>72233</v>
      </c>
      <c r="J55" s="1153" t="s">
        <v>565</v>
      </c>
      <c r="K55" s="970"/>
      <c r="L55" s="970"/>
      <c r="M55" s="970"/>
      <c r="N55" s="970"/>
      <c r="O55" s="970"/>
    </row>
    <row r="56" spans="1:30" ht="16.5" customHeight="1" thickBot="1">
      <c r="A56" s="279" t="s">
        <v>473</v>
      </c>
      <c r="C56" s="277"/>
      <c r="F56" s="978"/>
      <c r="G56" s="1178"/>
      <c r="H56" s="1179"/>
      <c r="I56" s="951" t="s">
        <v>624</v>
      </c>
      <c r="J56" s="1153"/>
      <c r="K56" s="979"/>
      <c r="L56" s="979"/>
      <c r="M56" s="979"/>
      <c r="N56" s="979"/>
      <c r="O56" s="979"/>
      <c r="P56" s="333"/>
      <c r="Q56" s="333"/>
      <c r="R56" s="333"/>
      <c r="S56" s="333"/>
      <c r="T56" s="333"/>
      <c r="U56" s="333"/>
      <c r="V56" s="333"/>
      <c r="W56" s="333"/>
      <c r="X56" s="333"/>
      <c r="Y56" s="333"/>
      <c r="Z56" s="333"/>
      <c r="AA56" s="333"/>
      <c r="AB56" s="333"/>
      <c r="AC56" s="333"/>
      <c r="AD56" s="333"/>
    </row>
    <row r="57" spans="1:30" ht="13.8" thickTop="1">
      <c r="A57" s="277" t="s">
        <v>474</v>
      </c>
      <c r="B57" s="669">
        <f>'UNTHSC FGD'!M80</f>
        <v>-14506248</v>
      </c>
      <c r="C57" s="669"/>
      <c r="D57" s="492">
        <f>'UNTHSC FGD'!F80</f>
        <v>0</v>
      </c>
      <c r="E57" s="492"/>
      <c r="F57" s="980">
        <f t="shared" ref="F57:F60" si="13">B57-(SUM(D57:E57))</f>
        <v>-14506248</v>
      </c>
      <c r="G57" s="930"/>
      <c r="I57" s="981">
        <f>ROUND($F$54/$I$8,0)</f>
        <v>696352</v>
      </c>
      <c r="J57" s="400"/>
      <c r="K57" s="400"/>
      <c r="L57" s="400"/>
      <c r="M57" s="400"/>
      <c r="N57" s="400"/>
      <c r="O57" s="400"/>
      <c r="P57" s="333"/>
      <c r="Q57" s="333"/>
      <c r="R57" s="333"/>
      <c r="S57" s="333"/>
      <c r="T57" s="333"/>
      <c r="U57" s="333"/>
      <c r="V57" s="333"/>
      <c r="W57" s="333"/>
      <c r="X57" s="333"/>
      <c r="Y57" s="333"/>
      <c r="Z57" s="333"/>
      <c r="AA57" s="333"/>
      <c r="AB57" s="333"/>
      <c r="AC57" s="333"/>
      <c r="AD57" s="333"/>
    </row>
    <row r="58" spans="1:30">
      <c r="A58" s="277" t="s">
        <v>566</v>
      </c>
      <c r="B58" s="669">
        <f>'UNTHSC FGD'!M81</f>
        <v>-19510962</v>
      </c>
      <c r="C58" s="669"/>
      <c r="D58" s="982">
        <f>'UNTHSC FGD'!F81</f>
        <v>-173040</v>
      </c>
      <c r="E58" s="915"/>
      <c r="F58" s="754">
        <f t="shared" si="13"/>
        <v>-19337922</v>
      </c>
      <c r="K58" s="980"/>
      <c r="L58" s="980"/>
      <c r="M58" s="980"/>
      <c r="N58" s="980"/>
      <c r="O58" s="980"/>
    </row>
    <row r="59" spans="1:30">
      <c r="A59" s="983" t="s">
        <v>567</v>
      </c>
      <c r="B59" s="669">
        <f>'UNTHSC FGD'!M82</f>
        <v>0</v>
      </c>
      <c r="C59" s="669"/>
      <c r="D59" s="982">
        <f>'UNTHSC FGD'!F82</f>
        <v>0</v>
      </c>
      <c r="E59" s="915"/>
      <c r="F59" s="754">
        <f t="shared" si="13"/>
        <v>0</v>
      </c>
      <c r="G59" s="400"/>
      <c r="J59" s="400"/>
      <c r="K59" s="400"/>
      <c r="L59" s="400"/>
      <c r="M59" s="400"/>
      <c r="N59" s="400"/>
      <c r="O59" s="400"/>
    </row>
    <row r="60" spans="1:30" ht="12" customHeight="1">
      <c r="A60" s="277" t="s">
        <v>477</v>
      </c>
      <c r="B60" s="669">
        <f>'UNTHSC FGD'!M83</f>
        <v>-866</v>
      </c>
      <c r="C60" s="669"/>
      <c r="D60" s="982">
        <f>'UNTHSC FGD'!F83</f>
        <v>0</v>
      </c>
      <c r="E60" s="915"/>
      <c r="F60" s="754">
        <f t="shared" si="13"/>
        <v>-866</v>
      </c>
      <c r="J60" s="400"/>
      <c r="K60" s="400"/>
      <c r="L60" s="400"/>
      <c r="M60" s="400"/>
      <c r="N60" s="400"/>
      <c r="O60" s="400"/>
      <c r="P60" s="333"/>
      <c r="Q60" s="333"/>
      <c r="R60" s="333"/>
      <c r="S60" s="333"/>
      <c r="T60" s="333"/>
      <c r="U60" s="333"/>
      <c r="V60" s="333"/>
      <c r="W60" s="333"/>
      <c r="X60" s="333"/>
      <c r="Y60" s="333"/>
      <c r="Z60" s="333"/>
      <c r="AA60" s="333"/>
      <c r="AB60" s="333"/>
      <c r="AC60" s="333"/>
      <c r="AD60" s="333"/>
    </row>
    <row r="61" spans="1:30">
      <c r="A61" s="936" t="s">
        <v>155</v>
      </c>
      <c r="B61" s="937">
        <f>SUM(B57:B60)</f>
        <v>-34018076</v>
      </c>
      <c r="C61" s="937"/>
      <c r="D61" s="937">
        <f>SUM(D57:D60)</f>
        <v>-173040</v>
      </c>
      <c r="E61" s="937">
        <f>SUM(E57:E60)</f>
        <v>0</v>
      </c>
      <c r="F61" s="984">
        <f>SUM(F57:F60)</f>
        <v>-33845036</v>
      </c>
      <c r="J61" s="400"/>
      <c r="K61" s="400"/>
      <c r="L61" s="400"/>
      <c r="M61" s="400"/>
      <c r="N61" s="400"/>
      <c r="O61" s="400"/>
    </row>
    <row r="62" spans="1:30">
      <c r="C62" s="277"/>
      <c r="O62" s="320"/>
    </row>
    <row r="63" spans="1:30">
      <c r="A63" s="279" t="s">
        <v>478</v>
      </c>
      <c r="C63" s="277"/>
      <c r="O63" s="320"/>
      <c r="P63" s="333"/>
      <c r="Q63" s="333"/>
      <c r="R63" s="333"/>
      <c r="S63" s="333"/>
      <c r="T63" s="333"/>
      <c r="U63" s="333"/>
      <c r="V63" s="333"/>
      <c r="W63" s="333"/>
      <c r="X63" s="333"/>
      <c r="Y63" s="333"/>
      <c r="Z63" s="333"/>
      <c r="AA63" s="333"/>
      <c r="AB63" s="333"/>
      <c r="AC63" s="333"/>
      <c r="AD63" s="333"/>
    </row>
    <row r="64" spans="1:30">
      <c r="A64" s="277" t="s">
        <v>479</v>
      </c>
      <c r="B64" s="669">
        <f>'UNTHSC FGD'!M87</f>
        <v>-33979933</v>
      </c>
      <c r="C64" s="669"/>
      <c r="D64" s="492">
        <f>'UNTHSC FGD'!F87</f>
        <v>0</v>
      </c>
      <c r="E64" s="492"/>
      <c r="F64" s="492">
        <f t="shared" ref="F64:F65" si="14">B64-(SUM(D64:E64))</f>
        <v>-33979933</v>
      </c>
      <c r="O64" s="320"/>
    </row>
    <row r="65" spans="1:30">
      <c r="A65" s="277" t="s">
        <v>480</v>
      </c>
      <c r="B65" s="669">
        <f>'UNTHSC FGD'!M88</f>
        <v>0</v>
      </c>
      <c r="C65" s="669"/>
      <c r="D65" s="982">
        <f>'UNTHSC FGD'!F88</f>
        <v>0</v>
      </c>
      <c r="E65" s="915"/>
      <c r="F65" s="754">
        <f t="shared" si="14"/>
        <v>0</v>
      </c>
      <c r="O65" s="320"/>
      <c r="P65" s="333"/>
      <c r="Q65" s="333"/>
      <c r="R65" s="333"/>
      <c r="S65" s="333"/>
      <c r="T65" s="333"/>
      <c r="U65" s="333"/>
      <c r="V65" s="333"/>
      <c r="W65" s="333"/>
      <c r="X65" s="333"/>
      <c r="Y65" s="333"/>
      <c r="Z65" s="333"/>
      <c r="AA65" s="333"/>
      <c r="AB65" s="333"/>
      <c r="AC65" s="333"/>
      <c r="AD65" s="333"/>
    </row>
    <row r="66" spans="1:30">
      <c r="A66" s="936" t="s">
        <v>155</v>
      </c>
      <c r="B66" s="937">
        <f>SUM(B64:B65)</f>
        <v>-33979933</v>
      </c>
      <c r="C66" s="937"/>
      <c r="D66" s="937">
        <f>SUM(D64:D65)</f>
        <v>0</v>
      </c>
      <c r="E66" s="937">
        <f>SUM(E64:E65)</f>
        <v>0</v>
      </c>
      <c r="F66" s="937">
        <f>SUM(F64:F65)</f>
        <v>-33979933</v>
      </c>
      <c r="O66" s="320"/>
    </row>
    <row r="67" spans="1:30">
      <c r="C67" s="277"/>
      <c r="O67" s="320"/>
    </row>
    <row r="68" spans="1:30" ht="13.8" thickBot="1">
      <c r="A68" s="985" t="s">
        <v>572</v>
      </c>
      <c r="B68" s="590">
        <f>B39-B54+B61+B66</f>
        <v>-17524035</v>
      </c>
      <c r="C68" s="590"/>
      <c r="D68" s="590">
        <f>D39-D54+D61+D66</f>
        <v>330505</v>
      </c>
      <c r="E68" s="590">
        <f>E39-E54+E61+E66</f>
        <v>-33631001</v>
      </c>
      <c r="F68" s="590">
        <f>F39-F54+F61+F66</f>
        <v>15776461</v>
      </c>
      <c r="O68" s="320"/>
    </row>
    <row r="69" spans="1:30" ht="13.8" thickTop="1"/>
    <row r="70" spans="1:30">
      <c r="A70" s="320" t="s">
        <v>573</v>
      </c>
      <c r="D70" s="492"/>
    </row>
    <row r="71" spans="1:30">
      <c r="A71" s="277" t="s">
        <v>7</v>
      </c>
    </row>
    <row r="72" spans="1:30">
      <c r="B72" s="986">
        <f>'UNTHSC FGD'!$M$91</f>
        <v>-17524035</v>
      </c>
      <c r="C72" s="277"/>
      <c r="D72" s="986">
        <f>'UNTHSC FGD'!F91</f>
        <v>330505</v>
      </c>
      <c r="E72" s="986">
        <f>'UNTHSC FGD'!M50</f>
        <v>12885666</v>
      </c>
      <c r="F72" s="277"/>
    </row>
    <row r="73" spans="1:30">
      <c r="B73" s="986"/>
      <c r="C73" s="277"/>
      <c r="D73" s="986">
        <f>'UNTHSC FGD'!F74</f>
        <v>177508</v>
      </c>
      <c r="E73" s="986">
        <f>'UNTHSC FGD'!M53</f>
        <v>0</v>
      </c>
      <c r="F73" s="986"/>
    </row>
    <row r="74" spans="1:30">
      <c r="B74" s="986"/>
      <c r="C74" s="277"/>
      <c r="D74" s="986">
        <f>-'UNTHSC FGD'!M74</f>
        <v>-177508</v>
      </c>
      <c r="E74" s="986">
        <f>-'UNTHSC FGD'!M68</f>
        <v>0</v>
      </c>
      <c r="F74" s="986"/>
    </row>
    <row r="75" spans="1:30">
      <c r="B75" s="986"/>
      <c r="C75" s="277"/>
      <c r="D75" s="986"/>
      <c r="E75" s="986">
        <f>-'UNTHSC FGD'!M67</f>
        <v>-46516667</v>
      </c>
      <c r="F75" s="986"/>
    </row>
    <row r="76" spans="1:30" ht="12.75" customHeight="1">
      <c r="B76" s="987"/>
      <c r="C76" s="277"/>
      <c r="D76" s="987"/>
      <c r="E76" s="987">
        <f>-D26</f>
        <v>0</v>
      </c>
      <c r="F76" s="986"/>
    </row>
    <row r="77" spans="1:30" ht="12.75" customHeight="1">
      <c r="B77" s="986">
        <f>SUM(B72:B76)</f>
        <v>-17524035</v>
      </c>
      <c r="C77" s="277"/>
      <c r="D77" s="986">
        <f>SUM(D72:D76)</f>
        <v>330505</v>
      </c>
      <c r="E77" s="986">
        <f>SUM(E72:E76)</f>
        <v>-33631001</v>
      </c>
      <c r="F77" s="986">
        <f>B77-D77-E77</f>
        <v>15776461</v>
      </c>
    </row>
    <row r="78" spans="1:30" ht="12.75" customHeight="1">
      <c r="B78" s="986"/>
      <c r="C78" s="277"/>
      <c r="D78" s="986"/>
      <c r="E78" s="986"/>
      <c r="F78" s="986"/>
    </row>
    <row r="79" spans="1:30" ht="12.75" customHeight="1">
      <c r="B79" s="987"/>
      <c r="C79" s="538"/>
      <c r="D79" s="987"/>
      <c r="E79" s="987"/>
      <c r="F79" s="987"/>
    </row>
    <row r="80" spans="1:30" ht="12.75" customHeight="1">
      <c r="B80" s="986">
        <f>SUM(B77:B79)</f>
        <v>-17524035</v>
      </c>
      <c r="C80" s="277"/>
      <c r="D80" s="986">
        <f>SUM(D77:D79)</f>
        <v>330505</v>
      </c>
      <c r="E80" s="986">
        <f>SUM(E77:E79)</f>
        <v>-33631001</v>
      </c>
      <c r="F80" s="986">
        <f>SUM(F77:F79)</f>
        <v>15776461</v>
      </c>
    </row>
    <row r="81" spans="2:6">
      <c r="B81" s="986"/>
      <c r="C81" s="277"/>
      <c r="D81" s="986"/>
      <c r="E81" s="986"/>
      <c r="F81" s="986"/>
    </row>
    <row r="82" spans="2:6">
      <c r="B82" s="492">
        <f>B68-B80</f>
        <v>0</v>
      </c>
      <c r="C82" s="277"/>
      <c r="D82" s="492">
        <f>D68-D80</f>
        <v>0</v>
      </c>
      <c r="E82" s="492">
        <f>E68-E80</f>
        <v>0</v>
      </c>
      <c r="F82" s="492">
        <f>F68-F80</f>
        <v>0</v>
      </c>
    </row>
    <row r="83" spans="2:6">
      <c r="C83" s="277"/>
      <c r="F83" s="988" t="str">
        <f>IF(F82=0,"Balanced","Error")</f>
        <v>Balanced</v>
      </c>
    </row>
  </sheetData>
  <mergeCells count="15">
    <mergeCell ref="K45:O45"/>
    <mergeCell ref="G54:H56"/>
    <mergeCell ref="J55:J56"/>
    <mergeCell ref="K37:K40"/>
    <mergeCell ref="L37:L40"/>
    <mergeCell ref="M37:M40"/>
    <mergeCell ref="N37:N40"/>
    <mergeCell ref="O37:O40"/>
    <mergeCell ref="G38:H38"/>
    <mergeCell ref="G39:H39"/>
    <mergeCell ref="F1:I1"/>
    <mergeCell ref="J1:O1"/>
    <mergeCell ref="E4:E5"/>
    <mergeCell ref="K35:O35"/>
    <mergeCell ref="K36:O36"/>
  </mergeCells>
  <hyperlinks>
    <hyperlink ref="E1" location="Index!A1" display="Return to Index" xr:uid="{00000000-0004-0000-53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indexed="11"/>
    <pageSetUpPr fitToPage="1"/>
  </sheetPr>
  <dimension ref="A1:AB132"/>
  <sheetViews>
    <sheetView showGridLines="0" zoomScale="75" zoomScaleNormal="75" workbookViewId="0">
      <pane xSplit="2" ySplit="8" topLeftCell="D9"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5.6640625" style="656" hidden="1" customWidth="1"/>
    <col min="2" max="2" width="60.109375" style="751" customWidth="1"/>
    <col min="3" max="3" width="60.109375" style="751" hidden="1" customWidth="1"/>
    <col min="4" max="4" width="15.5546875" style="751" customWidth="1"/>
    <col min="5" max="5" width="14.6640625" style="751" customWidth="1"/>
    <col min="6" max="6" width="15.109375" style="751" customWidth="1"/>
    <col min="7" max="7" width="16" style="751" customWidth="1"/>
    <col min="8" max="8" width="12.6640625" style="751" customWidth="1"/>
    <col min="9" max="9" width="17.44140625" style="751" customWidth="1"/>
    <col min="10" max="10" width="15.5546875" style="751" customWidth="1"/>
    <col min="11" max="11" width="16" style="751" customWidth="1"/>
    <col min="12" max="12" width="15.5546875" style="751" customWidth="1"/>
    <col min="13" max="13" width="17" style="751" customWidth="1"/>
    <col min="14" max="14" width="5.44140625" style="751" customWidth="1"/>
    <col min="15" max="15" width="16.6640625" style="320" customWidth="1"/>
    <col min="16" max="16" width="23.6640625" style="320" customWidth="1"/>
    <col min="17" max="17" width="16.44140625" style="320" customWidth="1"/>
    <col min="18" max="18" width="14.6640625" style="320" customWidth="1"/>
    <col min="19" max="19" width="20.5546875" style="320" customWidth="1"/>
    <col min="20" max="20" width="2.44140625" style="320" customWidth="1"/>
    <col min="21" max="21" width="27.6640625" style="320" customWidth="1"/>
    <col min="22" max="22" width="2.6640625" style="320" customWidth="1"/>
    <col min="23" max="23" width="19.5546875" style="320" customWidth="1"/>
    <col min="24" max="24" width="19.88671875" style="320" customWidth="1"/>
    <col min="25" max="25" width="21.88671875" style="320" customWidth="1"/>
    <col min="26" max="26" width="17" style="320" customWidth="1"/>
    <col min="27" max="27" width="16.6640625" style="320" customWidth="1"/>
    <col min="28" max="28" width="12.6640625" style="320" customWidth="1"/>
    <col min="29" max="29" width="9.109375" style="751"/>
    <col min="30" max="30" width="24.5546875" style="751" customWidth="1"/>
    <col min="31" max="16384" width="9.109375" style="751"/>
  </cols>
  <sheetData>
    <row r="1" spans="1:28" s="656" customFormat="1" hidden="1">
      <c r="A1" s="656">
        <v>0</v>
      </c>
      <c r="B1" s="656">
        <v>1</v>
      </c>
      <c r="D1" s="656">
        <v>2</v>
      </c>
      <c r="E1" s="656">
        <v>3</v>
      </c>
      <c r="F1" s="656">
        <v>4</v>
      </c>
      <c r="G1" s="656">
        <v>5</v>
      </c>
      <c r="H1" s="656">
        <v>6</v>
      </c>
      <c r="I1" s="656">
        <v>7</v>
      </c>
      <c r="J1" s="656">
        <v>8</v>
      </c>
      <c r="K1" s="656">
        <v>9</v>
      </c>
      <c r="L1" s="656">
        <v>10</v>
      </c>
      <c r="M1" s="656">
        <v>11</v>
      </c>
      <c r="N1" s="656">
        <v>12</v>
      </c>
      <c r="O1" s="322"/>
      <c r="P1" s="322"/>
      <c r="Q1" s="322"/>
      <c r="R1" s="322"/>
      <c r="S1" s="322"/>
      <c r="T1" s="322"/>
      <c r="U1" s="322"/>
      <c r="V1" s="322"/>
      <c r="W1" s="322"/>
      <c r="X1" s="322"/>
      <c r="Y1" s="322"/>
      <c r="Z1" s="322"/>
      <c r="AA1" s="322"/>
      <c r="AB1" s="322"/>
    </row>
    <row r="2" spans="1:28" ht="21">
      <c r="A2" s="656">
        <v>1</v>
      </c>
      <c r="B2" s="749" t="str">
        <f>'UNTHSC Chts'!$A$1</f>
        <v>University of North Texas Health Science Center at Fort Worth (Public Medical + Private Medical)</v>
      </c>
      <c r="C2" s="749"/>
      <c r="D2" s="749"/>
      <c r="E2" s="749"/>
      <c r="F2" s="749"/>
      <c r="G2" s="749"/>
      <c r="H2" s="750"/>
      <c r="J2" s="752" t="str">
        <f>IF($B$2&lt;&gt;Input!$H$21,"Name Mismatch","")</f>
        <v/>
      </c>
      <c r="K2" s="750"/>
      <c r="L2" s="750"/>
      <c r="M2" s="672"/>
      <c r="O2" s="321" t="s">
        <v>51</v>
      </c>
      <c r="P2" s="334"/>
    </row>
    <row r="3" spans="1:28" ht="21">
      <c r="A3" s="656">
        <v>2</v>
      </c>
      <c r="B3" s="1168" t="str">
        <f>'Smmy Chts'!$A$2</f>
        <v>For the Year Ended August 31, 2022</v>
      </c>
      <c r="C3" s="1168"/>
      <c r="D3" s="1168"/>
      <c r="E3" s="1168"/>
      <c r="F3" s="1168"/>
      <c r="G3" s="753" t="s">
        <v>720</v>
      </c>
      <c r="H3" s="750"/>
      <c r="I3" s="750"/>
      <c r="J3" s="750"/>
      <c r="K3" s="750"/>
      <c r="L3" s="750"/>
      <c r="M3" s="672"/>
      <c r="O3" s="754"/>
    </row>
    <row r="4" spans="1:28" ht="21">
      <c r="A4" s="656">
        <v>3</v>
      </c>
      <c r="B4" s="1168" t="str">
        <f>'Smmy Chts'!$A$3</f>
        <v>Source: FY 2022 Annual Financial Report</v>
      </c>
      <c r="C4" s="1168"/>
      <c r="D4" s="1168"/>
      <c r="E4" s="1168"/>
      <c r="F4" s="1168"/>
      <c r="G4" s="753" t="s">
        <v>713</v>
      </c>
      <c r="H4" s="750"/>
      <c r="I4" s="750"/>
      <c r="J4" s="750"/>
      <c r="K4" s="750"/>
      <c r="L4" s="750"/>
      <c r="M4" s="672"/>
      <c r="O4" s="754"/>
      <c r="P4" s="1204" t="s">
        <v>625</v>
      </c>
      <c r="Q4" s="1205"/>
      <c r="S4" s="334" t="s">
        <v>626</v>
      </c>
    </row>
    <row r="5" spans="1:28">
      <c r="A5" s="656">
        <v>4</v>
      </c>
      <c r="M5" s="656"/>
      <c r="O5" s="322"/>
    </row>
    <row r="6" spans="1:28">
      <c r="A6" s="656">
        <v>5</v>
      </c>
      <c r="B6" s="1227" t="str">
        <f>'Smmy Chts'!$C$32</f>
        <v>Detail Worksheet FY 2022</v>
      </c>
      <c r="C6" s="1227"/>
      <c r="D6" s="1228"/>
      <c r="E6" s="1228"/>
      <c r="F6" s="1228"/>
      <c r="G6" s="1228"/>
      <c r="H6" s="1228"/>
      <c r="I6" s="1228"/>
      <c r="J6" s="1228"/>
      <c r="K6" s="1228"/>
      <c r="L6" s="1228"/>
      <c r="M6" s="1228"/>
      <c r="O6" s="322"/>
    </row>
    <row r="7" spans="1:28">
      <c r="A7" s="656">
        <v>6</v>
      </c>
      <c r="B7" s="755"/>
      <c r="C7" s="755"/>
      <c r="M7" s="756" t="str">
        <f>'Smmy Chts'!$C$33</f>
        <v>FY 2022</v>
      </c>
      <c r="P7" s="757"/>
      <c r="Q7" s="752"/>
      <c r="R7" s="752"/>
      <c r="S7" s="752"/>
      <c r="T7" s="752"/>
      <c r="U7" s="752"/>
    </row>
    <row r="8" spans="1:28" ht="39.6">
      <c r="A8" s="656">
        <v>7</v>
      </c>
      <c r="B8" s="758" t="s">
        <v>151</v>
      </c>
      <c r="C8" s="758"/>
      <c r="D8" s="759" t="s">
        <v>582</v>
      </c>
      <c r="E8" s="759" t="s">
        <v>583</v>
      </c>
      <c r="F8" s="759" t="s">
        <v>186</v>
      </c>
      <c r="G8" s="759" t="s">
        <v>584</v>
      </c>
      <c r="H8" s="759" t="s">
        <v>585</v>
      </c>
      <c r="I8" s="759" t="s">
        <v>586</v>
      </c>
      <c r="J8" s="759" t="s">
        <v>587</v>
      </c>
      <c r="K8" s="759" t="s">
        <v>588</v>
      </c>
      <c r="L8" s="759" t="s">
        <v>589</v>
      </c>
      <c r="M8" s="759" t="s">
        <v>590</v>
      </c>
      <c r="P8" s="760"/>
      <c r="Q8" s="752"/>
      <c r="R8" s="752"/>
      <c r="S8" s="752"/>
      <c r="T8" s="752"/>
      <c r="U8" s="752"/>
    </row>
    <row r="9" spans="1:28">
      <c r="A9" s="656">
        <v>8</v>
      </c>
      <c r="B9" s="755" t="s">
        <v>152</v>
      </c>
      <c r="C9" s="755"/>
      <c r="D9" s="761"/>
      <c r="E9" s="761"/>
      <c r="F9" s="761"/>
      <c r="G9" s="761"/>
      <c r="H9" s="761"/>
      <c r="I9" s="761"/>
      <c r="J9" s="761"/>
      <c r="K9" s="761"/>
      <c r="L9" s="761"/>
      <c r="M9" s="761"/>
      <c r="P9" s="760"/>
      <c r="T9" s="752"/>
      <c r="U9" s="752"/>
    </row>
    <row r="10" spans="1:28" s="752" customFormat="1">
      <c r="A10" s="460">
        <v>9</v>
      </c>
      <c r="B10" s="752" t="s">
        <v>101</v>
      </c>
      <c r="D10" s="762">
        <f>Input!$M$21</f>
        <v>112276178</v>
      </c>
      <c r="E10" s="762">
        <f>Input!$N$21</f>
        <v>0</v>
      </c>
      <c r="F10" s="762">
        <f>Input!$O$21</f>
        <v>0</v>
      </c>
      <c r="G10" s="762">
        <f>Input!$P$21</f>
        <v>0</v>
      </c>
      <c r="H10" s="762">
        <f>Input!$Q$21</f>
        <v>0</v>
      </c>
      <c r="I10" s="762">
        <f>Input!$R$21</f>
        <v>0</v>
      </c>
      <c r="J10" s="762">
        <f>Input!$S$21</f>
        <v>0</v>
      </c>
      <c r="K10" s="762">
        <f>Input!$T$21</f>
        <v>0</v>
      </c>
      <c r="L10" s="762">
        <f>Input!$U$21</f>
        <v>0</v>
      </c>
      <c r="M10" s="723">
        <f t="shared" ref="M10:M15" si="0">D10+E10+F10+G10+H10+I10+J10+K10+L10</f>
        <v>112276178</v>
      </c>
      <c r="O10" s="763"/>
      <c r="P10" s="1200" t="s">
        <v>627</v>
      </c>
      <c r="Q10" s="320"/>
      <c r="R10" s="320"/>
      <c r="S10" s="320"/>
      <c r="V10" s="320"/>
      <c r="W10" s="320"/>
      <c r="X10" s="320"/>
      <c r="Y10" s="320"/>
      <c r="Z10" s="320"/>
      <c r="AA10" s="320"/>
      <c r="AB10" s="320"/>
    </row>
    <row r="11" spans="1:28" s="752" customFormat="1">
      <c r="A11" s="460">
        <v>10</v>
      </c>
      <c r="B11" s="752" t="s">
        <v>134</v>
      </c>
      <c r="D11" s="762">
        <f>Input!$V$21</f>
        <v>900772</v>
      </c>
      <c r="E11" s="762">
        <f>Input!$W$21</f>
        <v>0</v>
      </c>
      <c r="F11" s="762">
        <f>Input!$X$21</f>
        <v>0</v>
      </c>
      <c r="G11" s="762">
        <f>Input!$Y$21</f>
        <v>1191897</v>
      </c>
      <c r="H11" s="762">
        <f>Input!$Z$21</f>
        <v>0</v>
      </c>
      <c r="I11" s="762">
        <f>Input!$AA$21</f>
        <v>0</v>
      </c>
      <c r="J11" s="762">
        <f>Input!$AB$21</f>
        <v>0</v>
      </c>
      <c r="K11" s="762">
        <f>Input!$AC$21</f>
        <v>0</v>
      </c>
      <c r="L11" s="762">
        <f>Input!$AD$21</f>
        <v>0</v>
      </c>
      <c r="M11" s="723">
        <f t="shared" si="0"/>
        <v>2092669</v>
      </c>
      <c r="N11" s="763"/>
      <c r="O11" s="764"/>
      <c r="P11" s="1198"/>
      <c r="Q11" s="320"/>
      <c r="R11" s="320"/>
      <c r="S11" s="320"/>
      <c r="V11" s="320"/>
      <c r="W11" s="320"/>
      <c r="X11" s="320"/>
      <c r="Y11" s="320"/>
      <c r="Z11" s="320"/>
      <c r="AA11" s="320"/>
      <c r="AB11" s="320"/>
    </row>
    <row r="12" spans="1:28" s="752" customFormat="1" ht="12.75" hidden="1" customHeight="1">
      <c r="A12" s="460"/>
      <c r="B12" s="752" t="s">
        <v>537</v>
      </c>
      <c r="D12" s="762"/>
      <c r="E12" s="762"/>
      <c r="F12" s="762"/>
      <c r="G12" s="762"/>
      <c r="H12" s="762"/>
      <c r="I12" s="762"/>
      <c r="J12" s="762"/>
      <c r="K12" s="762"/>
      <c r="L12" s="762"/>
      <c r="M12" s="723"/>
      <c r="O12" s="764"/>
      <c r="P12" s="765"/>
      <c r="Q12" s="320"/>
      <c r="R12" s="320"/>
      <c r="S12" s="320"/>
      <c r="T12" s="766"/>
      <c r="V12" s="320"/>
      <c r="W12" s="320"/>
      <c r="X12" s="320"/>
      <c r="Y12" s="320"/>
      <c r="Z12" s="320"/>
      <c r="AA12" s="320"/>
      <c r="AB12" s="320"/>
    </row>
    <row r="13" spans="1:28" s="752" customFormat="1">
      <c r="A13" s="460">
        <v>12</v>
      </c>
      <c r="B13" s="752" t="s">
        <v>468</v>
      </c>
      <c r="D13" s="762">
        <f>Input!$AN$21</f>
        <v>15125502</v>
      </c>
      <c r="E13" s="762">
        <f>Input!$AO$21</f>
        <v>0</v>
      </c>
      <c r="F13" s="762">
        <f>Input!$AP$21</f>
        <v>0</v>
      </c>
      <c r="G13" s="762">
        <f>Input!$AQ$21</f>
        <v>0</v>
      </c>
      <c r="H13" s="762">
        <f>Input!$AR$21</f>
        <v>0</v>
      </c>
      <c r="I13" s="762">
        <f>Input!$AS$21</f>
        <v>0</v>
      </c>
      <c r="J13" s="762">
        <f>Input!$AT$21</f>
        <v>0</v>
      </c>
      <c r="K13" s="762">
        <f>Input!$AU$21</f>
        <v>0</v>
      </c>
      <c r="L13" s="762">
        <f>Input!$AV$21</f>
        <v>0</v>
      </c>
      <c r="M13" s="723">
        <f t="shared" si="0"/>
        <v>15125502</v>
      </c>
      <c r="O13" s="764" t="str">
        <f>IF(P13&lt;&gt;M13,"Out of Balance","Balanced")</f>
        <v>Balanced</v>
      </c>
      <c r="P13" s="767">
        <f>IFERROR(VLOOKUP($B$2,AMTLU,6,FALSE),0)</f>
        <v>15125502</v>
      </c>
      <c r="Q13" s="320"/>
      <c r="R13" s="320"/>
      <c r="S13" s="320"/>
      <c r="V13" s="320"/>
      <c r="W13" s="320"/>
      <c r="X13" s="320"/>
      <c r="Y13" s="320"/>
      <c r="Z13" s="320"/>
      <c r="AA13" s="320"/>
      <c r="AB13" s="320"/>
    </row>
    <row r="14" spans="1:28" s="752" customFormat="1" ht="15">
      <c r="A14" s="460">
        <v>13</v>
      </c>
      <c r="B14" s="752" t="s">
        <v>135</v>
      </c>
      <c r="D14" s="762">
        <f>Input!$AW$21</f>
        <v>0</v>
      </c>
      <c r="E14" s="762">
        <f>Input!$AX$21</f>
        <v>0</v>
      </c>
      <c r="F14" s="762">
        <f>Input!$AY$21</f>
        <v>0</v>
      </c>
      <c r="G14" s="762">
        <f>Input!$AZ$21</f>
        <v>0</v>
      </c>
      <c r="H14" s="762">
        <f>Input!$BA$21</f>
        <v>0</v>
      </c>
      <c r="I14" s="762">
        <f>Input!$BB$21</f>
        <v>0</v>
      </c>
      <c r="J14" s="762">
        <f>Input!$BC$21</f>
        <v>0</v>
      </c>
      <c r="K14" s="762">
        <f>Input!$BD$21</f>
        <v>0</v>
      </c>
      <c r="L14" s="762">
        <f>Input!$BE$21</f>
        <v>0</v>
      </c>
      <c r="M14" s="723">
        <f t="shared" si="0"/>
        <v>0</v>
      </c>
      <c r="O14" s="406"/>
      <c r="P14" s="334"/>
      <c r="Q14" s="320"/>
      <c r="R14" s="320"/>
      <c r="S14" s="320"/>
      <c r="T14" s="320"/>
      <c r="U14" s="320"/>
      <c r="V14" s="320"/>
      <c r="W14" s="320"/>
      <c r="X14" s="320"/>
      <c r="Y14" s="320"/>
      <c r="Z14" s="320"/>
      <c r="AA14" s="320"/>
      <c r="AB14" s="320"/>
    </row>
    <row r="15" spans="1:28" s="752" customFormat="1" ht="15">
      <c r="A15" s="460">
        <v>14</v>
      </c>
      <c r="B15" s="768" t="s">
        <v>155</v>
      </c>
      <c r="C15" s="768"/>
      <c r="D15" s="769">
        <f>SUM(D10:D14)</f>
        <v>128302452</v>
      </c>
      <c r="E15" s="769">
        <f t="shared" ref="E15:L15" si="1">SUM(E10:E14)</f>
        <v>0</v>
      </c>
      <c r="F15" s="769">
        <f t="shared" si="1"/>
        <v>0</v>
      </c>
      <c r="G15" s="769">
        <f t="shared" si="1"/>
        <v>1191897</v>
      </c>
      <c r="H15" s="769">
        <f t="shared" si="1"/>
        <v>0</v>
      </c>
      <c r="I15" s="769">
        <f t="shared" si="1"/>
        <v>0</v>
      </c>
      <c r="J15" s="769">
        <f t="shared" si="1"/>
        <v>0</v>
      </c>
      <c r="K15" s="769">
        <f t="shared" si="1"/>
        <v>0</v>
      </c>
      <c r="L15" s="769">
        <f t="shared" si="1"/>
        <v>0</v>
      </c>
      <c r="M15" s="769">
        <f t="shared" si="0"/>
        <v>129494349</v>
      </c>
      <c r="O15" s="406"/>
      <c r="P15" s="334"/>
      <c r="Q15" s="320"/>
      <c r="R15" s="320"/>
      <c r="S15" s="320"/>
      <c r="T15" s="320"/>
      <c r="U15" s="320"/>
      <c r="V15" s="320"/>
      <c r="W15" s="320"/>
      <c r="X15" s="320"/>
      <c r="Y15" s="320"/>
      <c r="Z15" s="320"/>
      <c r="AA15" s="320"/>
      <c r="AB15" s="320"/>
    </row>
    <row r="16" spans="1:28" s="752" customFormat="1" ht="12.75" customHeight="1">
      <c r="A16" s="460">
        <v>15</v>
      </c>
      <c r="D16" s="723"/>
      <c r="E16" s="723"/>
      <c r="F16" s="723"/>
      <c r="G16" s="723"/>
      <c r="H16" s="723"/>
      <c r="I16" s="723"/>
      <c r="J16" s="723"/>
      <c r="K16" s="723"/>
      <c r="L16" s="723"/>
      <c r="M16" s="723"/>
      <c r="O16" s="406"/>
      <c r="P16" s="770"/>
      <c r="Q16" s="757"/>
      <c r="W16" s="320"/>
      <c r="X16" s="320"/>
      <c r="Y16" s="320"/>
      <c r="Z16" s="320"/>
      <c r="AA16" s="320"/>
      <c r="AB16" s="320"/>
    </row>
    <row r="17" spans="1:26" s="752" customFormat="1" ht="14.25" customHeight="1">
      <c r="A17" s="460">
        <v>16</v>
      </c>
      <c r="B17" s="771" t="s">
        <v>161</v>
      </c>
      <c r="C17" s="771"/>
      <c r="D17" s="723"/>
      <c r="E17" s="723"/>
      <c r="F17" s="723"/>
      <c r="G17" s="723"/>
      <c r="H17" s="723"/>
      <c r="I17" s="723"/>
      <c r="J17" s="723"/>
      <c r="K17" s="723"/>
      <c r="L17" s="723"/>
      <c r="M17" s="723"/>
      <c r="N17" s="400"/>
      <c r="O17" s="400"/>
      <c r="P17" s="400"/>
      <c r="Q17" s="400"/>
      <c r="U17" s="752" t="s">
        <v>628</v>
      </c>
    </row>
    <row r="18" spans="1:26" s="320" customFormat="1" ht="13.5" customHeight="1" thickBot="1">
      <c r="A18" s="322"/>
      <c r="B18" s="772" t="s">
        <v>228</v>
      </c>
      <c r="C18" s="772"/>
      <c r="D18" s="769">
        <f t="shared" ref="D18:L18" si="2">D23-SUM(D19:D22)</f>
        <v>14265302</v>
      </c>
      <c r="E18" s="769">
        <f t="shared" si="2"/>
        <v>13377771</v>
      </c>
      <c r="F18" s="769">
        <f t="shared" si="2"/>
        <v>0</v>
      </c>
      <c r="G18" s="769">
        <f t="shared" si="2"/>
        <v>0</v>
      </c>
      <c r="H18" s="769">
        <f t="shared" si="2"/>
        <v>0</v>
      </c>
      <c r="I18" s="769">
        <f t="shared" si="2"/>
        <v>0</v>
      </c>
      <c r="J18" s="769">
        <f t="shared" si="2"/>
        <v>0</v>
      </c>
      <c r="K18" s="769">
        <f t="shared" si="2"/>
        <v>0</v>
      </c>
      <c r="L18" s="769">
        <f t="shared" si="2"/>
        <v>0</v>
      </c>
      <c r="M18" s="769">
        <f t="shared" ref="M18:M29" si="3">D18+E18+F18+G18+H18+I18+J18+K18+L18</f>
        <v>27643073</v>
      </c>
      <c r="V18" s="723"/>
      <c r="X18" s="492"/>
    </row>
    <row r="19" spans="1:26" s="320" customFormat="1" ht="12.75" customHeight="1" thickTop="1" thickBot="1">
      <c r="A19" s="322"/>
      <c r="B19" s="320" t="s">
        <v>592</v>
      </c>
      <c r="D19" s="762">
        <f>Input!$BF$21</f>
        <v>0</v>
      </c>
      <c r="E19" s="762">
        <f>Input!$BG$21</f>
        <v>0</v>
      </c>
      <c r="F19" s="762">
        <f>Input!$BH$21</f>
        <v>0</v>
      </c>
      <c r="G19" s="762">
        <f>Input!$BI$21</f>
        <v>0</v>
      </c>
      <c r="H19" s="762">
        <f>Input!$BJ$21</f>
        <v>0</v>
      </c>
      <c r="I19" s="762">
        <f>Input!BK6</f>
        <v>0</v>
      </c>
      <c r="J19" s="762">
        <f>Input!$BL$21</f>
        <v>0</v>
      </c>
      <c r="K19" s="762">
        <f>Input!BM6</f>
        <v>0</v>
      </c>
      <c r="L19" s="762">
        <f>Input!BN6</f>
        <v>0</v>
      </c>
      <c r="M19" s="723">
        <f t="shared" si="3"/>
        <v>0</v>
      </c>
      <c r="O19" s="1201" t="s">
        <v>629</v>
      </c>
      <c r="P19" s="1202"/>
      <c r="Q19" s="1202"/>
      <c r="R19" s="1202"/>
      <c r="S19" s="1203"/>
      <c r="U19" s="1187" t="s">
        <v>630</v>
      </c>
      <c r="V19" s="1188"/>
      <c r="W19" s="1188"/>
      <c r="X19" s="1188"/>
      <c r="Y19" s="1189"/>
    </row>
    <row r="20" spans="1:26" s="320" customFormat="1" ht="12.75" customHeight="1" thickTop="1">
      <c r="A20" s="322"/>
      <c r="B20" s="320" t="s">
        <v>593</v>
      </c>
      <c r="D20" s="762">
        <f>Input!$BO$21</f>
        <v>-1658001</v>
      </c>
      <c r="E20" s="762">
        <f>Input!$BP$21</f>
        <v>-546181</v>
      </c>
      <c r="F20" s="762">
        <f>Input!$BQ$21</f>
        <v>0</v>
      </c>
      <c r="G20" s="762">
        <f>Input!$BR$21</f>
        <v>0</v>
      </c>
      <c r="H20" s="762">
        <f>Input!$BS$21</f>
        <v>0</v>
      </c>
      <c r="I20" s="762">
        <f>Input!$BT$21</f>
        <v>0</v>
      </c>
      <c r="J20" s="762">
        <f>Input!BU6</f>
        <v>0</v>
      </c>
      <c r="K20" s="762">
        <f>Input!BV6</f>
        <v>0</v>
      </c>
      <c r="L20" s="762">
        <f>Input!$BW$21</f>
        <v>0</v>
      </c>
      <c r="M20" s="723">
        <f t="shared" si="3"/>
        <v>-2204182</v>
      </c>
      <c r="O20" s="773" t="s">
        <v>631</v>
      </c>
      <c r="P20" s="774"/>
      <c r="Q20" s="774"/>
      <c r="R20" s="774"/>
      <c r="S20" s="775"/>
      <c r="U20" s="776" t="s">
        <v>252</v>
      </c>
      <c r="Y20" s="777"/>
    </row>
    <row r="21" spans="1:26" s="320" customFormat="1">
      <c r="A21" s="322"/>
      <c r="B21" s="320" t="s">
        <v>594</v>
      </c>
      <c r="D21" s="762">
        <f>Input!$BX$21</f>
        <v>0</v>
      </c>
      <c r="E21" s="762">
        <f>Input!$BY$21</f>
        <v>0</v>
      </c>
      <c r="F21" s="762">
        <f>Input!$BZ$21</f>
        <v>0</v>
      </c>
      <c r="G21" s="762">
        <f>Input!$CA$21</f>
        <v>0</v>
      </c>
      <c r="H21" s="762">
        <f>Input!$CB$21</f>
        <v>0</v>
      </c>
      <c r="I21" s="762">
        <f>Input!$CC$21</f>
        <v>0</v>
      </c>
      <c r="J21" s="762">
        <f>Input!$CD$21</f>
        <v>0</v>
      </c>
      <c r="K21" s="762">
        <f>Input!$CE$21</f>
        <v>0</v>
      </c>
      <c r="L21" s="762">
        <f>Input!$CF$21</f>
        <v>0</v>
      </c>
      <c r="M21" s="723">
        <f t="shared" si="3"/>
        <v>0</v>
      </c>
      <c r="O21" s="778"/>
      <c r="R21" s="492"/>
      <c r="S21" s="779"/>
      <c r="U21" s="780" t="s">
        <v>632</v>
      </c>
      <c r="X21" s="781">
        <f>M44</f>
        <v>34477812</v>
      </c>
      <c r="Y21" s="777"/>
      <c r="Z21" s="492"/>
    </row>
    <row r="22" spans="1:26" s="320" customFormat="1">
      <c r="A22" s="322"/>
      <c r="B22" s="320" t="s">
        <v>595</v>
      </c>
      <c r="D22" s="762">
        <f>Input!$CG$21</f>
        <v>0</v>
      </c>
      <c r="E22" s="762">
        <f>Input!$CH$21</f>
        <v>0</v>
      </c>
      <c r="F22" s="762">
        <f>Input!$CI$21</f>
        <v>0</v>
      </c>
      <c r="G22" s="762">
        <f>Input!$CJ$21</f>
        <v>0</v>
      </c>
      <c r="H22" s="762">
        <f>Input!$CK$21</f>
        <v>0</v>
      </c>
      <c r="I22" s="762">
        <f>Input!$CL$21</f>
        <v>0</v>
      </c>
      <c r="J22" s="762">
        <f>Input!$CM$21</f>
        <v>0</v>
      </c>
      <c r="K22" s="762">
        <f>Input!$CN$21</f>
        <v>0</v>
      </c>
      <c r="L22" s="762">
        <f>Input!$CO$21</f>
        <v>0</v>
      </c>
      <c r="M22" s="723">
        <f t="shared" si="3"/>
        <v>0</v>
      </c>
      <c r="N22" s="406"/>
      <c r="O22" s="778" t="s">
        <v>633</v>
      </c>
      <c r="Q22" s="492">
        <f>M23</f>
        <v>25438891</v>
      </c>
      <c r="S22" s="782"/>
      <c r="U22" s="780" t="s">
        <v>634</v>
      </c>
      <c r="X22" s="783">
        <f>R30*-1</f>
        <v>2857286</v>
      </c>
      <c r="Y22" s="777"/>
    </row>
    <row r="23" spans="1:26" s="320" customFormat="1" ht="12.75" customHeight="1">
      <c r="A23" s="322"/>
      <c r="B23" s="772" t="s">
        <v>233</v>
      </c>
      <c r="C23" s="784"/>
      <c r="D23" s="785">
        <f>Input!$CP$21</f>
        <v>12607301</v>
      </c>
      <c r="E23" s="785">
        <f>Input!$CQ$21</f>
        <v>12831590</v>
      </c>
      <c r="F23" s="785">
        <f>Input!$CR$21</f>
        <v>0</v>
      </c>
      <c r="G23" s="785">
        <f>Input!$CS$21</f>
        <v>0</v>
      </c>
      <c r="H23" s="785">
        <f>Input!$CT$21</f>
        <v>0</v>
      </c>
      <c r="I23" s="785">
        <f>Input!$CU$21</f>
        <v>0</v>
      </c>
      <c r="J23" s="785">
        <f>Input!$CV$21</f>
        <v>0</v>
      </c>
      <c r="K23" s="785">
        <f>Input!$CW$21</f>
        <v>0</v>
      </c>
      <c r="L23" s="785">
        <f>Input!$CX$21</f>
        <v>0</v>
      </c>
      <c r="M23" s="786">
        <f t="shared" si="3"/>
        <v>25438891</v>
      </c>
      <c r="O23" s="778"/>
      <c r="Q23" s="492"/>
      <c r="S23" s="782"/>
      <c r="U23" s="776" t="s">
        <v>635</v>
      </c>
      <c r="Y23" s="777">
        <f>SUM(X21:X22)</f>
        <v>37335098</v>
      </c>
      <c r="Z23" s="492"/>
    </row>
    <row r="24" spans="1:26" s="320" customFormat="1" ht="12.75" customHeight="1">
      <c r="A24" s="322"/>
      <c r="B24" s="320" t="s">
        <v>596</v>
      </c>
      <c r="C24" s="751"/>
      <c r="D24" s="762">
        <f>Input!$CY$21</f>
        <v>0</v>
      </c>
      <c r="E24" s="762">
        <f>Input!$CZ$21</f>
        <v>0</v>
      </c>
      <c r="F24" s="762">
        <f>Input!$DA$21</f>
        <v>0</v>
      </c>
      <c r="G24" s="762">
        <f>Input!$DB$21</f>
        <v>0</v>
      </c>
      <c r="H24" s="762">
        <f>Input!$DC$21</f>
        <v>0</v>
      </c>
      <c r="I24" s="762">
        <f>Input!$DD$21</f>
        <v>0</v>
      </c>
      <c r="J24" s="762">
        <f>Input!$DE$21</f>
        <v>0</v>
      </c>
      <c r="K24" s="762">
        <f>Input!$DF$21</f>
        <v>0</v>
      </c>
      <c r="L24" s="762">
        <f>Input!$DG$21</f>
        <v>0</v>
      </c>
      <c r="M24" s="650">
        <f t="shared" si="3"/>
        <v>0</v>
      </c>
      <c r="O24" s="787" t="s">
        <v>636</v>
      </c>
      <c r="Q24" s="723"/>
      <c r="R24" s="723">
        <f>SUM(M24:M28)</f>
        <v>-2268454</v>
      </c>
      <c r="S24" s="782"/>
      <c r="U24" s="776"/>
      <c r="Y24" s="777"/>
      <c r="Z24" s="492"/>
    </row>
    <row r="25" spans="1:26" s="320" customFormat="1" ht="12.75" customHeight="1">
      <c r="A25" s="322"/>
      <c r="B25" s="320" t="s">
        <v>597</v>
      </c>
      <c r="C25" s="751"/>
      <c r="D25" s="762">
        <f>Input!$DH$21</f>
        <v>0</v>
      </c>
      <c r="E25" s="762">
        <f>Input!$DI$21</f>
        <v>0</v>
      </c>
      <c r="F25" s="762">
        <f>Input!$DJ$21</f>
        <v>0</v>
      </c>
      <c r="G25" s="762">
        <f>Input!$DK$21</f>
        <v>0</v>
      </c>
      <c r="H25" s="762">
        <f>Input!$DL$21</f>
        <v>0</v>
      </c>
      <c r="I25" s="762">
        <f>Input!$DM$21</f>
        <v>0</v>
      </c>
      <c r="J25" s="762">
        <f>Input!$DN$21</f>
        <v>0</v>
      </c>
      <c r="K25" s="762">
        <f>Input!$DO$21</f>
        <v>0</v>
      </c>
      <c r="L25" s="762">
        <f>Input!$DP$21</f>
        <v>0</v>
      </c>
      <c r="M25" s="650">
        <f t="shared" si="3"/>
        <v>0</v>
      </c>
      <c r="O25" s="778"/>
      <c r="Q25" s="723"/>
      <c r="R25" s="723"/>
      <c r="S25" s="782"/>
      <c r="U25" s="788" t="s">
        <v>637</v>
      </c>
      <c r="V25" s="789"/>
      <c r="W25" s="789"/>
      <c r="X25" s="790">
        <f>(M26+M39)*-1</f>
        <v>0</v>
      </c>
      <c r="Y25" s="777"/>
      <c r="Z25" s="492"/>
    </row>
    <row r="26" spans="1:26" s="320" customFormat="1" ht="12.75" customHeight="1">
      <c r="A26" s="322"/>
      <c r="B26" s="320" t="s">
        <v>598</v>
      </c>
      <c r="C26" s="751"/>
      <c r="D26" s="762">
        <f>Input!$DQ$21</f>
        <v>0</v>
      </c>
      <c r="E26" s="762">
        <f>Input!$DR$21</f>
        <v>0</v>
      </c>
      <c r="F26" s="762">
        <f>Input!$DS$21</f>
        <v>0</v>
      </c>
      <c r="G26" s="762">
        <f>Input!$DT$21</f>
        <v>0</v>
      </c>
      <c r="H26" s="762">
        <f>Input!$DU$21</f>
        <v>0</v>
      </c>
      <c r="I26" s="762">
        <f>Input!$DV$21</f>
        <v>0</v>
      </c>
      <c r="J26" s="762">
        <f>Input!$DW$21</f>
        <v>0</v>
      </c>
      <c r="K26" s="762">
        <f>Input!$DX$21</f>
        <v>0</v>
      </c>
      <c r="L26" s="762">
        <f>Input!$DY$21</f>
        <v>0</v>
      </c>
      <c r="M26" s="650">
        <f t="shared" si="3"/>
        <v>0</v>
      </c>
      <c r="O26" s="778" t="s">
        <v>638</v>
      </c>
      <c r="Q26" s="723">
        <f>M36</f>
        <v>11896207</v>
      </c>
      <c r="R26" s="791"/>
      <c r="S26" s="792"/>
      <c r="U26" s="776" t="s">
        <v>639</v>
      </c>
      <c r="X26" s="793">
        <f>(M21+M34)*-1</f>
        <v>0</v>
      </c>
      <c r="Y26" s="777"/>
      <c r="Z26" s="492"/>
    </row>
    <row r="27" spans="1:26" s="320" customFormat="1">
      <c r="A27" s="322"/>
      <c r="B27" s="320" t="s">
        <v>599</v>
      </c>
      <c r="C27" s="751"/>
      <c r="D27" s="762">
        <f>Input!$DZ$21</f>
        <v>0</v>
      </c>
      <c r="E27" s="762">
        <f>Input!$EA$21</f>
        <v>0</v>
      </c>
      <c r="F27" s="762">
        <f>Input!$EB$21</f>
        <v>0</v>
      </c>
      <c r="G27" s="762">
        <f>Input!$EC$21</f>
        <v>0</v>
      </c>
      <c r="H27" s="762">
        <f>Input!$ED$21</f>
        <v>0</v>
      </c>
      <c r="I27" s="762">
        <f>Input!$EE$21</f>
        <v>0</v>
      </c>
      <c r="J27" s="762">
        <f>Input!$EF$21</f>
        <v>0</v>
      </c>
      <c r="K27" s="762">
        <f>Input!$EG$21</f>
        <v>0</v>
      </c>
      <c r="L27" s="762">
        <f>Input!$EH$21</f>
        <v>0</v>
      </c>
      <c r="M27" s="650">
        <f t="shared" si="3"/>
        <v>0</v>
      </c>
      <c r="O27" s="778"/>
      <c r="Q27" s="723"/>
      <c r="R27" s="791"/>
      <c r="S27" s="792"/>
      <c r="U27" s="780" t="s">
        <v>640</v>
      </c>
      <c r="V27" s="314"/>
      <c r="W27" s="314"/>
      <c r="X27" s="794">
        <f>SUM(X25:X26)</f>
        <v>0</v>
      </c>
      <c r="Y27" s="721"/>
    </row>
    <row r="28" spans="1:26" s="320" customFormat="1">
      <c r="A28" s="322"/>
      <c r="B28" s="320" t="s">
        <v>600</v>
      </c>
      <c r="C28" s="751"/>
      <c r="D28" s="762">
        <f>Input!$EI$21</f>
        <v>-894513</v>
      </c>
      <c r="E28" s="762">
        <f>Input!$EJ$21</f>
        <v>-1373941</v>
      </c>
      <c r="F28" s="762">
        <f>Input!$EK$21</f>
        <v>0</v>
      </c>
      <c r="G28" s="762">
        <f>Input!$EL$21</f>
        <v>0</v>
      </c>
      <c r="H28" s="762">
        <f>Input!$EM$21</f>
        <v>0</v>
      </c>
      <c r="I28" s="762">
        <f>Input!$EN$21</f>
        <v>0</v>
      </c>
      <c r="J28" s="762">
        <f>Input!$EO$21</f>
        <v>0</v>
      </c>
      <c r="K28" s="762">
        <f>Input!$EP$21</f>
        <v>0</v>
      </c>
      <c r="L28" s="762">
        <f>Input!$EQ$21</f>
        <v>0</v>
      </c>
      <c r="M28" s="650">
        <f t="shared" si="3"/>
        <v>-2268454</v>
      </c>
      <c r="O28" s="787" t="s">
        <v>641</v>
      </c>
      <c r="Q28" s="723"/>
      <c r="R28" s="723">
        <f>SUM(M37:M41)</f>
        <v>-588832</v>
      </c>
      <c r="S28" s="782"/>
      <c r="U28" s="776" t="s">
        <v>642</v>
      </c>
      <c r="X28" s="777">
        <f>(M27+M40)*-1</f>
        <v>0</v>
      </c>
      <c r="Y28" s="721"/>
      <c r="Z28" s="492"/>
    </row>
    <row r="29" spans="1:26" s="320" customFormat="1" ht="12" customHeight="1">
      <c r="A29" s="322"/>
      <c r="B29" s="795" t="s">
        <v>165</v>
      </c>
      <c r="C29" s="784"/>
      <c r="D29" s="769">
        <f t="shared" ref="D29:L29" si="4">SUM(D23:D28)</f>
        <v>11712788</v>
      </c>
      <c r="E29" s="769">
        <f t="shared" si="4"/>
        <v>11457649</v>
      </c>
      <c r="F29" s="769">
        <f t="shared" si="4"/>
        <v>0</v>
      </c>
      <c r="G29" s="769">
        <f t="shared" si="4"/>
        <v>0</v>
      </c>
      <c r="H29" s="769">
        <f t="shared" si="4"/>
        <v>0</v>
      </c>
      <c r="I29" s="769">
        <f t="shared" si="4"/>
        <v>0</v>
      </c>
      <c r="J29" s="769">
        <f t="shared" si="4"/>
        <v>0</v>
      </c>
      <c r="K29" s="769">
        <f t="shared" si="4"/>
        <v>0</v>
      </c>
      <c r="L29" s="769">
        <f t="shared" si="4"/>
        <v>0</v>
      </c>
      <c r="M29" s="769">
        <f t="shared" si="3"/>
        <v>23170437</v>
      </c>
      <c r="O29" s="787"/>
      <c r="Q29" s="723"/>
      <c r="R29" s="739"/>
      <c r="S29" s="796"/>
      <c r="U29" s="776" t="s">
        <v>643</v>
      </c>
      <c r="X29" s="793">
        <f>(M22+M35)*-1</f>
        <v>0</v>
      </c>
      <c r="Y29" s="721"/>
    </row>
    <row r="30" spans="1:26" s="320" customFormat="1" ht="16.5" customHeight="1">
      <c r="A30" s="322"/>
      <c r="C30" s="751"/>
      <c r="D30" s="751"/>
      <c r="E30" s="751"/>
      <c r="F30" s="751"/>
      <c r="G30" s="751"/>
      <c r="H30" s="751"/>
      <c r="I30" s="751"/>
      <c r="J30" s="751"/>
      <c r="K30" s="751"/>
      <c r="L30" s="751"/>
      <c r="M30" s="650"/>
      <c r="O30" s="797" t="s">
        <v>644</v>
      </c>
      <c r="P30" s="340"/>
      <c r="Q30" s="798">
        <f>Q26+Q22</f>
        <v>37335098</v>
      </c>
      <c r="R30" s="798">
        <f>R28+R24</f>
        <v>-2857286</v>
      </c>
      <c r="S30" s="799"/>
      <c r="U30" s="780" t="s">
        <v>645</v>
      </c>
      <c r="V30" s="314"/>
      <c r="W30" s="314"/>
      <c r="X30" s="794">
        <f>SUM(X28:X29)</f>
        <v>0</v>
      </c>
      <c r="Y30" s="721"/>
    </row>
    <row r="31" spans="1:26" s="320" customFormat="1" ht="12.75" customHeight="1">
      <c r="A31" s="322"/>
      <c r="B31" s="772" t="s">
        <v>238</v>
      </c>
      <c r="C31" s="772"/>
      <c r="D31" s="769">
        <f t="shared" ref="D31:L31" si="5">D36-SUM(D32:D35)</f>
        <v>24149</v>
      </c>
      <c r="E31" s="769">
        <f t="shared" si="5"/>
        <v>11872058</v>
      </c>
      <c r="F31" s="769">
        <f t="shared" si="5"/>
        <v>0</v>
      </c>
      <c r="G31" s="769">
        <f t="shared" si="5"/>
        <v>0</v>
      </c>
      <c r="H31" s="769">
        <f t="shared" si="5"/>
        <v>0</v>
      </c>
      <c r="I31" s="769">
        <f t="shared" si="5"/>
        <v>0</v>
      </c>
      <c r="J31" s="769">
        <f t="shared" si="5"/>
        <v>0</v>
      </c>
      <c r="K31" s="769">
        <f t="shared" si="5"/>
        <v>0</v>
      </c>
      <c r="L31" s="769">
        <f t="shared" si="5"/>
        <v>0</v>
      </c>
      <c r="M31" s="769">
        <f t="shared" ref="M31:M42" si="6">D31+E31+F31+G31+H31+I31+J31+K31+L31</f>
        <v>11896207</v>
      </c>
      <c r="O31" s="778" t="s">
        <v>646</v>
      </c>
      <c r="Q31" s="406"/>
      <c r="S31" s="782"/>
      <c r="U31" s="800" t="s">
        <v>647</v>
      </c>
      <c r="V31" s="801"/>
      <c r="W31" s="801"/>
      <c r="X31" s="802">
        <f>X27+X30</f>
        <v>0</v>
      </c>
      <c r="Y31" s="777"/>
      <c r="Z31" s="492"/>
    </row>
    <row r="32" spans="1:26" s="320" customFormat="1" ht="12.75" customHeight="1">
      <c r="A32" s="322"/>
      <c r="B32" s="320" t="s">
        <v>592</v>
      </c>
      <c r="D32" s="762">
        <f>Input!$ER$21</f>
        <v>0</v>
      </c>
      <c r="E32" s="762">
        <f>Input!$ES$21</f>
        <v>0</v>
      </c>
      <c r="F32" s="762">
        <f>Input!$ET$21</f>
        <v>0</v>
      </c>
      <c r="G32" s="762">
        <f>Input!$EU$21</f>
        <v>0</v>
      </c>
      <c r="H32" s="762">
        <f>Input!$EV$21</f>
        <v>0</v>
      </c>
      <c r="I32" s="762">
        <f>Input!$EW$21</f>
        <v>0</v>
      </c>
      <c r="J32" s="762">
        <f>Input!$EX$21</f>
        <v>0</v>
      </c>
      <c r="K32" s="762">
        <f>Input!$EY$21</f>
        <v>0</v>
      </c>
      <c r="L32" s="762">
        <f>Input!$EZ$21</f>
        <v>0</v>
      </c>
      <c r="M32" s="650">
        <f t="shared" si="6"/>
        <v>0</v>
      </c>
      <c r="O32" s="803" t="s">
        <v>648</v>
      </c>
      <c r="P32" s="804"/>
      <c r="Q32" s="805">
        <f>Input!$TI$21</f>
        <v>37335098</v>
      </c>
      <c r="R32" s="804"/>
      <c r="S32" s="806"/>
      <c r="U32" s="776"/>
      <c r="Y32" s="777"/>
      <c r="Z32" s="492"/>
    </row>
    <row r="33" spans="1:28" s="320" customFormat="1">
      <c r="A33" s="322"/>
      <c r="B33" s="320" t="s">
        <v>593</v>
      </c>
      <c r="D33" s="762">
        <f>Input!$FA$21</f>
        <v>0</v>
      </c>
      <c r="E33" s="762">
        <f>Input!$FB$21</f>
        <v>0</v>
      </c>
      <c r="F33" s="762">
        <f>Input!$FC$21</f>
        <v>0</v>
      </c>
      <c r="G33" s="762">
        <f>Input!$FD$21</f>
        <v>0</v>
      </c>
      <c r="H33" s="762">
        <f>Input!$FE$21</f>
        <v>0</v>
      </c>
      <c r="I33" s="762">
        <f>Input!$FF$21</f>
        <v>0</v>
      </c>
      <c r="J33" s="762">
        <f>Input!$FG$21</f>
        <v>0</v>
      </c>
      <c r="K33" s="762">
        <f>Input!$FH$21</f>
        <v>0</v>
      </c>
      <c r="L33" s="762">
        <f>Input!$FI$21</f>
        <v>0</v>
      </c>
      <c r="M33" s="650">
        <f t="shared" si="6"/>
        <v>0</v>
      </c>
      <c r="O33" s="803"/>
      <c r="P33" s="804"/>
      <c r="Q33" s="723"/>
      <c r="R33" s="804"/>
      <c r="S33" s="806"/>
      <c r="U33" s="776" t="s">
        <v>649</v>
      </c>
      <c r="X33" s="492">
        <f>(M19+M32)*-1</f>
        <v>0</v>
      </c>
      <c r="Y33" s="777"/>
    </row>
    <row r="34" spans="1:28" s="320" customFormat="1">
      <c r="A34" s="322"/>
      <c r="B34" s="320" t="s">
        <v>594</v>
      </c>
      <c r="D34" s="762">
        <f>Input!$FJ$21</f>
        <v>0</v>
      </c>
      <c r="E34" s="762">
        <f>Input!$FK$21</f>
        <v>0</v>
      </c>
      <c r="F34" s="762">
        <f>Input!$FL$21</f>
        <v>0</v>
      </c>
      <c r="G34" s="762">
        <f>Input!$FM$21</f>
        <v>0</v>
      </c>
      <c r="H34" s="762">
        <f>Input!$FN$21</f>
        <v>0</v>
      </c>
      <c r="I34" s="762">
        <f>Input!$FO$21</f>
        <v>0</v>
      </c>
      <c r="J34" s="762">
        <f>Input!$FP$21</f>
        <v>0</v>
      </c>
      <c r="K34" s="762">
        <f>Input!$FQ$21</f>
        <v>0</v>
      </c>
      <c r="L34" s="762">
        <f>Input!$FR$21</f>
        <v>0</v>
      </c>
      <c r="M34" s="650">
        <f t="shared" si="6"/>
        <v>0</v>
      </c>
      <c r="O34" s="807" t="s">
        <v>650</v>
      </c>
      <c r="P34" s="808"/>
      <c r="Q34" s="320" t="s">
        <v>651</v>
      </c>
      <c r="R34" s="805">
        <f>Input!$TJ$21</f>
        <v>-2857286</v>
      </c>
      <c r="S34" s="809"/>
      <c r="U34" s="776" t="s">
        <v>652</v>
      </c>
      <c r="X34" s="739">
        <f>(M24+M37)*-1</f>
        <v>0</v>
      </c>
      <c r="Y34" s="777"/>
    </row>
    <row r="35" spans="1:28" s="320" customFormat="1" ht="13.8" thickBot="1">
      <c r="A35" s="322"/>
      <c r="B35" s="320" t="s">
        <v>595</v>
      </c>
      <c r="D35" s="762">
        <f>Input!$FS$21</f>
        <v>0</v>
      </c>
      <c r="E35" s="762">
        <f>Input!$FT$21</f>
        <v>0</v>
      </c>
      <c r="F35" s="762">
        <f>Input!$FU$21</f>
        <v>0</v>
      </c>
      <c r="G35" s="762">
        <f>Input!$FV$21</f>
        <v>0</v>
      </c>
      <c r="H35" s="762">
        <f>Input!$FW$21</f>
        <v>0</v>
      </c>
      <c r="I35" s="762">
        <f>Input!$FX$21</f>
        <v>0</v>
      </c>
      <c r="J35" s="762">
        <f>Input!$FY$21</f>
        <v>0</v>
      </c>
      <c r="K35" s="762">
        <f>Input!$FZ$21</f>
        <v>0</v>
      </c>
      <c r="L35" s="762">
        <f>Input!$GA$21</f>
        <v>0</v>
      </c>
      <c r="M35" s="650">
        <f t="shared" si="6"/>
        <v>0</v>
      </c>
      <c r="O35" s="810" t="s">
        <v>653</v>
      </c>
      <c r="P35" s="811"/>
      <c r="Q35" s="812">
        <f>Q30-Q32</f>
        <v>0</v>
      </c>
      <c r="R35" s="813">
        <f>R30-R34</f>
        <v>0</v>
      </c>
      <c r="S35" s="814"/>
      <c r="U35" s="780" t="s">
        <v>654</v>
      </c>
      <c r="V35" s="314"/>
      <c r="W35" s="314"/>
      <c r="X35" s="781">
        <f>SUM(X33:X34)</f>
        <v>0</v>
      </c>
      <c r="Y35" s="721"/>
    </row>
    <row r="36" spans="1:28" s="320" customFormat="1" ht="13.8" thickTop="1">
      <c r="A36" s="322"/>
      <c r="B36" s="772" t="s">
        <v>239</v>
      </c>
      <c r="C36" s="784"/>
      <c r="D36" s="785">
        <f>Input!$GB$21</f>
        <v>24149</v>
      </c>
      <c r="E36" s="785">
        <f>Input!$GC$21</f>
        <v>11872058</v>
      </c>
      <c r="F36" s="785">
        <f>Input!$GD$21</f>
        <v>0</v>
      </c>
      <c r="G36" s="785">
        <f>Input!$GE$21</f>
        <v>0</v>
      </c>
      <c r="H36" s="785">
        <f>Input!$GF$21</f>
        <v>0</v>
      </c>
      <c r="I36" s="785">
        <f>Input!$GG$21</f>
        <v>0</v>
      </c>
      <c r="J36" s="785">
        <f>Input!$GH$21</f>
        <v>0</v>
      </c>
      <c r="K36" s="785">
        <f>Input!$GI$21</f>
        <v>0</v>
      </c>
      <c r="L36" s="785">
        <f>Input!$GJ$21</f>
        <v>0</v>
      </c>
      <c r="M36" s="786">
        <f t="shared" si="6"/>
        <v>11896207</v>
      </c>
      <c r="Q36" s="344" t="str">
        <f>IF(Q30&lt;&gt;Q32,"Out of Balance","Balanced")</f>
        <v>Balanced</v>
      </c>
      <c r="R36" s="344" t="str">
        <f>IF(R30&lt;&gt;R34,"Out of Balance","Balanced")</f>
        <v>Balanced</v>
      </c>
      <c r="U36" s="776" t="s">
        <v>655</v>
      </c>
      <c r="X36" s="492">
        <f>(M20+M33)*-1</f>
        <v>2204182</v>
      </c>
      <c r="Y36" s="777"/>
    </row>
    <row r="37" spans="1:28" s="320" customFormat="1">
      <c r="A37" s="322"/>
      <c r="B37" s="320" t="s">
        <v>596</v>
      </c>
      <c r="C37" s="751"/>
      <c r="D37" s="762">
        <f>Input!$GK$21</f>
        <v>0</v>
      </c>
      <c r="E37" s="762">
        <f>Input!$GL$21</f>
        <v>0</v>
      </c>
      <c r="F37" s="762">
        <f>Input!$GM$21</f>
        <v>0</v>
      </c>
      <c r="G37" s="762">
        <f>Input!$GN$21</f>
        <v>0</v>
      </c>
      <c r="H37" s="762">
        <f>Input!$GO$21</f>
        <v>0</v>
      </c>
      <c r="I37" s="762">
        <f>Input!$GP$21</f>
        <v>0</v>
      </c>
      <c r="J37" s="762">
        <f>Input!$GQ$21</f>
        <v>0</v>
      </c>
      <c r="K37" s="762">
        <f>Input!$GR$21</f>
        <v>0</v>
      </c>
      <c r="L37" s="762">
        <f>Input!$GS$21</f>
        <v>0</v>
      </c>
      <c r="M37" s="650">
        <f t="shared" si="6"/>
        <v>0</v>
      </c>
      <c r="U37" s="776" t="s">
        <v>656</v>
      </c>
      <c r="X37" s="739">
        <f>(M25+M38)*-1</f>
        <v>0</v>
      </c>
      <c r="Y37" s="721"/>
    </row>
    <row r="38" spans="1:28" s="320" customFormat="1">
      <c r="A38" s="322"/>
      <c r="B38" s="320" t="s">
        <v>597</v>
      </c>
      <c r="C38" s="751"/>
      <c r="D38" s="762">
        <f>Input!$GT$21</f>
        <v>0</v>
      </c>
      <c r="E38" s="762">
        <f>Input!$GU$21</f>
        <v>0</v>
      </c>
      <c r="F38" s="762">
        <f>Input!$GV$21</f>
        <v>0</v>
      </c>
      <c r="G38" s="762">
        <f>Input!$GW$21</f>
        <v>0</v>
      </c>
      <c r="H38" s="762">
        <f>Input!$GX$21</f>
        <v>0</v>
      </c>
      <c r="I38" s="762">
        <f>Input!$GY$21</f>
        <v>0</v>
      </c>
      <c r="J38" s="762">
        <f>Input!$GZ$21</f>
        <v>0</v>
      </c>
      <c r="K38" s="762">
        <f>Input!$HA$21</f>
        <v>0</v>
      </c>
      <c r="L38" s="762">
        <f>Input!$HB$21</f>
        <v>0</v>
      </c>
      <c r="M38" s="650">
        <f t="shared" si="6"/>
        <v>0</v>
      </c>
      <c r="U38" s="780" t="s">
        <v>657</v>
      </c>
      <c r="V38" s="314"/>
      <c r="W38" s="314"/>
      <c r="X38" s="781">
        <f>SUM(X36:X37)</f>
        <v>2204182</v>
      </c>
      <c r="Y38" s="777"/>
    </row>
    <row r="39" spans="1:28" s="320" customFormat="1">
      <c r="A39" s="322"/>
      <c r="B39" s="320" t="s">
        <v>598</v>
      </c>
      <c r="C39" s="751"/>
      <c r="D39" s="762">
        <f>Input!$HC$21</f>
        <v>0</v>
      </c>
      <c r="E39" s="762">
        <f>Input!$HD$21</f>
        <v>0</v>
      </c>
      <c r="F39" s="762">
        <f>Input!$HE$21</f>
        <v>0</v>
      </c>
      <c r="G39" s="762">
        <f>Input!$HF$21</f>
        <v>0</v>
      </c>
      <c r="H39" s="762">
        <f>Input!$HG$21</f>
        <v>0</v>
      </c>
      <c r="I39" s="762">
        <f>Input!$HH$21</f>
        <v>0</v>
      </c>
      <c r="J39" s="762">
        <f>Input!$HI$21</f>
        <v>0</v>
      </c>
      <c r="K39" s="762">
        <f>Input!$HJ$21</f>
        <v>0</v>
      </c>
      <c r="L39" s="762">
        <f>Input!$HK$21</f>
        <v>0</v>
      </c>
      <c r="M39" s="650">
        <f t="shared" si="6"/>
        <v>0</v>
      </c>
      <c r="U39" s="776" t="s">
        <v>658</v>
      </c>
      <c r="X39" s="492"/>
      <c r="Y39" s="777">
        <f>X38+X35</f>
        <v>2204182</v>
      </c>
    </row>
    <row r="40" spans="1:28" s="320" customFormat="1">
      <c r="A40" s="322"/>
      <c r="B40" s="320" t="s">
        <v>599</v>
      </c>
      <c r="C40" s="751"/>
      <c r="D40" s="762">
        <f>Input!$HL$21</f>
        <v>0</v>
      </c>
      <c r="E40" s="762">
        <f>Input!$HM$21</f>
        <v>0</v>
      </c>
      <c r="F40" s="762">
        <f>Input!$HN$21</f>
        <v>0</v>
      </c>
      <c r="G40" s="762">
        <f>Input!$HO$21</f>
        <v>0</v>
      </c>
      <c r="H40" s="762">
        <f>Input!$HP$21</f>
        <v>0</v>
      </c>
      <c r="I40" s="762">
        <f>Input!$HQ$21</f>
        <v>0</v>
      </c>
      <c r="J40" s="762">
        <f>Input!$HR$21</f>
        <v>0</v>
      </c>
      <c r="K40" s="762">
        <f>Input!$HS$21</f>
        <v>0</v>
      </c>
      <c r="L40" s="762">
        <f>Input!$HT$21</f>
        <v>0</v>
      </c>
      <c r="M40" s="650">
        <f t="shared" si="6"/>
        <v>0</v>
      </c>
      <c r="U40" s="776"/>
      <c r="Y40" s="721"/>
    </row>
    <row r="41" spans="1:28" s="320" customFormat="1">
      <c r="A41" s="322"/>
      <c r="B41" s="320" t="s">
        <v>600</v>
      </c>
      <c r="C41" s="751"/>
      <c r="D41" s="762">
        <f>Input!$HU$21</f>
        <v>0</v>
      </c>
      <c r="E41" s="762">
        <f>Input!$HV$21</f>
        <v>-588832</v>
      </c>
      <c r="F41" s="762">
        <f>Input!$HW$21</f>
        <v>0</v>
      </c>
      <c r="G41" s="762">
        <f>Input!$HX$21</f>
        <v>0</v>
      </c>
      <c r="H41" s="762">
        <f>Input!$HY$21</f>
        <v>0</v>
      </c>
      <c r="I41" s="762">
        <f>Input!$HZ$21</f>
        <v>0</v>
      </c>
      <c r="J41" s="762">
        <f>Input!$IA$21</f>
        <v>0</v>
      </c>
      <c r="K41" s="762">
        <f>Input!$IB$21</f>
        <v>0</v>
      </c>
      <c r="L41" s="762">
        <f>Input!$IC$21</f>
        <v>0</v>
      </c>
      <c r="M41" s="650">
        <f t="shared" si="6"/>
        <v>-588832</v>
      </c>
      <c r="U41" s="776" t="s">
        <v>639</v>
      </c>
      <c r="X41" s="492">
        <f>(M21+M34)*-1</f>
        <v>0</v>
      </c>
      <c r="Y41" s="777"/>
    </row>
    <row r="42" spans="1:28" s="320" customFormat="1">
      <c r="A42" s="322"/>
      <c r="B42" s="795" t="s">
        <v>166</v>
      </c>
      <c r="C42" s="784"/>
      <c r="D42" s="769">
        <f t="shared" ref="D42:L42" si="7">SUM(D36:D41)</f>
        <v>24149</v>
      </c>
      <c r="E42" s="769">
        <f t="shared" si="7"/>
        <v>11283226</v>
      </c>
      <c r="F42" s="769">
        <f t="shared" si="7"/>
        <v>0</v>
      </c>
      <c r="G42" s="769">
        <f t="shared" si="7"/>
        <v>0</v>
      </c>
      <c r="H42" s="769">
        <f t="shared" si="7"/>
        <v>0</v>
      </c>
      <c r="I42" s="769">
        <f t="shared" si="7"/>
        <v>0</v>
      </c>
      <c r="J42" s="769">
        <f t="shared" si="7"/>
        <v>0</v>
      </c>
      <c r="K42" s="769">
        <f t="shared" si="7"/>
        <v>0</v>
      </c>
      <c r="L42" s="769">
        <f t="shared" si="7"/>
        <v>0</v>
      </c>
      <c r="M42" s="769">
        <f t="shared" si="6"/>
        <v>11307375</v>
      </c>
      <c r="U42" s="776" t="s">
        <v>643</v>
      </c>
      <c r="X42" s="739">
        <f>(M22+M35)*-1</f>
        <v>0</v>
      </c>
      <c r="Y42" s="777"/>
    </row>
    <row r="43" spans="1:28" s="320" customFormat="1">
      <c r="A43" s="322"/>
      <c r="C43" s="751"/>
      <c r="D43" s="751"/>
      <c r="E43" s="751"/>
      <c r="F43" s="751"/>
      <c r="G43" s="751"/>
      <c r="H43" s="751"/>
      <c r="I43" s="751"/>
      <c r="J43" s="751"/>
      <c r="K43" s="751"/>
      <c r="L43" s="751"/>
      <c r="M43" s="650"/>
      <c r="U43" s="780" t="s">
        <v>659</v>
      </c>
      <c r="V43" s="314"/>
      <c r="W43" s="314"/>
      <c r="X43" s="781">
        <f>SUM(X41:X42)</f>
        <v>0</v>
      </c>
      <c r="Y43" s="721"/>
    </row>
    <row r="44" spans="1:28" s="320" customFormat="1" ht="13.5" customHeight="1">
      <c r="A44" s="322"/>
      <c r="B44" s="795" t="s">
        <v>242</v>
      </c>
      <c r="C44" s="784"/>
      <c r="D44" s="769">
        <f t="shared" ref="D44:L44" si="8">D42+D29</f>
        <v>11736937</v>
      </c>
      <c r="E44" s="769">
        <f t="shared" si="8"/>
        <v>22740875</v>
      </c>
      <c r="F44" s="769">
        <f t="shared" si="8"/>
        <v>0</v>
      </c>
      <c r="G44" s="769">
        <f t="shared" si="8"/>
        <v>0</v>
      </c>
      <c r="H44" s="769">
        <f t="shared" si="8"/>
        <v>0</v>
      </c>
      <c r="I44" s="769">
        <f t="shared" si="8"/>
        <v>0</v>
      </c>
      <c r="J44" s="769">
        <f t="shared" si="8"/>
        <v>0</v>
      </c>
      <c r="K44" s="769">
        <f t="shared" si="8"/>
        <v>0</v>
      </c>
      <c r="L44" s="769">
        <f t="shared" si="8"/>
        <v>0</v>
      </c>
      <c r="M44" s="769">
        <f>D44+E44+F44+G44+H44+I44+J44+K44+L44</f>
        <v>34477812</v>
      </c>
      <c r="U44" s="776"/>
      <c r="Y44" s="777"/>
    </row>
    <row r="45" spans="1:28" s="752" customFormat="1">
      <c r="A45" s="460">
        <v>28</v>
      </c>
      <c r="D45" s="723"/>
      <c r="E45" s="723"/>
      <c r="F45" s="723"/>
      <c r="G45" s="723"/>
      <c r="H45" s="723"/>
      <c r="I45" s="723"/>
      <c r="J45" s="723"/>
      <c r="K45" s="723"/>
      <c r="L45" s="723"/>
      <c r="M45" s="723"/>
      <c r="N45" s="320"/>
      <c r="O45" s="320"/>
      <c r="P45" s="320"/>
      <c r="Q45" s="320"/>
      <c r="U45" s="776" t="s">
        <v>652</v>
      </c>
      <c r="V45" s="320"/>
      <c r="W45" s="320"/>
      <c r="X45" s="492">
        <f>(M24+M37)*-1</f>
        <v>0</v>
      </c>
      <c r="Y45" s="777"/>
    </row>
    <row r="46" spans="1:28" s="752" customFormat="1">
      <c r="A46" s="460">
        <v>29</v>
      </c>
      <c r="B46" s="771" t="s">
        <v>162</v>
      </c>
      <c r="C46" s="771"/>
      <c r="D46" s="723"/>
      <c r="E46" s="723"/>
      <c r="F46" s="723"/>
      <c r="G46" s="723"/>
      <c r="H46" s="723"/>
      <c r="I46" s="723"/>
      <c r="J46" s="723"/>
      <c r="K46" s="723"/>
      <c r="L46" s="723"/>
      <c r="M46" s="723"/>
      <c r="N46" s="320"/>
      <c r="O46" s="320"/>
      <c r="P46" s="320"/>
      <c r="Q46" s="320"/>
      <c r="U46" s="776" t="s">
        <v>656</v>
      </c>
      <c r="V46" s="320"/>
      <c r="W46" s="320"/>
      <c r="X46" s="739">
        <f>(M25+M38)*-1</f>
        <v>0</v>
      </c>
      <c r="Y46" s="777"/>
    </row>
    <row r="47" spans="1:28" s="752" customFormat="1">
      <c r="A47" s="460">
        <v>30</v>
      </c>
      <c r="B47" s="768" t="s">
        <v>168</v>
      </c>
      <c r="C47" s="768"/>
      <c r="D47" s="815">
        <f>Input!$ID$21</f>
        <v>0</v>
      </c>
      <c r="E47" s="815">
        <f>Input!$IE$21</f>
        <v>5131698</v>
      </c>
      <c r="F47" s="815">
        <f>Input!$IF$21</f>
        <v>0</v>
      </c>
      <c r="G47" s="815">
        <f>Input!$IG$21</f>
        <v>50130030</v>
      </c>
      <c r="H47" s="815">
        <f>Input!$IH$21</f>
        <v>0</v>
      </c>
      <c r="I47" s="815">
        <f>Input!$II$21</f>
        <v>0</v>
      </c>
      <c r="J47" s="815">
        <f>Input!$IJ$21</f>
        <v>0</v>
      </c>
      <c r="K47" s="815">
        <f>Input!$IK$21</f>
        <v>0</v>
      </c>
      <c r="L47" s="815">
        <f>Input!$IL$21</f>
        <v>0</v>
      </c>
      <c r="M47" s="769">
        <f>D47+E47+F47+G47+H47+I47+J47+K47+L47</f>
        <v>55261728</v>
      </c>
      <c r="N47" s="320"/>
      <c r="O47" s="320"/>
      <c r="P47" s="320"/>
      <c r="Q47" s="320"/>
      <c r="U47" s="780" t="s">
        <v>660</v>
      </c>
      <c r="V47" s="314"/>
      <c r="W47" s="314"/>
      <c r="X47" s="781">
        <f>SUM(X45:X46)</f>
        <v>0</v>
      </c>
      <c r="Y47" s="721"/>
    </row>
    <row r="48" spans="1:28" s="752" customFormat="1">
      <c r="A48" s="460">
        <v>31</v>
      </c>
      <c r="D48" s="723"/>
      <c r="E48" s="723"/>
      <c r="F48" s="723"/>
      <c r="G48" s="723"/>
      <c r="H48" s="723"/>
      <c r="I48" s="723"/>
      <c r="J48" s="723"/>
      <c r="K48" s="723"/>
      <c r="L48" s="723"/>
      <c r="M48" s="723"/>
      <c r="O48" s="406"/>
      <c r="P48" s="320"/>
      <c r="Q48" s="320"/>
      <c r="R48" s="320"/>
      <c r="S48" s="320"/>
      <c r="T48" s="320"/>
      <c r="U48" s="776"/>
      <c r="V48" s="320"/>
      <c r="W48" s="320"/>
      <c r="X48" s="320"/>
      <c r="Y48" s="802">
        <f>X43-X47</f>
        <v>0</v>
      </c>
      <c r="Z48" s="320"/>
      <c r="AA48" s="320"/>
      <c r="AB48" s="320"/>
    </row>
    <row r="49" spans="1:28" s="752" customFormat="1">
      <c r="A49" s="460">
        <v>32</v>
      </c>
      <c r="B49" s="771" t="s">
        <v>163</v>
      </c>
      <c r="C49" s="771"/>
      <c r="D49" s="723"/>
      <c r="E49" s="723"/>
      <c r="F49" s="723"/>
      <c r="G49" s="723"/>
      <c r="H49" s="723"/>
      <c r="I49" s="723"/>
      <c r="J49" s="723"/>
      <c r="K49" s="723"/>
      <c r="L49" s="723"/>
      <c r="M49" s="723"/>
      <c r="O49" s="406"/>
      <c r="P49" s="320"/>
      <c r="Q49" s="320"/>
      <c r="R49" s="320"/>
      <c r="S49" s="320"/>
      <c r="T49" s="320"/>
      <c r="U49" s="816" t="s">
        <v>262</v>
      </c>
      <c r="V49" s="801"/>
      <c r="W49" s="817"/>
      <c r="X49" s="817"/>
      <c r="Y49" s="802">
        <f>SUM(Y23:Y48)</f>
        <v>39539280</v>
      </c>
      <c r="Z49" s="320"/>
      <c r="AA49" s="320"/>
      <c r="AB49" s="320"/>
    </row>
    <row r="50" spans="1:28" s="752" customFormat="1">
      <c r="A50" s="460">
        <v>33</v>
      </c>
      <c r="B50" s="768" t="s">
        <v>200</v>
      </c>
      <c r="C50" s="768"/>
      <c r="D50" s="815">
        <f>Input!$IM$21</f>
        <v>0</v>
      </c>
      <c r="E50" s="815">
        <f>Input!$IN$21</f>
        <v>12885666</v>
      </c>
      <c r="F50" s="815">
        <f>Input!$IO$21</f>
        <v>0</v>
      </c>
      <c r="G50" s="815">
        <f>Input!$IP$21</f>
        <v>0</v>
      </c>
      <c r="H50" s="815">
        <f>Input!$IQ$21</f>
        <v>0</v>
      </c>
      <c r="I50" s="815">
        <f>Input!$IR$21</f>
        <v>0</v>
      </c>
      <c r="J50" s="815">
        <f>Input!$IS$21</f>
        <v>0</v>
      </c>
      <c r="K50" s="815">
        <f>Input!$IT$21</f>
        <v>0</v>
      </c>
      <c r="L50" s="815">
        <f>Input!$IU$21</f>
        <v>0</v>
      </c>
      <c r="M50" s="769">
        <f>D50+E50+F50+G50+H50+I50+J50+K50+L50</f>
        <v>12885666</v>
      </c>
      <c r="O50" s="406"/>
      <c r="P50" s="320"/>
      <c r="Q50" s="320"/>
      <c r="R50" s="320"/>
      <c r="S50" s="320"/>
      <c r="T50" s="320"/>
      <c r="U50" s="818"/>
      <c r="V50" s="320"/>
      <c r="W50" s="320"/>
      <c r="X50" s="320"/>
      <c r="Y50" s="320"/>
      <c r="Z50" s="320"/>
      <c r="AA50" s="320"/>
      <c r="AB50" s="320"/>
    </row>
    <row r="51" spans="1:28" s="752" customFormat="1">
      <c r="A51" s="460">
        <v>34</v>
      </c>
      <c r="D51" s="723"/>
      <c r="E51" s="723"/>
      <c r="F51" s="723"/>
      <c r="G51" s="723"/>
      <c r="H51" s="723"/>
      <c r="I51" s="723"/>
      <c r="J51" s="723"/>
      <c r="K51" s="723"/>
      <c r="L51" s="723"/>
      <c r="M51" s="723"/>
      <c r="O51" s="320"/>
      <c r="P51" s="320"/>
      <c r="Q51" s="320"/>
      <c r="R51" s="320"/>
      <c r="S51" s="320"/>
      <c r="T51" s="320"/>
      <c r="U51" s="320"/>
      <c r="V51" s="320"/>
      <c r="W51" s="320"/>
      <c r="X51" s="322"/>
      <c r="Y51" s="320"/>
      <c r="Z51" s="320"/>
      <c r="AA51" s="320"/>
      <c r="AB51" s="320"/>
    </row>
    <row r="52" spans="1:28" s="752" customFormat="1">
      <c r="A52" s="460">
        <v>35</v>
      </c>
      <c r="B52" s="771" t="s">
        <v>164</v>
      </c>
      <c r="C52" s="771"/>
      <c r="D52" s="723"/>
      <c r="E52" s="723"/>
      <c r="F52" s="723"/>
      <c r="G52" s="723"/>
      <c r="H52" s="723"/>
      <c r="I52" s="723"/>
      <c r="J52" s="723"/>
      <c r="K52" s="723"/>
      <c r="L52" s="723"/>
      <c r="M52" s="723"/>
      <c r="O52" s="320"/>
      <c r="P52" s="320"/>
      <c r="Q52" s="320"/>
      <c r="R52" s="320"/>
      <c r="S52" s="320"/>
      <c r="T52" s="320"/>
      <c r="U52" s="320"/>
      <c r="V52" s="320"/>
      <c r="W52" s="320"/>
      <c r="X52" s="322"/>
      <c r="Y52" s="320"/>
      <c r="Z52" s="320"/>
      <c r="AA52" s="320"/>
      <c r="AB52" s="320"/>
    </row>
    <row r="53" spans="1:28" s="752" customFormat="1">
      <c r="A53" s="460">
        <v>36</v>
      </c>
      <c r="B53" s="768" t="s">
        <v>200</v>
      </c>
      <c r="C53" s="768"/>
      <c r="D53" s="815">
        <f>Input!$IV$21</f>
        <v>0</v>
      </c>
      <c r="E53" s="815">
        <f>Input!$IW$21</f>
        <v>0</v>
      </c>
      <c r="F53" s="815">
        <f>Input!$IX$21</f>
        <v>0</v>
      </c>
      <c r="G53" s="815">
        <f>Input!$IY$21</f>
        <v>0</v>
      </c>
      <c r="H53" s="815">
        <f>Input!$IZ$21</f>
        <v>0</v>
      </c>
      <c r="I53" s="815">
        <f>Input!$JA$21</f>
        <v>0</v>
      </c>
      <c r="J53" s="815">
        <f>Input!$JB$21</f>
        <v>0</v>
      </c>
      <c r="K53" s="815">
        <f>Input!$JC$21</f>
        <v>0</v>
      </c>
      <c r="L53" s="815">
        <f>Input!$JD$21</f>
        <v>0</v>
      </c>
      <c r="M53" s="769">
        <f>D53+E53+F53+G53+H53+I53+J53+K53+L53</f>
        <v>0</v>
      </c>
      <c r="O53" s="320"/>
      <c r="P53" s="320"/>
      <c r="Q53" s="320"/>
      <c r="R53" s="320"/>
      <c r="S53" s="320"/>
      <c r="T53" s="320"/>
      <c r="U53" s="320"/>
      <c r="V53" s="320"/>
      <c r="W53" s="320"/>
      <c r="X53" s="322"/>
      <c r="Y53" s="320"/>
      <c r="Z53" s="320"/>
      <c r="AA53" s="320"/>
      <c r="AB53" s="320"/>
    </row>
    <row r="54" spans="1:28" s="752" customFormat="1">
      <c r="A54" s="460">
        <v>37</v>
      </c>
      <c r="D54" s="723"/>
      <c r="E54" s="723"/>
      <c r="F54" s="723"/>
      <c r="G54" s="723"/>
      <c r="H54" s="723"/>
      <c r="I54" s="723"/>
      <c r="J54" s="723"/>
      <c r="K54" s="723"/>
      <c r="L54" s="723"/>
      <c r="M54" s="723"/>
      <c r="O54" s="320"/>
      <c r="P54" s="320"/>
      <c r="Q54" s="320"/>
      <c r="R54" s="320"/>
      <c r="S54" s="320"/>
      <c r="T54" s="320"/>
      <c r="U54" s="320"/>
      <c r="V54" s="320"/>
      <c r="W54" s="320"/>
      <c r="X54" s="322"/>
      <c r="Y54" s="320"/>
      <c r="Z54" s="320"/>
      <c r="AA54" s="320"/>
      <c r="AB54" s="320"/>
    </row>
    <row r="55" spans="1:28" s="752" customFormat="1">
      <c r="A55" s="460">
        <v>38</v>
      </c>
      <c r="B55" s="771" t="s">
        <v>171</v>
      </c>
      <c r="C55" s="771"/>
      <c r="D55" s="723"/>
      <c r="E55" s="723"/>
      <c r="F55" s="723"/>
      <c r="G55" s="723"/>
      <c r="H55" s="723"/>
      <c r="I55" s="723"/>
      <c r="J55" s="723"/>
      <c r="K55" s="723"/>
      <c r="L55" s="723"/>
      <c r="M55" s="723"/>
      <c r="O55" s="320"/>
      <c r="P55" s="320"/>
      <c r="Q55" s="320"/>
      <c r="R55" s="320"/>
      <c r="S55" s="320"/>
      <c r="T55" s="320"/>
      <c r="U55" s="320"/>
      <c r="V55" s="320"/>
      <c r="W55" s="320"/>
      <c r="X55" s="322"/>
      <c r="Y55" s="320"/>
      <c r="Z55" s="320"/>
      <c r="AA55" s="320"/>
      <c r="AB55" s="320"/>
    </row>
    <row r="56" spans="1:28" s="752" customFormat="1">
      <c r="A56" s="460">
        <v>39</v>
      </c>
      <c r="B56" s="752" t="s">
        <v>172</v>
      </c>
      <c r="D56" s="762">
        <f>Input!$JE$21</f>
        <v>20398</v>
      </c>
      <c r="E56" s="762">
        <f>Input!$JF$21</f>
        <v>12506165</v>
      </c>
      <c r="F56" s="762">
        <f>Input!$JG$21</f>
        <v>0</v>
      </c>
      <c r="G56" s="762">
        <f>Input!$JH$21</f>
        <v>2634087</v>
      </c>
      <c r="H56" s="762">
        <f>Input!$JI$21</f>
        <v>-4949</v>
      </c>
      <c r="I56" s="762">
        <f>Input!$JJ$21</f>
        <v>1461478</v>
      </c>
      <c r="J56" s="762">
        <f>Input!$JK$21</f>
        <v>0</v>
      </c>
      <c r="K56" s="762">
        <f>Input!$JL$21</f>
        <v>0</v>
      </c>
      <c r="L56" s="762">
        <f>Input!$JM$21</f>
        <v>0</v>
      </c>
      <c r="M56" s="723">
        <f t="shared" ref="M56:M62" si="9">D56+E56+F56+G56+H56+I56+J56+K56+L56</f>
        <v>16617179</v>
      </c>
      <c r="O56" s="320"/>
      <c r="P56" s="320"/>
      <c r="Q56" s="320"/>
      <c r="R56" s="320"/>
      <c r="S56" s="320"/>
      <c r="T56" s="320"/>
      <c r="U56" s="320"/>
      <c r="V56" s="320"/>
      <c r="W56" s="320"/>
      <c r="X56" s="322"/>
      <c r="Y56" s="320"/>
      <c r="Z56" s="320"/>
      <c r="AA56" s="320"/>
      <c r="AB56" s="320"/>
    </row>
    <row r="57" spans="1:28" s="752" customFormat="1">
      <c r="A57" s="460">
        <v>40</v>
      </c>
      <c r="B57" s="752" t="s">
        <v>173</v>
      </c>
      <c r="D57" s="762">
        <f>Input!$JN$21</f>
        <v>0</v>
      </c>
      <c r="E57" s="762">
        <f>Input!$JO$21</f>
        <v>389369</v>
      </c>
      <c r="F57" s="762">
        <f>Input!$JP$21</f>
        <v>0</v>
      </c>
      <c r="G57" s="762">
        <f>Input!$JQ$21</f>
        <v>657487</v>
      </c>
      <c r="H57" s="762">
        <f>Input!$JR$21</f>
        <v>0</v>
      </c>
      <c r="I57" s="762">
        <f>Input!$JS$21</f>
        <v>0</v>
      </c>
      <c r="J57" s="762">
        <f>Input!$JT$21</f>
        <v>0</v>
      </c>
      <c r="K57" s="762">
        <f>Input!$JU$21</f>
        <v>0</v>
      </c>
      <c r="L57" s="762">
        <f>Input!$JV$21</f>
        <v>0</v>
      </c>
      <c r="M57" s="723">
        <f t="shared" si="9"/>
        <v>1046856</v>
      </c>
      <c r="O57" s="320"/>
      <c r="P57" s="819"/>
      <c r="Q57" s="320"/>
      <c r="R57" s="320"/>
      <c r="S57" s="320"/>
      <c r="T57" s="320"/>
      <c r="U57" s="320"/>
      <c r="V57" s="320"/>
      <c r="W57" s="320"/>
      <c r="X57" s="320"/>
      <c r="Y57" s="320"/>
      <c r="Z57" s="320"/>
      <c r="AA57" s="320"/>
      <c r="AB57" s="320"/>
    </row>
    <row r="58" spans="1:28" s="752" customFormat="1">
      <c r="A58" s="460">
        <v>41</v>
      </c>
      <c r="B58" s="752" t="s">
        <v>174</v>
      </c>
      <c r="D58" s="762">
        <f>Input!$JW$21</f>
        <v>0</v>
      </c>
      <c r="E58" s="762">
        <f>Input!$JX$21</f>
        <v>2071497</v>
      </c>
      <c r="F58" s="762">
        <f>Input!$JY$21</f>
        <v>0</v>
      </c>
      <c r="G58" s="762">
        <f>Input!$JZ$21</f>
        <v>1880346</v>
      </c>
      <c r="H58" s="762">
        <f>Input!$KA$21</f>
        <v>0</v>
      </c>
      <c r="I58" s="762">
        <f>Input!$KB$21</f>
        <v>0</v>
      </c>
      <c r="J58" s="762">
        <f>Input!$KC$21</f>
        <v>0</v>
      </c>
      <c r="K58" s="762">
        <f>Input!$KD$21</f>
        <v>0</v>
      </c>
      <c r="L58" s="762">
        <f>Input!$KE$21</f>
        <v>0</v>
      </c>
      <c r="M58" s="723">
        <f t="shared" si="9"/>
        <v>3951843</v>
      </c>
      <c r="O58" s="406"/>
      <c r="P58" s="320"/>
      <c r="Q58" s="320"/>
      <c r="R58" s="320"/>
      <c r="S58" s="320"/>
      <c r="T58" s="320"/>
      <c r="U58" s="320"/>
      <c r="V58" s="320"/>
      <c r="W58" s="320"/>
      <c r="X58" s="320"/>
      <c r="Y58" s="320"/>
      <c r="Z58" s="320"/>
      <c r="AA58" s="320"/>
      <c r="AB58" s="320"/>
    </row>
    <row r="59" spans="1:28" s="752" customFormat="1" ht="13.8" thickBot="1">
      <c r="A59" s="460">
        <v>42</v>
      </c>
      <c r="B59" s="752" t="s">
        <v>601</v>
      </c>
      <c r="D59" s="762">
        <f>Input!$KF$21</f>
        <v>0</v>
      </c>
      <c r="E59" s="762">
        <f>Input!$KG$21</f>
        <v>52433326</v>
      </c>
      <c r="F59" s="762">
        <f>Input!$KH$21</f>
        <v>0</v>
      </c>
      <c r="G59" s="762">
        <f>Input!$KI$21</f>
        <v>56851</v>
      </c>
      <c r="H59" s="762">
        <f>Input!$KJ$21</f>
        <v>322</v>
      </c>
      <c r="I59" s="762">
        <f>Input!$KK$21</f>
        <v>0</v>
      </c>
      <c r="J59" s="762">
        <f>Input!$KL$21</f>
        <v>0</v>
      </c>
      <c r="K59" s="762">
        <f>Input!$KM$21</f>
        <v>0</v>
      </c>
      <c r="L59" s="762">
        <f>Input!$KN$21</f>
        <v>0</v>
      </c>
      <c r="M59" s="723">
        <f t="shared" si="9"/>
        <v>52490499</v>
      </c>
      <c r="O59" s="406"/>
      <c r="P59" s="320"/>
      <c r="Q59" s="320"/>
      <c r="R59" s="320"/>
      <c r="S59" s="320"/>
      <c r="T59" s="320"/>
      <c r="U59" s="320"/>
      <c r="V59" s="320"/>
      <c r="W59" s="320"/>
      <c r="X59" s="320"/>
      <c r="Y59" s="320"/>
      <c r="Z59" s="320"/>
      <c r="AA59" s="320"/>
      <c r="AB59" s="320"/>
    </row>
    <row r="60" spans="1:28" s="752" customFormat="1" ht="15" thickTop="1" thickBot="1">
      <c r="A60" s="460">
        <v>43</v>
      </c>
      <c r="B60" s="752" t="s">
        <v>471</v>
      </c>
      <c r="D60" s="762">
        <f>Input!$KO$21</f>
        <v>0</v>
      </c>
      <c r="E60" s="762">
        <f>Input!$KP$21</f>
        <v>0</v>
      </c>
      <c r="F60" s="762">
        <f>Input!$KQ$21</f>
        <v>695653</v>
      </c>
      <c r="G60" s="762">
        <f>Input!$KR$21</f>
        <v>0</v>
      </c>
      <c r="H60" s="762">
        <f>Input!$KS$21</f>
        <v>0</v>
      </c>
      <c r="I60" s="762">
        <f>Input!$KT$21</f>
        <v>0</v>
      </c>
      <c r="J60" s="762">
        <f>Input!$KU$21</f>
        <v>0</v>
      </c>
      <c r="K60" s="762">
        <f>Input!$KV$21</f>
        <v>0</v>
      </c>
      <c r="L60" s="762">
        <f>Input!$KW$21</f>
        <v>0</v>
      </c>
      <c r="M60" s="723">
        <f t="shared" si="9"/>
        <v>695653</v>
      </c>
      <c r="O60" s="1206" t="s">
        <v>661</v>
      </c>
      <c r="P60" s="1207"/>
      <c r="Q60" s="1208"/>
      <c r="R60" s="1208"/>
      <c r="S60" s="1209"/>
      <c r="T60" s="720"/>
      <c r="U60" s="820"/>
      <c r="V60" s="720"/>
      <c r="W60" s="1139" t="s">
        <v>662</v>
      </c>
      <c r="X60" s="1140"/>
      <c r="Y60" s="1141"/>
      <c r="Z60" s="322"/>
      <c r="AA60" s="322"/>
      <c r="AB60" s="322"/>
    </row>
    <row r="61" spans="1:28" s="752" customFormat="1" ht="13.8" thickTop="1">
      <c r="A61" s="460">
        <v>44</v>
      </c>
      <c r="B61" s="752" t="s">
        <v>177</v>
      </c>
      <c r="D61" s="762">
        <f>Input!$KX$21</f>
        <v>275</v>
      </c>
      <c r="E61" s="762">
        <f>Input!$KY$21</f>
        <v>6681558</v>
      </c>
      <c r="F61" s="762">
        <f>Input!$KZ$21</f>
        <v>0</v>
      </c>
      <c r="G61" s="762">
        <f>Input!$LA$21</f>
        <v>143011</v>
      </c>
      <c r="H61" s="762">
        <f>Input!$LB$21</f>
        <v>30590</v>
      </c>
      <c r="I61" s="762">
        <f>Input!$LC$21</f>
        <v>0</v>
      </c>
      <c r="J61" s="762">
        <f>Input!$LD$21</f>
        <v>0</v>
      </c>
      <c r="K61" s="762">
        <f>Input!$LE$21</f>
        <v>0</v>
      </c>
      <c r="L61" s="762">
        <f>Input!$LF$21</f>
        <v>-732139</v>
      </c>
      <c r="M61" s="723">
        <f t="shared" si="9"/>
        <v>6123295</v>
      </c>
      <c r="O61" s="1193" t="s">
        <v>663</v>
      </c>
      <c r="P61" s="1196" t="s">
        <v>664</v>
      </c>
      <c r="Q61" s="1199" t="s">
        <v>665</v>
      </c>
      <c r="R61" s="1199" t="s">
        <v>666</v>
      </c>
      <c r="S61" s="1210" t="s">
        <v>667</v>
      </c>
      <c r="T61" s="720"/>
      <c r="U61" s="1180" t="s">
        <v>668</v>
      </c>
      <c r="V61" s="720"/>
      <c r="W61" s="1190" t="s">
        <v>1712</v>
      </c>
      <c r="X61" s="1183" t="s">
        <v>669</v>
      </c>
      <c r="Y61" s="1185" t="s">
        <v>670</v>
      </c>
      <c r="Z61" s="322"/>
      <c r="AA61" s="322"/>
      <c r="AB61" s="322"/>
    </row>
    <row r="62" spans="1:28" s="752" customFormat="1">
      <c r="A62" s="460">
        <v>45</v>
      </c>
      <c r="B62" s="768" t="s">
        <v>155</v>
      </c>
      <c r="C62" s="768"/>
      <c r="D62" s="769">
        <f t="shared" ref="D62:L62" si="10">SUM(D56:D61)</f>
        <v>20673</v>
      </c>
      <c r="E62" s="769">
        <f t="shared" si="10"/>
        <v>74081915</v>
      </c>
      <c r="F62" s="769">
        <f t="shared" si="10"/>
        <v>695653</v>
      </c>
      <c r="G62" s="769">
        <f t="shared" si="10"/>
        <v>5371782</v>
      </c>
      <c r="H62" s="769">
        <f t="shared" si="10"/>
        <v>25963</v>
      </c>
      <c r="I62" s="769">
        <f t="shared" si="10"/>
        <v>1461478</v>
      </c>
      <c r="J62" s="769">
        <f t="shared" si="10"/>
        <v>0</v>
      </c>
      <c r="K62" s="769">
        <f t="shared" si="10"/>
        <v>0</v>
      </c>
      <c r="L62" s="769">
        <f t="shared" si="10"/>
        <v>-732139</v>
      </c>
      <c r="M62" s="769">
        <f t="shared" si="9"/>
        <v>80925325</v>
      </c>
      <c r="O62" s="1194"/>
      <c r="P62" s="1197"/>
      <c r="Q62" s="1197"/>
      <c r="R62" s="1197"/>
      <c r="S62" s="1211"/>
      <c r="T62" s="720"/>
      <c r="U62" s="1181"/>
      <c r="V62" s="720"/>
      <c r="W62" s="1191"/>
      <c r="X62" s="1183"/>
      <c r="Y62" s="1185"/>
      <c r="Z62" s="322"/>
      <c r="AA62" s="322"/>
      <c r="AB62" s="322"/>
    </row>
    <row r="63" spans="1:28" s="752" customFormat="1">
      <c r="A63" s="460">
        <v>46</v>
      </c>
      <c r="B63" s="821" t="s">
        <v>201</v>
      </c>
      <c r="C63" s="821"/>
      <c r="D63" s="769">
        <f>D15+D44+D47+D50+D53+D62</f>
        <v>140060062</v>
      </c>
      <c r="E63" s="769">
        <f t="shared" ref="E63:M63" si="11">E15+E44+E47+E50+E53+E62</f>
        <v>114840154</v>
      </c>
      <c r="F63" s="769">
        <f t="shared" si="11"/>
        <v>695653</v>
      </c>
      <c r="G63" s="769">
        <f t="shared" si="11"/>
        <v>56693709</v>
      </c>
      <c r="H63" s="769">
        <f t="shared" si="11"/>
        <v>25963</v>
      </c>
      <c r="I63" s="769">
        <f t="shared" si="11"/>
        <v>1461478</v>
      </c>
      <c r="J63" s="769">
        <f t="shared" si="11"/>
        <v>0</v>
      </c>
      <c r="K63" s="769">
        <f t="shared" si="11"/>
        <v>0</v>
      </c>
      <c r="L63" s="769">
        <f t="shared" si="11"/>
        <v>-732139</v>
      </c>
      <c r="M63" s="769">
        <f t="shared" si="11"/>
        <v>313044880</v>
      </c>
      <c r="O63" s="1194"/>
      <c r="P63" s="1197"/>
      <c r="Q63" s="1197"/>
      <c r="R63" s="1197"/>
      <c r="S63" s="1211"/>
      <c r="T63" s="720"/>
      <c r="U63" s="1181"/>
      <c r="V63" s="720"/>
      <c r="W63" s="1191"/>
      <c r="X63" s="1183"/>
      <c r="Y63" s="1185"/>
      <c r="Z63" s="322"/>
      <c r="AA63" s="322"/>
      <c r="AB63" s="322"/>
    </row>
    <row r="64" spans="1:28" s="752" customFormat="1" ht="19.5" customHeight="1" thickBot="1">
      <c r="A64" s="460"/>
      <c r="B64" s="822" t="s">
        <v>178</v>
      </c>
      <c r="C64" s="822"/>
      <c r="D64" s="769"/>
      <c r="E64" s="769"/>
      <c r="F64" s="769"/>
      <c r="G64" s="1167" t="str">
        <f>IF(R98&lt;&gt;0,"Do not Enter Cents - Whole Dollars Only","")</f>
        <v/>
      </c>
      <c r="H64" s="1167"/>
      <c r="I64" s="1167"/>
      <c r="J64" s="1167"/>
      <c r="K64" s="1167"/>
      <c r="L64" s="769"/>
      <c r="M64" s="769"/>
      <c r="O64" s="1195"/>
      <c r="P64" s="1198"/>
      <c r="Q64" s="1198"/>
      <c r="R64" s="1198"/>
      <c r="S64" s="1212"/>
      <c r="T64" s="720"/>
      <c r="U64" s="1182"/>
      <c r="V64" s="720"/>
      <c r="W64" s="1192"/>
      <c r="X64" s="1184"/>
      <c r="Y64" s="1186"/>
      <c r="Z64" s="322"/>
      <c r="AA64" s="322"/>
      <c r="AB64" s="322"/>
    </row>
    <row r="65" spans="1:28" s="752" customFormat="1" ht="13.5" customHeight="1" thickTop="1" thickBot="1">
      <c r="A65" s="460">
        <v>48</v>
      </c>
      <c r="B65" s="823" t="s">
        <v>92</v>
      </c>
      <c r="C65" s="823"/>
      <c r="D65" s="762">
        <f>Input!$LG$21</f>
        <v>46750586</v>
      </c>
      <c r="E65" s="762">
        <f>Input!$LH$21</f>
        <v>30509622</v>
      </c>
      <c r="F65" s="762">
        <f>Input!$LI$21</f>
        <v>0</v>
      </c>
      <c r="G65" s="762">
        <f>Input!$LJ$21</f>
        <v>2300177</v>
      </c>
      <c r="H65" s="762">
        <f>Input!$LK$21</f>
        <v>0</v>
      </c>
      <c r="I65" s="762">
        <f>Input!$LL$21</f>
        <v>0</v>
      </c>
      <c r="J65" s="762">
        <f>Input!$LM$21</f>
        <v>0</v>
      </c>
      <c r="K65" s="762">
        <f>Input!$LN$21</f>
        <v>0</v>
      </c>
      <c r="L65" s="762">
        <f>Input!$LO$21</f>
        <v>0</v>
      </c>
      <c r="M65" s="723">
        <f t="shared" ref="M65:M77" si="12">D65+E65+F65+G65+H65+I65+J65+K65+L65</f>
        <v>79560385</v>
      </c>
      <c r="O65" s="824">
        <f>D65+E65+G65</f>
        <v>79560385</v>
      </c>
      <c r="P65" s="825">
        <f>Input!$TK$21</f>
        <v>1679009</v>
      </c>
      <c r="Q65" s="825">
        <f>Input!$TU$21</f>
        <v>0</v>
      </c>
      <c r="R65" s="825">
        <f>Input!$UD$21</f>
        <v>0</v>
      </c>
      <c r="S65" s="826">
        <f>O65+P65-Q65-R65</f>
        <v>81239394</v>
      </c>
      <c r="T65" s="492"/>
      <c r="U65" s="827">
        <f>D65+E65+F65+G65+J65</f>
        <v>79560385</v>
      </c>
      <c r="V65" s="492"/>
      <c r="W65" s="828" t="s">
        <v>92</v>
      </c>
      <c r="X65" s="829">
        <f>Input!$UO$21</f>
        <v>79560385</v>
      </c>
      <c r="Y65" s="830">
        <f t="shared" ref="Y65:Y74" si="13">X65-M65</f>
        <v>0</v>
      </c>
      <c r="Z65" s="492"/>
      <c r="AA65" s="492"/>
      <c r="AB65" s="492"/>
    </row>
    <row r="66" spans="1:28" s="752" customFormat="1" ht="14.4" thickTop="1" thickBot="1">
      <c r="A66" s="460">
        <v>49</v>
      </c>
      <c r="B66" s="823" t="s">
        <v>179</v>
      </c>
      <c r="C66" s="823"/>
      <c r="D66" s="762">
        <f>Input!$LP$21</f>
        <v>2993099</v>
      </c>
      <c r="E66" s="762">
        <f>Input!$LQ$21</f>
        <v>8129319</v>
      </c>
      <c r="F66" s="762">
        <f>Input!$LR$21</f>
        <v>0</v>
      </c>
      <c r="G66" s="762">
        <f>Input!$LS$21</f>
        <v>35293862</v>
      </c>
      <c r="H66" s="762">
        <f>Input!$LT$21</f>
        <v>0</v>
      </c>
      <c r="I66" s="762">
        <f>Input!$LU$21</f>
        <v>0</v>
      </c>
      <c r="J66" s="762">
        <f>Input!$LV$21</f>
        <v>0</v>
      </c>
      <c r="K66" s="762">
        <f>Input!$LW$21</f>
        <v>0</v>
      </c>
      <c r="L66" s="762">
        <f>Input!$LX$21</f>
        <v>0</v>
      </c>
      <c r="M66" s="723">
        <f t="shared" si="12"/>
        <v>46416280</v>
      </c>
      <c r="O66" s="831">
        <f t="shared" ref="O66:O72" si="14">D66+E66+G66</f>
        <v>46416280</v>
      </c>
      <c r="P66" s="832">
        <f>Input!$TL$21</f>
        <v>2114316</v>
      </c>
      <c r="Q66" s="832">
        <f>Input!$TV$21</f>
        <v>865949</v>
      </c>
      <c r="R66" s="832">
        <f>Input!$UE$21</f>
        <v>0</v>
      </c>
      <c r="S66" s="833">
        <f>O66+P66-Q66-R66</f>
        <v>47664647</v>
      </c>
      <c r="T66" s="492"/>
      <c r="U66" s="834">
        <f t="shared" ref="U66:U76" si="15">D66+E66+F66+G66+J66</f>
        <v>46416280</v>
      </c>
      <c r="V66" s="492"/>
      <c r="W66" s="828" t="s">
        <v>179</v>
      </c>
      <c r="X66" s="835">
        <f>Input!$UP$21</f>
        <v>46416280</v>
      </c>
      <c r="Y66" s="836">
        <f t="shared" si="13"/>
        <v>0</v>
      </c>
      <c r="Z66" s="723"/>
      <c r="AA66" s="723"/>
      <c r="AB66" s="723"/>
    </row>
    <row r="67" spans="1:28" s="752" customFormat="1" ht="13.8" thickTop="1">
      <c r="A67" s="460">
        <v>50</v>
      </c>
      <c r="B67" s="823" t="s">
        <v>180</v>
      </c>
      <c r="C67" s="823"/>
      <c r="D67" s="762">
        <f>Input!$LY$21</f>
        <v>19194062</v>
      </c>
      <c r="E67" s="762">
        <f>Input!$LZ$21</f>
        <v>21050906</v>
      </c>
      <c r="F67" s="762">
        <f>Input!$MA$21</f>
        <v>0</v>
      </c>
      <c r="G67" s="762">
        <f>Input!$MB$21</f>
        <v>6271699</v>
      </c>
      <c r="H67" s="762">
        <f>Input!$MC$21</f>
        <v>0</v>
      </c>
      <c r="I67" s="762">
        <f>Input!$MD$21</f>
        <v>0</v>
      </c>
      <c r="J67" s="762">
        <f>Input!$ME$21</f>
        <v>0</v>
      </c>
      <c r="K67" s="762">
        <f>Input!$MF$21</f>
        <v>0</v>
      </c>
      <c r="L67" s="762">
        <f>Input!$MG$21</f>
        <v>0</v>
      </c>
      <c r="M67" s="723">
        <f t="shared" si="12"/>
        <v>46516667</v>
      </c>
      <c r="O67" s="831">
        <f t="shared" si="14"/>
        <v>46516667</v>
      </c>
      <c r="P67" s="832">
        <f>Input!$TM$21</f>
        <v>2193117</v>
      </c>
      <c r="Q67" s="832">
        <f>Input!$TW$21</f>
        <v>0</v>
      </c>
      <c r="R67" s="832">
        <f>Input!$UF$21</f>
        <v>0</v>
      </c>
      <c r="S67" s="837">
        <f t="shared" ref="S67:S72" si="16">O67+P67-Q67-R67</f>
        <v>48709784</v>
      </c>
      <c r="T67" s="723"/>
      <c r="U67" s="834">
        <f t="shared" si="15"/>
        <v>46516667</v>
      </c>
      <c r="V67" s="723"/>
      <c r="W67" s="828" t="s">
        <v>180</v>
      </c>
      <c r="X67" s="835">
        <f>Input!$UQ$21</f>
        <v>46516667</v>
      </c>
      <c r="Y67" s="836">
        <f t="shared" si="13"/>
        <v>0</v>
      </c>
      <c r="Z67" s="723"/>
      <c r="AA67" s="723"/>
      <c r="AB67" s="723"/>
    </row>
    <row r="68" spans="1:28" s="752" customFormat="1">
      <c r="A68" s="460">
        <v>51</v>
      </c>
      <c r="B68" s="823" t="s">
        <v>164</v>
      </c>
      <c r="C68" s="823"/>
      <c r="D68" s="762">
        <f>Input!$MH$21</f>
        <v>0</v>
      </c>
      <c r="E68" s="762">
        <f>Input!$MI$21</f>
        <v>0</v>
      </c>
      <c r="F68" s="762">
        <f>Input!$MJ$21</f>
        <v>0</v>
      </c>
      <c r="G68" s="762">
        <f>Input!$MK$21</f>
        <v>0</v>
      </c>
      <c r="H68" s="762">
        <f>Input!$ML$21</f>
        <v>0</v>
      </c>
      <c r="I68" s="762">
        <f>Input!$MM$21</f>
        <v>0</v>
      </c>
      <c r="J68" s="762">
        <f>Input!$MN$21</f>
        <v>0</v>
      </c>
      <c r="K68" s="762">
        <f>Input!$MO$21</f>
        <v>0</v>
      </c>
      <c r="L68" s="762">
        <f>Input!$MP$21</f>
        <v>0</v>
      </c>
      <c r="M68" s="723">
        <f t="shared" si="12"/>
        <v>0</v>
      </c>
      <c r="O68" s="831">
        <f t="shared" si="14"/>
        <v>0</v>
      </c>
      <c r="P68" s="832">
        <f>Input!$TN$21</f>
        <v>0</v>
      </c>
      <c r="Q68" s="832">
        <f>Input!$TX$21</f>
        <v>0</v>
      </c>
      <c r="R68" s="832">
        <f>Input!$UG$21</f>
        <v>0</v>
      </c>
      <c r="S68" s="837">
        <f t="shared" si="16"/>
        <v>0</v>
      </c>
      <c r="T68" s="723"/>
      <c r="U68" s="834">
        <f t="shared" si="15"/>
        <v>0</v>
      </c>
      <c r="V68" s="723"/>
      <c r="W68" s="828" t="s">
        <v>164</v>
      </c>
      <c r="X68" s="835">
        <f>Input!$UR$21</f>
        <v>0</v>
      </c>
      <c r="Y68" s="836">
        <f t="shared" si="13"/>
        <v>0</v>
      </c>
      <c r="Z68" s="723"/>
      <c r="AA68" s="723"/>
      <c r="AB68" s="723"/>
    </row>
    <row r="69" spans="1:28" s="752" customFormat="1">
      <c r="A69" s="460">
        <v>52</v>
      </c>
      <c r="B69" s="823" t="s">
        <v>181</v>
      </c>
      <c r="C69" s="823"/>
      <c r="D69" s="762">
        <f>Input!$MQ$21</f>
        <v>16043698</v>
      </c>
      <c r="E69" s="762">
        <f>Input!$MR$21</f>
        <v>11571035</v>
      </c>
      <c r="F69" s="762">
        <f>Input!$MS$21</f>
        <v>0</v>
      </c>
      <c r="G69" s="762">
        <f>Input!$MT$21</f>
        <v>329496</v>
      </c>
      <c r="H69" s="762">
        <f>Input!$MU$21</f>
        <v>0</v>
      </c>
      <c r="I69" s="762">
        <f>Input!$MV$21</f>
        <v>0</v>
      </c>
      <c r="J69" s="762">
        <f>Input!$MW$21</f>
        <v>0</v>
      </c>
      <c r="K69" s="762">
        <f>Input!$MX$21</f>
        <v>0</v>
      </c>
      <c r="L69" s="762">
        <f>Input!$MY$21</f>
        <v>0</v>
      </c>
      <c r="M69" s="723">
        <f t="shared" si="12"/>
        <v>27944229</v>
      </c>
      <c r="O69" s="831">
        <f t="shared" si="14"/>
        <v>27944229</v>
      </c>
      <c r="P69" s="832">
        <f>Input!$TO$21</f>
        <v>2483801</v>
      </c>
      <c r="Q69" s="832">
        <f>Input!$TY$21</f>
        <v>0</v>
      </c>
      <c r="R69" s="832">
        <f>Input!$UH$21</f>
        <v>0</v>
      </c>
      <c r="S69" s="837">
        <f t="shared" si="16"/>
        <v>30428030</v>
      </c>
      <c r="T69" s="723"/>
      <c r="U69" s="834">
        <f t="shared" si="15"/>
        <v>27944229</v>
      </c>
      <c r="V69" s="723"/>
      <c r="W69" s="828" t="s">
        <v>181</v>
      </c>
      <c r="X69" s="835">
        <f>Input!$US$21</f>
        <v>27944229</v>
      </c>
      <c r="Y69" s="836">
        <f t="shared" si="13"/>
        <v>0</v>
      </c>
      <c r="Z69" s="723"/>
      <c r="AA69" s="723"/>
      <c r="AB69" s="723"/>
    </row>
    <row r="70" spans="1:28" s="752" customFormat="1">
      <c r="A70" s="460">
        <v>53</v>
      </c>
      <c r="B70" s="823" t="s">
        <v>182</v>
      </c>
      <c r="C70" s="823"/>
      <c r="D70" s="762">
        <f>Input!$MZ$21</f>
        <v>4205952</v>
      </c>
      <c r="E70" s="762">
        <f>Input!$NA$21</f>
        <v>3762476</v>
      </c>
      <c r="F70" s="762">
        <f>Input!$NB$21</f>
        <v>0</v>
      </c>
      <c r="G70" s="762">
        <f>Input!$NC$21</f>
        <v>40525</v>
      </c>
      <c r="H70" s="762">
        <f>Input!$ND$21</f>
        <v>9635</v>
      </c>
      <c r="I70" s="762">
        <f>Input!$NE$21</f>
        <v>0</v>
      </c>
      <c r="J70" s="762">
        <f>Input!$NF$21</f>
        <v>0</v>
      </c>
      <c r="K70" s="762">
        <f>Input!$NG$21</f>
        <v>0</v>
      </c>
      <c r="L70" s="762">
        <f>Input!$NH$21</f>
        <v>0</v>
      </c>
      <c r="M70" s="723">
        <f t="shared" si="12"/>
        <v>8018588</v>
      </c>
      <c r="O70" s="831">
        <f t="shared" si="14"/>
        <v>8008953</v>
      </c>
      <c r="P70" s="832">
        <f>Input!$TP$21</f>
        <v>9059</v>
      </c>
      <c r="Q70" s="832">
        <f>Input!$TZ$21</f>
        <v>0</v>
      </c>
      <c r="R70" s="832">
        <f>Input!$UI$21</f>
        <v>0</v>
      </c>
      <c r="S70" s="837">
        <f t="shared" si="16"/>
        <v>8018012</v>
      </c>
      <c r="T70" s="723"/>
      <c r="U70" s="834">
        <f t="shared" si="15"/>
        <v>8008953</v>
      </c>
      <c r="V70" s="723"/>
      <c r="W70" s="828" t="s">
        <v>182</v>
      </c>
      <c r="X70" s="835">
        <f>Input!$UT$21</f>
        <v>8018588</v>
      </c>
      <c r="Y70" s="836">
        <f t="shared" si="13"/>
        <v>0</v>
      </c>
      <c r="Z70" s="723"/>
      <c r="AA70" s="723"/>
      <c r="AB70" s="723"/>
    </row>
    <row r="71" spans="1:28" s="752" customFormat="1">
      <c r="A71" s="460">
        <v>54</v>
      </c>
      <c r="B71" s="823" t="s">
        <v>183</v>
      </c>
      <c r="C71" s="823"/>
      <c r="D71" s="762">
        <f>Input!$NI$21</f>
        <v>14630723</v>
      </c>
      <c r="E71" s="762">
        <f>Input!$NJ$21</f>
        <v>6741823</v>
      </c>
      <c r="F71" s="762">
        <f>Input!$NK$21</f>
        <v>0</v>
      </c>
      <c r="G71" s="762">
        <f>Input!$NL$21</f>
        <v>380580</v>
      </c>
      <c r="H71" s="762">
        <f>Input!$NM$21</f>
        <v>0</v>
      </c>
      <c r="I71" s="762">
        <f>Input!$NN$21</f>
        <v>107653</v>
      </c>
      <c r="J71" s="762">
        <f>Input!$NO$21</f>
        <v>209</v>
      </c>
      <c r="K71" s="762">
        <f>Input!$NP$21</f>
        <v>0</v>
      </c>
      <c r="L71" s="762">
        <f>Input!$NQ$21</f>
        <v>0</v>
      </c>
      <c r="M71" s="723">
        <f t="shared" si="12"/>
        <v>21860988</v>
      </c>
      <c r="O71" s="831">
        <f t="shared" si="14"/>
        <v>21753126</v>
      </c>
      <c r="P71" s="832">
        <f>Input!$TQ$21</f>
        <v>11006</v>
      </c>
      <c r="Q71" s="832">
        <f>Input!$UA$21</f>
        <v>0</v>
      </c>
      <c r="R71" s="832">
        <f>Input!$UJ$21</f>
        <v>0</v>
      </c>
      <c r="S71" s="837">
        <f t="shared" si="16"/>
        <v>21764132</v>
      </c>
      <c r="T71" s="723"/>
      <c r="U71" s="834">
        <f t="shared" si="15"/>
        <v>21753335</v>
      </c>
      <c r="V71" s="723"/>
      <c r="W71" s="828" t="s">
        <v>183</v>
      </c>
      <c r="X71" s="835">
        <f>Input!$UU$21</f>
        <v>21860988</v>
      </c>
      <c r="Y71" s="836">
        <f t="shared" si="13"/>
        <v>0</v>
      </c>
      <c r="Z71" s="723"/>
      <c r="AA71" s="723"/>
      <c r="AB71" s="723"/>
    </row>
    <row r="72" spans="1:28" s="752" customFormat="1">
      <c r="A72" s="460">
        <v>55</v>
      </c>
      <c r="B72" s="823" t="s">
        <v>184</v>
      </c>
      <c r="C72" s="823"/>
      <c r="D72" s="762">
        <f>Input!$NR$21</f>
        <v>13474790</v>
      </c>
      <c r="E72" s="762">
        <f>Input!$NS$21</f>
        <v>3431219</v>
      </c>
      <c r="F72" s="762">
        <f>Input!$NT$21</f>
        <v>0</v>
      </c>
      <c r="G72" s="762">
        <f>Input!$NU$21</f>
        <v>23591</v>
      </c>
      <c r="H72" s="762">
        <f>Input!$NV$21</f>
        <v>0</v>
      </c>
      <c r="I72" s="762">
        <f>Input!$NW$21</f>
        <v>0</v>
      </c>
      <c r="J72" s="762">
        <f>Input!$NX$21</f>
        <v>0</v>
      </c>
      <c r="K72" s="762">
        <f>Input!$NY$21</f>
        <v>0</v>
      </c>
      <c r="L72" s="762">
        <f>Input!$NZ$21</f>
        <v>118660</v>
      </c>
      <c r="M72" s="723">
        <f t="shared" si="12"/>
        <v>17048260</v>
      </c>
      <c r="O72" s="831">
        <f t="shared" si="14"/>
        <v>16929600</v>
      </c>
      <c r="P72" s="832">
        <f>Input!$TR$21</f>
        <v>3390468</v>
      </c>
      <c r="Q72" s="832">
        <f>Input!$UB$21</f>
        <v>0</v>
      </c>
      <c r="R72" s="832">
        <f>Input!$UK$21</f>
        <v>0</v>
      </c>
      <c r="S72" s="837">
        <f t="shared" si="16"/>
        <v>20320068</v>
      </c>
      <c r="T72" s="723"/>
      <c r="U72" s="834">
        <f t="shared" si="15"/>
        <v>16929600</v>
      </c>
      <c r="V72" s="723"/>
      <c r="W72" s="828" t="s">
        <v>671</v>
      </c>
      <c r="X72" s="835">
        <f>Input!$UV$21</f>
        <v>17048260</v>
      </c>
      <c r="Y72" s="836">
        <f t="shared" si="13"/>
        <v>0</v>
      </c>
      <c r="Z72" s="723"/>
      <c r="AA72" s="723"/>
      <c r="AB72" s="723"/>
    </row>
    <row r="73" spans="1:28" s="752" customFormat="1" ht="13.8" thickBot="1">
      <c r="A73" s="460">
        <v>56</v>
      </c>
      <c r="B73" s="823" t="s">
        <v>185</v>
      </c>
      <c r="C73" s="823"/>
      <c r="D73" s="762">
        <f>Input!$OA$21</f>
        <v>386100</v>
      </c>
      <c r="E73" s="762">
        <f>Input!$OB$21</f>
        <v>691790</v>
      </c>
      <c r="F73" s="762">
        <f>Input!$OC$21</f>
        <v>0</v>
      </c>
      <c r="G73" s="762">
        <f>Input!$OD$21</f>
        <v>1409775</v>
      </c>
      <c r="H73" s="762">
        <f>Input!$OE$21</f>
        <v>124600</v>
      </c>
      <c r="I73" s="762">
        <f>Input!$OF$21</f>
        <v>0</v>
      </c>
      <c r="J73" s="762">
        <f>Input!$OG$21</f>
        <v>0</v>
      </c>
      <c r="K73" s="762">
        <f>Input!$OH$21</f>
        <v>0</v>
      </c>
      <c r="L73" s="762">
        <f>Input!$OI$21</f>
        <v>0</v>
      </c>
      <c r="M73" s="723">
        <f t="shared" si="12"/>
        <v>2612265</v>
      </c>
      <c r="O73" s="838">
        <f>D73+E73+G73</f>
        <v>2487665</v>
      </c>
      <c r="P73" s="832">
        <f>Input!$TS$21</f>
        <v>14600</v>
      </c>
      <c r="Q73" s="839">
        <f>Input!$UC$21</f>
        <v>0</v>
      </c>
      <c r="R73" s="839">
        <f>Input!$UL$21</f>
        <v>0</v>
      </c>
      <c r="S73" s="840">
        <f>O73+P73-Q73-R73</f>
        <v>2502265</v>
      </c>
      <c r="T73" s="841"/>
      <c r="U73" s="834">
        <f t="shared" si="15"/>
        <v>2487665</v>
      </c>
      <c r="V73" s="841"/>
      <c r="W73" s="828" t="s">
        <v>185</v>
      </c>
      <c r="X73" s="835">
        <f>Input!$UW$21</f>
        <v>2612265</v>
      </c>
      <c r="Y73" s="836">
        <f t="shared" si="13"/>
        <v>0</v>
      </c>
      <c r="Z73" s="723"/>
      <c r="AA73" s="723"/>
      <c r="AB73" s="723"/>
    </row>
    <row r="74" spans="1:28" s="752" customFormat="1" ht="13.8" thickTop="1">
      <c r="A74" s="460">
        <v>57</v>
      </c>
      <c r="B74" s="823" t="s">
        <v>472</v>
      </c>
      <c r="C74" s="823"/>
      <c r="D74" s="762">
        <f>Input!$OJ$21</f>
        <v>0</v>
      </c>
      <c r="E74" s="762">
        <f>Input!$OK$21</f>
        <v>0</v>
      </c>
      <c r="F74" s="762">
        <f>Input!$OL$21</f>
        <v>177508</v>
      </c>
      <c r="G74" s="762">
        <f>Input!$OM$21</f>
        <v>0</v>
      </c>
      <c r="H74" s="762">
        <f>Input!$ON$21</f>
        <v>0</v>
      </c>
      <c r="I74" s="762">
        <f>Input!$OO$21</f>
        <v>0</v>
      </c>
      <c r="J74" s="762">
        <f>Input!$OP$21</f>
        <v>0</v>
      </c>
      <c r="K74" s="762">
        <f>Input!$OQ$21</f>
        <v>0</v>
      </c>
      <c r="L74" s="762">
        <f>Input!$OR$21</f>
        <v>0</v>
      </c>
      <c r="M74" s="723">
        <f t="shared" si="12"/>
        <v>177508</v>
      </c>
      <c r="O74" s="492"/>
      <c r="P74" s="842">
        <f>Input!$TT$21</f>
        <v>0</v>
      </c>
      <c r="Q74" s="843"/>
      <c r="R74" s="844"/>
      <c r="S74" s="845">
        <f>SUM(S65:S73)</f>
        <v>260646332</v>
      </c>
      <c r="T74" s="844"/>
      <c r="U74" s="834">
        <f t="shared" si="15"/>
        <v>177508</v>
      </c>
      <c r="V74" s="844"/>
      <c r="W74" s="828" t="s">
        <v>186</v>
      </c>
      <c r="X74" s="835">
        <f>Input!$UX$21</f>
        <v>177508</v>
      </c>
      <c r="Y74" s="836">
        <f t="shared" si="13"/>
        <v>0</v>
      </c>
      <c r="Z74" s="723"/>
      <c r="AA74" s="723"/>
      <c r="AB74" s="723"/>
    </row>
    <row r="75" spans="1:28" s="752" customFormat="1">
      <c r="A75" s="460">
        <v>58</v>
      </c>
      <c r="B75" s="846" t="s">
        <v>602</v>
      </c>
      <c r="C75" s="846"/>
      <c r="D75" s="762">
        <f>Input!$OS$21</f>
        <v>7174829</v>
      </c>
      <c r="E75" s="762">
        <f>Input!$OT$21</f>
        <v>4517492</v>
      </c>
      <c r="F75" s="762">
        <f>Input!$OU$21</f>
        <v>14600</v>
      </c>
      <c r="G75" s="762">
        <f>Input!$OV$21</f>
        <v>188455</v>
      </c>
      <c r="H75" s="762">
        <f>Input!$OW$21</f>
        <v>0</v>
      </c>
      <c r="I75" s="762">
        <f>Input!$OX$21</f>
        <v>0</v>
      </c>
      <c r="J75" s="762">
        <f>Input!$OY$21</f>
        <v>0</v>
      </c>
      <c r="K75" s="762">
        <f>Input!$OZ$21</f>
        <v>0</v>
      </c>
      <c r="L75" s="762">
        <f>Input!$PA$21</f>
        <v>0</v>
      </c>
      <c r="M75" s="723">
        <f t="shared" si="12"/>
        <v>11895376</v>
      </c>
      <c r="O75" s="492"/>
      <c r="P75" s="492">
        <f>SUM(P65:P74)</f>
        <v>11895376</v>
      </c>
      <c r="Q75" s="843" t="s">
        <v>672</v>
      </c>
      <c r="R75" s="844"/>
      <c r="S75" s="847"/>
      <c r="T75" s="844"/>
      <c r="U75" s="834">
        <f t="shared" si="15"/>
        <v>11895376</v>
      </c>
      <c r="V75" s="844"/>
      <c r="W75" s="828" t="s">
        <v>673</v>
      </c>
      <c r="X75" s="848">
        <f>M93*-1</f>
        <v>20848813</v>
      </c>
      <c r="Y75" s="836">
        <f>X75+M93</f>
        <v>0</v>
      </c>
      <c r="Z75" s="849"/>
      <c r="AA75" s="849"/>
      <c r="AB75" s="849"/>
    </row>
    <row r="76" spans="1:28" s="752" customFormat="1" ht="13.8" thickBot="1">
      <c r="A76" s="460">
        <v>59</v>
      </c>
      <c r="B76" s="850" t="s">
        <v>603</v>
      </c>
      <c r="C76" s="850"/>
      <c r="D76" s="851">
        <f>Input!$PB$21</f>
        <v>-6574</v>
      </c>
      <c r="E76" s="851">
        <f>Input!$PC$21</f>
        <v>171648</v>
      </c>
      <c r="F76" s="851">
        <f>Input!$PD$21</f>
        <v>0</v>
      </c>
      <c r="G76" s="851">
        <f>Input!$PE$21</f>
        <v>691263</v>
      </c>
      <c r="H76" s="851">
        <f>Input!$PF$21</f>
        <v>-209852</v>
      </c>
      <c r="I76" s="851">
        <f>Input!$PG$21</f>
        <v>0</v>
      </c>
      <c r="J76" s="851">
        <f>Input!$PH$21</f>
        <v>0</v>
      </c>
      <c r="K76" s="851">
        <f>Input!$PI$21</f>
        <v>0</v>
      </c>
      <c r="L76" s="851">
        <f>Input!$PJ$21</f>
        <v>-126125</v>
      </c>
      <c r="M76" s="723">
        <f t="shared" si="12"/>
        <v>520360</v>
      </c>
      <c r="O76" s="492"/>
      <c r="P76" s="852" t="str">
        <f>IF(P75&lt;&gt;M75,"Out of Balance","Balanced")</f>
        <v>Balanced</v>
      </c>
      <c r="Q76" s="1213" t="s">
        <v>674</v>
      </c>
      <c r="R76" s="1214"/>
      <c r="S76" s="853">
        <f>Input!$UM$21</f>
        <v>0</v>
      </c>
      <c r="T76" s="492"/>
      <c r="U76" s="854">
        <f t="shared" si="15"/>
        <v>856337</v>
      </c>
      <c r="V76" s="492"/>
      <c r="W76" s="855" t="s">
        <v>675</v>
      </c>
      <c r="X76" s="856" t="s">
        <v>283</v>
      </c>
      <c r="Y76" s="857">
        <f>M95</f>
        <v>0</v>
      </c>
      <c r="Z76" s="492"/>
      <c r="AA76" s="492"/>
      <c r="AB76" s="492"/>
    </row>
    <row r="77" spans="1:28" s="752" customFormat="1" ht="14.4" thickTop="1" thickBot="1">
      <c r="A77" s="460">
        <v>60</v>
      </c>
      <c r="B77" s="858" t="s">
        <v>189</v>
      </c>
      <c r="C77" s="858"/>
      <c r="D77" s="769">
        <f t="shared" ref="D77:L77" si="17">SUM(D65:D76)</f>
        <v>124847265</v>
      </c>
      <c r="E77" s="769">
        <f t="shared" si="17"/>
        <v>90577330</v>
      </c>
      <c r="F77" s="769">
        <f t="shared" si="17"/>
        <v>192108</v>
      </c>
      <c r="G77" s="769">
        <f t="shared" si="17"/>
        <v>46929423</v>
      </c>
      <c r="H77" s="769">
        <f t="shared" si="17"/>
        <v>-75617</v>
      </c>
      <c r="I77" s="769">
        <f t="shared" si="17"/>
        <v>107653</v>
      </c>
      <c r="J77" s="769">
        <f t="shared" si="17"/>
        <v>209</v>
      </c>
      <c r="K77" s="769">
        <f t="shared" si="17"/>
        <v>0</v>
      </c>
      <c r="L77" s="769">
        <f t="shared" si="17"/>
        <v>-7465</v>
      </c>
      <c r="M77" s="769">
        <f t="shared" si="12"/>
        <v>262570906</v>
      </c>
      <c r="O77" s="320"/>
      <c r="P77" s="492"/>
      <c r="Q77" s="859" t="s">
        <v>676</v>
      </c>
      <c r="R77" s="860"/>
      <c r="S77" s="861">
        <f>Input!$UN$21</f>
        <v>0</v>
      </c>
      <c r="T77" s="320"/>
      <c r="U77" s="862">
        <f>SUM(U65:U76)</f>
        <v>262546335</v>
      </c>
      <c r="V77" s="320"/>
      <c r="W77" s="320"/>
      <c r="X77" s="863">
        <f>SUM(X65:X76)</f>
        <v>271003983</v>
      </c>
      <c r="Y77" s="864">
        <f>SUM(Y65:Y76)</f>
        <v>0</v>
      </c>
      <c r="Z77" s="320"/>
      <c r="AA77" s="320"/>
      <c r="AB77" s="320"/>
    </row>
    <row r="78" spans="1:28" s="752" customFormat="1" ht="14.4" thickTop="1" thickBot="1">
      <c r="A78" s="460">
        <v>61</v>
      </c>
      <c r="D78" s="723"/>
      <c r="E78" s="723"/>
      <c r="F78" s="723"/>
      <c r="G78" s="723"/>
      <c r="H78" s="723"/>
      <c r="I78" s="723"/>
      <c r="J78" s="723"/>
      <c r="K78" s="723"/>
      <c r="L78" s="723"/>
      <c r="M78" s="723"/>
      <c r="O78" s="320"/>
      <c r="P78" s="320"/>
      <c r="Q78" s="865" t="s">
        <v>677</v>
      </c>
      <c r="R78" s="866"/>
      <c r="S78" s="867">
        <f>S74-S76+S77</f>
        <v>260646332</v>
      </c>
      <c r="T78" s="492"/>
      <c r="U78" s="492"/>
      <c r="V78" s="492"/>
      <c r="W78" s="320"/>
      <c r="X78" s="320"/>
      <c r="Y78" s="344" t="str">
        <f>IF(Y77&lt;&gt;0,"Out of Balance","Balanced")</f>
        <v>Balanced</v>
      </c>
      <c r="Z78" s="320"/>
      <c r="AA78" s="320"/>
      <c r="AB78" s="320"/>
    </row>
    <row r="79" spans="1:28" s="752" customFormat="1" ht="13.8" thickTop="1">
      <c r="A79" s="460">
        <v>62</v>
      </c>
      <c r="B79" s="771" t="s">
        <v>473</v>
      </c>
      <c r="C79" s="771"/>
      <c r="D79" s="723"/>
      <c r="E79" s="723"/>
      <c r="F79" s="723"/>
      <c r="G79" s="723"/>
      <c r="H79" s="723"/>
      <c r="I79" s="723"/>
      <c r="J79" s="723"/>
      <c r="K79" s="723"/>
      <c r="L79" s="723"/>
      <c r="M79" s="723"/>
      <c r="O79" s="492"/>
      <c r="P79" s="320"/>
      <c r="Q79" s="723"/>
      <c r="R79" s="320"/>
      <c r="S79" s="443"/>
      <c r="T79" s="492"/>
      <c r="U79" s="492"/>
      <c r="V79" s="320"/>
      <c r="W79" s="320"/>
      <c r="X79" s="320"/>
      <c r="Y79" s="320"/>
      <c r="Z79" s="320"/>
      <c r="AA79" s="320"/>
      <c r="AB79" s="320"/>
    </row>
    <row r="80" spans="1:28" s="752" customFormat="1">
      <c r="A80" s="460">
        <v>63</v>
      </c>
      <c r="B80" s="752" t="s">
        <v>604</v>
      </c>
      <c r="D80" s="762">
        <f>Input!$PK$21</f>
        <v>0</v>
      </c>
      <c r="E80" s="762">
        <f>Input!$PL$21</f>
        <v>0</v>
      </c>
      <c r="F80" s="762">
        <f>Input!$PM$21</f>
        <v>0</v>
      </c>
      <c r="G80" s="762">
        <f>Input!$PN$21</f>
        <v>0</v>
      </c>
      <c r="H80" s="762">
        <f>Input!$PO$21</f>
        <v>0</v>
      </c>
      <c r="I80" s="762">
        <f>Input!$PP$21</f>
        <v>0</v>
      </c>
      <c r="J80" s="762">
        <f>Input!$PQ$21</f>
        <v>0</v>
      </c>
      <c r="K80" s="762">
        <f>Input!$PR$21</f>
        <v>0</v>
      </c>
      <c r="L80" s="762">
        <f>Input!$PS$21</f>
        <v>-14506248</v>
      </c>
      <c r="M80" s="723">
        <f>D80+E80+F80+G80+H80+I80+J80+K80+L80</f>
        <v>-14506248</v>
      </c>
      <c r="O80" s="492"/>
      <c r="P80" s="492"/>
      <c r="Q80" s="723"/>
      <c r="R80" s="320"/>
      <c r="S80" s="443"/>
      <c r="T80" s="868"/>
      <c r="U80" s="723"/>
      <c r="V80" s="320"/>
      <c r="W80" s="320"/>
      <c r="X80" s="320"/>
      <c r="Y80" s="320"/>
      <c r="Z80" s="320"/>
      <c r="AA80" s="320"/>
      <c r="AB80" s="320"/>
    </row>
    <row r="81" spans="1:28" s="752" customFormat="1" ht="13.8" thickBot="1">
      <c r="A81" s="460">
        <v>64</v>
      </c>
      <c r="B81" s="752" t="s">
        <v>566</v>
      </c>
      <c r="D81" s="762">
        <f>Input!$PT$21</f>
        <v>-18841172</v>
      </c>
      <c r="E81" s="762">
        <f>Input!$PU$21</f>
        <v>-4516296</v>
      </c>
      <c r="F81" s="762">
        <f>Input!$PV$21</f>
        <v>-173040</v>
      </c>
      <c r="G81" s="762">
        <f>Input!$PW$21</f>
        <v>598413</v>
      </c>
      <c r="H81" s="762">
        <f>Input!$PX$21</f>
        <v>874902</v>
      </c>
      <c r="I81" s="762">
        <f>Input!$PY$21</f>
        <v>-1065430</v>
      </c>
      <c r="J81" s="762">
        <f>Input!$PZ$21</f>
        <v>0</v>
      </c>
      <c r="K81" s="762">
        <f>Input!$QA$21</f>
        <v>-14175088</v>
      </c>
      <c r="L81" s="762">
        <f>Input!$QB$21</f>
        <v>17786749</v>
      </c>
      <c r="M81" s="723">
        <f>D81+E81+F81+G81+H81+I81+J81+K81+L81</f>
        <v>-19510962</v>
      </c>
      <c r="O81" s="492"/>
      <c r="P81" s="492"/>
      <c r="Q81" s="723"/>
      <c r="R81" s="320"/>
      <c r="S81" s="443"/>
      <c r="T81" s="443"/>
      <c r="U81" s="868"/>
      <c r="V81" s="320"/>
      <c r="W81" s="320"/>
      <c r="X81" s="320"/>
      <c r="Y81" s="320"/>
      <c r="Z81" s="320"/>
      <c r="AA81" s="320"/>
      <c r="AB81" s="320"/>
    </row>
    <row r="82" spans="1:28" s="752" customFormat="1" ht="14.4" thickTop="1" thickBot="1">
      <c r="A82" s="460">
        <v>65</v>
      </c>
      <c r="B82" s="766" t="s">
        <v>605</v>
      </c>
      <c r="C82" s="766"/>
      <c r="D82" s="762">
        <f>Input!$QC$21</f>
        <v>0</v>
      </c>
      <c r="E82" s="762">
        <f>Input!$QD$21</f>
        <v>0</v>
      </c>
      <c r="F82" s="762">
        <f>Input!$QE$21</f>
        <v>0</v>
      </c>
      <c r="G82" s="762">
        <f>Input!$QF$21</f>
        <v>0</v>
      </c>
      <c r="H82" s="762">
        <f>Input!$QG$21</f>
        <v>0</v>
      </c>
      <c r="I82" s="762">
        <f>Input!$QH$21</f>
        <v>0</v>
      </c>
      <c r="J82" s="762">
        <f>Input!$QI$21</f>
        <v>0</v>
      </c>
      <c r="K82" s="762">
        <f>Input!$QJ$21</f>
        <v>0</v>
      </c>
      <c r="L82" s="762">
        <f>Input!$QK$21</f>
        <v>0</v>
      </c>
      <c r="M82" s="723">
        <f>D82+E82+F82+G82+H82+I82+J82+K82+L82</f>
        <v>0</v>
      </c>
      <c r="O82" s="492"/>
      <c r="P82" s="1218" t="str">
        <f>IF(M91&lt;0,"Footnote 11 is N/A - No Data Entry Required","Footnote 11")</f>
        <v>Footnote 11 is N/A - No Data Entry Required</v>
      </c>
      <c r="Q82" s="1219"/>
      <c r="R82" s="1219"/>
      <c r="S82" s="1220"/>
      <c r="T82" s="443"/>
      <c r="U82" s="443"/>
      <c r="V82" s="320"/>
      <c r="W82" s="320"/>
      <c r="X82" s="320"/>
      <c r="Y82" s="320"/>
      <c r="Z82" s="320"/>
      <c r="AA82" s="320"/>
      <c r="AB82" s="320"/>
    </row>
    <row r="83" spans="1:28" s="752" customFormat="1" ht="13.8" thickTop="1">
      <c r="A83" s="460">
        <v>66</v>
      </c>
      <c r="B83" s="752" t="s">
        <v>477</v>
      </c>
      <c r="D83" s="762">
        <f>Input!$QL$21</f>
        <v>0</v>
      </c>
      <c r="E83" s="762">
        <f>Input!$QM$21</f>
        <v>0</v>
      </c>
      <c r="F83" s="762">
        <f>Input!$QN$21</f>
        <v>0</v>
      </c>
      <c r="G83" s="762">
        <f>Input!$QO$21</f>
        <v>0</v>
      </c>
      <c r="H83" s="762">
        <f>Input!$QP$21</f>
        <v>0</v>
      </c>
      <c r="I83" s="762">
        <f>Input!$QQ$21</f>
        <v>0</v>
      </c>
      <c r="J83" s="762">
        <f>Input!$QR$21</f>
        <v>0</v>
      </c>
      <c r="K83" s="762">
        <f>Input!$QS$21</f>
        <v>0</v>
      </c>
      <c r="L83" s="762">
        <f>Input!$QT$21</f>
        <v>-866</v>
      </c>
      <c r="M83" s="723">
        <f>D83+E83+F83+G83+H83+I83+J83+K83+L83</f>
        <v>-866</v>
      </c>
      <c r="O83" s="723"/>
      <c r="P83" s="869" t="s">
        <v>678</v>
      </c>
      <c r="Q83" s="870"/>
      <c r="R83" s="871"/>
      <c r="S83" s="872" t="str">
        <f>IF(M91&lt;0,"N/A",M91)</f>
        <v>N/A</v>
      </c>
      <c r="T83" s="492"/>
      <c r="U83" s="443"/>
      <c r="V83" s="320"/>
      <c r="W83" s="320"/>
      <c r="X83" s="443"/>
      <c r="Y83" s="443"/>
      <c r="Z83" s="320"/>
      <c r="AA83" s="320"/>
      <c r="AB83" s="320"/>
    </row>
    <row r="84" spans="1:28" s="752" customFormat="1">
      <c r="A84" s="460">
        <v>67</v>
      </c>
      <c r="B84" s="858" t="s">
        <v>155</v>
      </c>
      <c r="C84" s="858"/>
      <c r="D84" s="769">
        <f t="shared" ref="D84:L84" si="18">SUM(D80:D83)</f>
        <v>-18841172</v>
      </c>
      <c r="E84" s="769">
        <f t="shared" si="18"/>
        <v>-4516296</v>
      </c>
      <c r="F84" s="769">
        <f t="shared" si="18"/>
        <v>-173040</v>
      </c>
      <c r="G84" s="769">
        <f t="shared" si="18"/>
        <v>598413</v>
      </c>
      <c r="H84" s="769">
        <f t="shared" si="18"/>
        <v>874902</v>
      </c>
      <c r="I84" s="769">
        <f t="shared" si="18"/>
        <v>-1065430</v>
      </c>
      <c r="J84" s="769">
        <f t="shared" si="18"/>
        <v>0</v>
      </c>
      <c r="K84" s="769">
        <f t="shared" si="18"/>
        <v>-14175088</v>
      </c>
      <c r="L84" s="769">
        <f t="shared" si="18"/>
        <v>3279635</v>
      </c>
      <c r="M84" s="769">
        <f>D84+E84+F84+G84+H84+I84+J84+K84+L84</f>
        <v>-34018076</v>
      </c>
      <c r="O84" s="723"/>
      <c r="P84" s="873" t="s">
        <v>679</v>
      </c>
      <c r="Q84" s="492"/>
      <c r="R84" s="492"/>
      <c r="S84" s="874">
        <f>Input!$UY$21</f>
        <v>0</v>
      </c>
      <c r="T84" s="492"/>
      <c r="U84" s="723"/>
      <c r="V84" s="320"/>
      <c r="W84" s="443"/>
      <c r="X84" s="443"/>
      <c r="Y84" s="443"/>
      <c r="Z84" s="320"/>
      <c r="AA84" s="320"/>
      <c r="AB84" s="320"/>
    </row>
    <row r="85" spans="1:28" s="752" customFormat="1">
      <c r="A85" s="460">
        <v>68</v>
      </c>
      <c r="D85" s="723"/>
      <c r="E85" s="723"/>
      <c r="F85" s="723"/>
      <c r="G85" s="723"/>
      <c r="H85" s="723"/>
      <c r="I85" s="723"/>
      <c r="J85" s="723"/>
      <c r="K85" s="723"/>
      <c r="L85" s="723"/>
      <c r="M85" s="723"/>
      <c r="O85" s="723"/>
      <c r="P85" s="873" t="s">
        <v>680</v>
      </c>
      <c r="Q85" s="320"/>
      <c r="R85" s="492"/>
      <c r="S85" s="875" t="str">
        <f>IF(M91&lt;0,"",S83-S84)</f>
        <v/>
      </c>
      <c r="T85" s="492"/>
      <c r="U85" s="723"/>
      <c r="V85" s="320"/>
      <c r="W85" s="320"/>
      <c r="X85" s="443"/>
      <c r="Y85" s="443"/>
      <c r="Z85" s="320"/>
      <c r="AA85" s="320"/>
      <c r="AB85" s="320"/>
    </row>
    <row r="86" spans="1:28" s="752" customFormat="1">
      <c r="A86" s="460">
        <v>69</v>
      </c>
      <c r="B86" s="771" t="s">
        <v>478</v>
      </c>
      <c r="C86" s="771"/>
      <c r="D86" s="723"/>
      <c r="E86" s="723"/>
      <c r="F86" s="723"/>
      <c r="G86" s="723"/>
      <c r="H86" s="723"/>
      <c r="I86" s="723"/>
      <c r="J86" s="723"/>
      <c r="K86" s="723"/>
      <c r="L86" s="723"/>
      <c r="M86" s="723"/>
      <c r="O86" s="320"/>
      <c r="P86" s="876"/>
      <c r="Q86" s="320"/>
      <c r="R86" s="492"/>
      <c r="S86" s="877"/>
      <c r="T86" s="492"/>
      <c r="U86" s="492"/>
      <c r="V86" s="320"/>
      <c r="W86" s="868"/>
      <c r="X86" s="443"/>
      <c r="Y86" s="443"/>
      <c r="Z86" s="320"/>
      <c r="AA86" s="320"/>
      <c r="AB86" s="320"/>
    </row>
    <row r="87" spans="1:28" s="752" customFormat="1">
      <c r="A87" s="460">
        <v>70</v>
      </c>
      <c r="B87" s="752" t="s">
        <v>479</v>
      </c>
      <c r="D87" s="762">
        <f>Input!$QU$21</f>
        <v>0</v>
      </c>
      <c r="E87" s="762">
        <f>Input!$QV$21</f>
        <v>-24975391</v>
      </c>
      <c r="F87" s="762">
        <f>Input!$QW$21</f>
        <v>0</v>
      </c>
      <c r="G87" s="762">
        <f>Input!$QX$21</f>
        <v>0</v>
      </c>
      <c r="H87" s="762">
        <f>Input!$QY$21</f>
        <v>0</v>
      </c>
      <c r="I87" s="762">
        <f>Input!$QZ$21</f>
        <v>-9004542</v>
      </c>
      <c r="J87" s="762">
        <f>Input!$RA$21</f>
        <v>0</v>
      </c>
      <c r="K87" s="762">
        <f>Input!$RB$21</f>
        <v>0</v>
      </c>
      <c r="L87" s="762">
        <f>Input!$RC$21</f>
        <v>0</v>
      </c>
      <c r="M87" s="723">
        <f>D87+E87+F87+G87+H87+I87+J87+K87+L87</f>
        <v>-33979933</v>
      </c>
      <c r="O87" s="320"/>
      <c r="P87" s="873" t="s">
        <v>681</v>
      </c>
      <c r="Q87" s="320"/>
      <c r="R87" s="492"/>
      <c r="S87" s="878">
        <f>Input!$UZ$21</f>
        <v>0</v>
      </c>
      <c r="T87" s="320"/>
      <c r="U87" s="320"/>
      <c r="V87" s="320"/>
      <c r="W87" s="320"/>
      <c r="X87" s="443"/>
      <c r="Y87" s="443"/>
      <c r="Z87" s="320"/>
      <c r="AA87" s="320"/>
      <c r="AB87" s="320"/>
    </row>
    <row r="88" spans="1:28" s="752" customFormat="1">
      <c r="A88" s="460">
        <v>71</v>
      </c>
      <c r="B88" s="752" t="s">
        <v>480</v>
      </c>
      <c r="D88" s="762">
        <f>Input!$RD$21</f>
        <v>0</v>
      </c>
      <c r="E88" s="762">
        <f>Input!$RE$21</f>
        <v>0</v>
      </c>
      <c r="F88" s="762">
        <f>Input!$RF$21</f>
        <v>0</v>
      </c>
      <c r="G88" s="762">
        <f>Input!$RG$21</f>
        <v>0</v>
      </c>
      <c r="H88" s="762">
        <f>Input!$RH$21</f>
        <v>0</v>
      </c>
      <c r="I88" s="762">
        <f>Input!$RI$21</f>
        <v>0</v>
      </c>
      <c r="J88" s="762">
        <f>Input!$RJ$21</f>
        <v>0</v>
      </c>
      <c r="K88" s="762">
        <f>Input!$RK$21</f>
        <v>0</v>
      </c>
      <c r="L88" s="762">
        <f>Input!$RL$21</f>
        <v>0</v>
      </c>
      <c r="M88" s="723">
        <f>D88+E88+F88+G88+H88+I88+J88+K88+L88</f>
        <v>0</v>
      </c>
      <c r="O88" s="406"/>
      <c r="P88" s="879" t="s">
        <v>682</v>
      </c>
      <c r="Q88" s="320"/>
      <c r="R88" s="320"/>
      <c r="S88" s="880"/>
      <c r="T88" s="320"/>
      <c r="U88" s="320"/>
      <c r="V88" s="320"/>
      <c r="W88" s="320"/>
      <c r="X88" s="868"/>
      <c r="Y88" s="868"/>
      <c r="Z88" s="320"/>
      <c r="AA88" s="320"/>
      <c r="AB88" s="320"/>
    </row>
    <row r="89" spans="1:28" s="752" customFormat="1">
      <c r="A89" s="460">
        <v>72</v>
      </c>
      <c r="B89" s="858" t="s">
        <v>155</v>
      </c>
      <c r="C89" s="858"/>
      <c r="D89" s="769">
        <f t="shared" ref="D89:L89" si="19">SUM(D87:D88)</f>
        <v>0</v>
      </c>
      <c r="E89" s="769">
        <f t="shared" si="19"/>
        <v>-24975391</v>
      </c>
      <c r="F89" s="769">
        <f t="shared" si="19"/>
        <v>0</v>
      </c>
      <c r="G89" s="769">
        <f t="shared" si="19"/>
        <v>0</v>
      </c>
      <c r="H89" s="769">
        <f t="shared" si="19"/>
        <v>0</v>
      </c>
      <c r="I89" s="769">
        <f t="shared" si="19"/>
        <v>-9004542</v>
      </c>
      <c r="J89" s="769">
        <f t="shared" si="19"/>
        <v>0</v>
      </c>
      <c r="K89" s="769">
        <f t="shared" si="19"/>
        <v>0</v>
      </c>
      <c r="L89" s="769">
        <f t="shared" si="19"/>
        <v>0</v>
      </c>
      <c r="M89" s="769">
        <f>D89+E89+F89+G89+H89+I89+J89+K89+L89</f>
        <v>-33979933</v>
      </c>
      <c r="O89" s="320"/>
      <c r="P89" s="873" t="s">
        <v>683</v>
      </c>
      <c r="Q89" s="320"/>
      <c r="R89" s="320"/>
      <c r="S89" s="875" t="str">
        <f>IFERROR(S85-S87,"")</f>
        <v/>
      </c>
      <c r="T89" s="320"/>
      <c r="U89" s="320"/>
      <c r="V89" s="320"/>
      <c r="W89" s="320"/>
      <c r="X89" s="320"/>
      <c r="Y89" s="320"/>
      <c r="Z89" s="320"/>
      <c r="AA89" s="320"/>
      <c r="AB89" s="320"/>
    </row>
    <row r="90" spans="1:28" s="752" customFormat="1">
      <c r="A90" s="460">
        <v>73</v>
      </c>
      <c r="D90" s="723"/>
      <c r="E90" s="723"/>
      <c r="F90" s="723"/>
      <c r="G90" s="723"/>
      <c r="H90" s="723"/>
      <c r="I90" s="723"/>
      <c r="J90" s="723"/>
      <c r="K90" s="723"/>
      <c r="L90" s="723"/>
      <c r="M90" s="723"/>
      <c r="O90" s="320"/>
      <c r="P90" s="876"/>
      <c r="Q90" s="320"/>
      <c r="R90" s="320"/>
      <c r="S90" s="880"/>
      <c r="T90" s="320"/>
      <c r="U90" s="320"/>
      <c r="V90" s="320"/>
      <c r="W90" s="320"/>
      <c r="X90" s="320"/>
      <c r="Y90" s="320"/>
      <c r="Z90" s="320"/>
      <c r="AA90" s="320"/>
      <c r="AB90" s="320"/>
    </row>
    <row r="91" spans="1:28" s="752" customFormat="1" ht="13.8" thickBot="1">
      <c r="A91" s="460">
        <v>74</v>
      </c>
      <c r="B91" s="858" t="s">
        <v>606</v>
      </c>
      <c r="C91" s="858"/>
      <c r="D91" s="769">
        <f t="shared" ref="D91:K91" si="20">D63-D77+D84+D89</f>
        <v>-3628375</v>
      </c>
      <c r="E91" s="769">
        <f t="shared" si="20"/>
        <v>-5228863</v>
      </c>
      <c r="F91" s="769">
        <f t="shared" si="20"/>
        <v>330505</v>
      </c>
      <c r="G91" s="769">
        <f t="shared" si="20"/>
        <v>10362699</v>
      </c>
      <c r="H91" s="769">
        <f t="shared" si="20"/>
        <v>976482</v>
      </c>
      <c r="I91" s="769">
        <f t="shared" si="20"/>
        <v>-8716147</v>
      </c>
      <c r="J91" s="769">
        <f t="shared" si="20"/>
        <v>-209</v>
      </c>
      <c r="K91" s="769">
        <f t="shared" si="20"/>
        <v>-14175088</v>
      </c>
      <c r="L91" s="769">
        <f>L63-L77+L84+L89</f>
        <v>2554961</v>
      </c>
      <c r="M91" s="769">
        <f>D91+E91+F91+G91+H91+I91+J91+K91+L91</f>
        <v>-17524035</v>
      </c>
      <c r="O91" s="320"/>
      <c r="P91" s="881" t="s">
        <v>684</v>
      </c>
      <c r="Q91" s="882"/>
      <c r="R91" s="882"/>
      <c r="S91" s="883" t="str">
        <f>IFERROR((S89+S87)-S85,"")</f>
        <v/>
      </c>
      <c r="T91" s="320"/>
      <c r="U91" s="320"/>
      <c r="V91" s="320"/>
      <c r="W91" s="320"/>
      <c r="X91" s="320"/>
      <c r="Y91" s="320"/>
      <c r="Z91" s="320"/>
      <c r="AA91" s="320"/>
      <c r="AB91" s="320"/>
    </row>
    <row r="92" spans="1:28" s="752" customFormat="1" ht="13.8" thickTop="1">
      <c r="A92" s="460">
        <v>75</v>
      </c>
      <c r="D92" s="723"/>
      <c r="E92" s="723"/>
      <c r="F92" s="723"/>
      <c r="G92" s="723"/>
      <c r="H92" s="723"/>
      <c r="I92" s="723"/>
      <c r="J92" s="723"/>
      <c r="K92" s="723"/>
      <c r="L92" s="723"/>
      <c r="M92" s="723"/>
      <c r="O92" s="320"/>
      <c r="P92" s="320"/>
      <c r="Q92" s="320"/>
      <c r="R92" s="320"/>
      <c r="S92" s="320"/>
      <c r="T92" s="320"/>
      <c r="U92" s="320"/>
      <c r="V92" s="320"/>
      <c r="W92" s="320"/>
      <c r="X92" s="320"/>
      <c r="Y92" s="320"/>
      <c r="Z92" s="320"/>
      <c r="AA92" s="320"/>
      <c r="AB92" s="320"/>
    </row>
    <row r="93" spans="1:28" s="752" customFormat="1">
      <c r="A93" s="460">
        <v>77</v>
      </c>
      <c r="B93" s="320" t="s">
        <v>482</v>
      </c>
      <c r="C93" s="320"/>
      <c r="D93" s="762">
        <f>Input!$RM$21</f>
        <v>0</v>
      </c>
      <c r="E93" s="762">
        <f>Input!$RN$21</f>
        <v>0</v>
      </c>
      <c r="F93" s="762">
        <f>Input!$RO$21</f>
        <v>0</v>
      </c>
      <c r="G93" s="762">
        <f>Input!$RP$21</f>
        <v>0</v>
      </c>
      <c r="H93" s="762">
        <f>Input!$RQ$21</f>
        <v>0</v>
      </c>
      <c r="I93" s="762">
        <f>Input!$RR$21</f>
        <v>0</v>
      </c>
      <c r="J93" s="762">
        <f>Input!$RS$21</f>
        <v>0</v>
      </c>
      <c r="K93" s="762">
        <f>Input!$RT$21</f>
        <v>0</v>
      </c>
      <c r="L93" s="762">
        <f>Input!$RU$21</f>
        <v>-20848813</v>
      </c>
      <c r="M93" s="723">
        <f>D93+E93+F93+G93+H93+I93+J93+K93+L93</f>
        <v>-20848813</v>
      </c>
      <c r="O93" s="406"/>
      <c r="P93" s="320"/>
      <c r="Q93" s="320"/>
      <c r="R93" s="320"/>
      <c r="S93" s="320"/>
      <c r="T93" s="320"/>
      <c r="U93" s="320"/>
      <c r="V93" s="320"/>
      <c r="W93" s="320"/>
      <c r="X93" s="320"/>
      <c r="Y93" s="320"/>
      <c r="Z93" s="320"/>
      <c r="AA93" s="320"/>
      <c r="AB93" s="320"/>
    </row>
    <row r="94" spans="1:28" s="752" customFormat="1">
      <c r="A94" s="460">
        <v>78</v>
      </c>
      <c r="B94" s="320" t="s">
        <v>483</v>
      </c>
      <c r="C94" s="320"/>
      <c r="D94" s="762">
        <f>Input!$RV$21</f>
        <v>0</v>
      </c>
      <c r="E94" s="762">
        <f>Input!$RW$21</f>
        <v>0</v>
      </c>
      <c r="F94" s="762">
        <f>Input!$RX$21</f>
        <v>0</v>
      </c>
      <c r="G94" s="762">
        <f>Input!$RY$21</f>
        <v>0</v>
      </c>
      <c r="H94" s="762">
        <f>Input!$RZ$21</f>
        <v>0</v>
      </c>
      <c r="I94" s="762">
        <f>Input!$SA$21</f>
        <v>0</v>
      </c>
      <c r="J94" s="762">
        <f>Input!$SB$21</f>
        <v>0</v>
      </c>
      <c r="K94" s="762">
        <f>Input!$SC$21</f>
        <v>0</v>
      </c>
      <c r="L94" s="762">
        <f>Input!$SD$21</f>
        <v>1096</v>
      </c>
      <c r="M94" s="723">
        <f>D94+E94+F94+G94+H94+I94+J94+K94+L94</f>
        <v>1096</v>
      </c>
      <c r="O94" s="884"/>
      <c r="P94" s="406"/>
      <c r="Q94" s="320"/>
      <c r="R94" s="320"/>
      <c r="S94" s="320"/>
      <c r="T94" s="320"/>
      <c r="U94" s="320"/>
      <c r="V94" s="320"/>
      <c r="W94" s="320"/>
      <c r="X94" s="320"/>
      <c r="Y94" s="320"/>
      <c r="Z94" s="320"/>
      <c r="AA94" s="320"/>
      <c r="AB94" s="320"/>
    </row>
    <row r="95" spans="1:28" s="752" customFormat="1">
      <c r="A95" s="460"/>
      <c r="B95" s="320" t="s">
        <v>484</v>
      </c>
      <c r="C95" s="320"/>
      <c r="D95" s="762">
        <f>Input!$SE$21</f>
        <v>0</v>
      </c>
      <c r="E95" s="762">
        <f>Input!$SF$21</f>
        <v>0</v>
      </c>
      <c r="F95" s="762">
        <f>Input!$SG$21</f>
        <v>0</v>
      </c>
      <c r="G95" s="762">
        <f>Input!$SH$21</f>
        <v>0</v>
      </c>
      <c r="H95" s="762">
        <f>Input!$SI$21</f>
        <v>0</v>
      </c>
      <c r="I95" s="762">
        <f>Input!$SJ$21</f>
        <v>0</v>
      </c>
      <c r="J95" s="762">
        <f>Input!$SK$21</f>
        <v>0</v>
      </c>
      <c r="K95" s="762">
        <f>Input!$SL$21</f>
        <v>0</v>
      </c>
      <c r="L95" s="762">
        <f>Input!$SM$21</f>
        <v>0</v>
      </c>
      <c r="M95" s="723">
        <f>D95+E95+F95+G95+H95+I95+J95+K95+L95</f>
        <v>0</v>
      </c>
      <c r="O95" s="884"/>
      <c r="P95" s="320"/>
      <c r="Q95" s="320"/>
      <c r="R95" s="320"/>
      <c r="S95" s="320"/>
      <c r="T95" s="320"/>
      <c r="U95" s="320"/>
      <c r="V95" s="320"/>
      <c r="W95" s="320"/>
      <c r="X95" s="320"/>
      <c r="Y95" s="320"/>
      <c r="Z95" s="320"/>
      <c r="AA95" s="320"/>
      <c r="AB95" s="320"/>
    </row>
    <row r="96" spans="1:28" s="752" customFormat="1">
      <c r="A96" s="460"/>
      <c r="B96" s="320" t="s">
        <v>485</v>
      </c>
      <c r="C96" s="320"/>
      <c r="D96" s="762">
        <f>Input!$SN$21</f>
        <v>0</v>
      </c>
      <c r="E96" s="762">
        <f>Input!$SO$21</f>
        <v>0</v>
      </c>
      <c r="F96" s="762">
        <f>Input!$SP$21</f>
        <v>0</v>
      </c>
      <c r="G96" s="762">
        <f>Input!$SQ$21</f>
        <v>0</v>
      </c>
      <c r="H96" s="762">
        <f>Input!$SR$21</f>
        <v>0</v>
      </c>
      <c r="I96" s="762">
        <f>Input!$SS$21</f>
        <v>0</v>
      </c>
      <c r="J96" s="762">
        <f>Input!$ST$21</f>
        <v>0</v>
      </c>
      <c r="K96" s="762">
        <f>Input!$SU$21</f>
        <v>0</v>
      </c>
      <c r="L96" s="762">
        <f>Input!$SV$21</f>
        <v>0</v>
      </c>
      <c r="M96" s="723">
        <f>D96+E96+F96+G96+H96+I96+J96+K96+L96</f>
        <v>0</v>
      </c>
      <c r="O96" s="884"/>
      <c r="P96" s="320"/>
      <c r="Q96" s="320"/>
      <c r="R96" s="320"/>
      <c r="S96" s="320"/>
      <c r="Y96" s="320"/>
      <c r="Z96" s="320"/>
      <c r="AA96" s="320"/>
      <c r="AB96" s="320"/>
    </row>
    <row r="97" spans="1:28" s="752" customFormat="1">
      <c r="A97" s="460">
        <v>79</v>
      </c>
      <c r="B97" s="320" t="s">
        <v>486</v>
      </c>
      <c r="C97" s="320"/>
      <c r="D97" s="762">
        <f>Input!$SW$21</f>
        <v>0</v>
      </c>
      <c r="E97" s="762">
        <f>Input!$SX$21</f>
        <v>0</v>
      </c>
      <c r="F97" s="762">
        <f>Input!$SY$21</f>
        <v>0</v>
      </c>
      <c r="G97" s="762">
        <f>Input!$SZ$21</f>
        <v>0</v>
      </c>
      <c r="H97" s="762">
        <f>Input!$TA$21</f>
        <v>0</v>
      </c>
      <c r="I97" s="762">
        <f>Input!$TB$21</f>
        <v>0</v>
      </c>
      <c r="J97" s="762">
        <f>Input!$TC$21</f>
        <v>0</v>
      </c>
      <c r="K97" s="762">
        <f>Input!$TD$21</f>
        <v>0</v>
      </c>
      <c r="L97" s="762">
        <f>Input!$TE$21</f>
        <v>26401624</v>
      </c>
      <c r="M97" s="723">
        <f>D97+E97+F97+G97+H97+I97+J97+K97+L97</f>
        <v>26401624</v>
      </c>
      <c r="O97" s="884"/>
      <c r="P97" s="320"/>
      <c r="Q97" s="320"/>
      <c r="R97" s="320"/>
      <c r="S97" s="320"/>
      <c r="T97" s="320"/>
      <c r="U97" s="320"/>
      <c r="V97" s="320"/>
      <c r="W97" s="320"/>
      <c r="X97" s="320"/>
      <c r="Y97" s="320"/>
      <c r="Z97" s="320"/>
      <c r="AA97" s="320"/>
      <c r="AB97" s="320"/>
    </row>
    <row r="98" spans="1:28" s="752" customFormat="1" ht="13.8" thickBot="1">
      <c r="A98" s="460"/>
      <c r="B98" s="885" t="s">
        <v>487</v>
      </c>
      <c r="C98" s="885"/>
      <c r="D98" s="886">
        <f t="shared" ref="D98:L98" si="21">SUM(D91:D97)</f>
        <v>-3628375</v>
      </c>
      <c r="E98" s="886">
        <f t="shared" si="21"/>
        <v>-5228863</v>
      </c>
      <c r="F98" s="886">
        <f t="shared" si="21"/>
        <v>330505</v>
      </c>
      <c r="G98" s="886">
        <f t="shared" si="21"/>
        <v>10362699</v>
      </c>
      <c r="H98" s="886">
        <f t="shared" si="21"/>
        <v>976482</v>
      </c>
      <c r="I98" s="886">
        <f t="shared" si="21"/>
        <v>-8716147</v>
      </c>
      <c r="J98" s="886">
        <f t="shared" si="21"/>
        <v>-209</v>
      </c>
      <c r="K98" s="886">
        <f t="shared" si="21"/>
        <v>-14175088</v>
      </c>
      <c r="L98" s="886">
        <f t="shared" si="21"/>
        <v>8108868</v>
      </c>
      <c r="M98" s="886">
        <f>SUM(M91:M97)</f>
        <v>-11970128</v>
      </c>
      <c r="O98" s="320"/>
      <c r="P98" s="320"/>
      <c r="Q98" s="320"/>
      <c r="R98" s="887">
        <f>M98-INT(M98)</f>
        <v>0</v>
      </c>
      <c r="S98" s="320"/>
      <c r="T98" s="320"/>
      <c r="U98" s="320"/>
      <c r="V98" s="320"/>
      <c r="W98" s="320"/>
      <c r="X98" s="320"/>
      <c r="Y98" s="320"/>
      <c r="Z98" s="320"/>
      <c r="AA98" s="320"/>
      <c r="AB98" s="320"/>
    </row>
    <row r="99" spans="1:28" s="752" customFormat="1" ht="13.8" thickTop="1">
      <c r="A99" s="460">
        <v>80</v>
      </c>
      <c r="D99" s="888"/>
      <c r="E99" s="888"/>
      <c r="F99" s="888"/>
      <c r="G99" s="888"/>
      <c r="H99" s="888"/>
      <c r="I99" s="888"/>
      <c r="J99" s="888"/>
      <c r="K99" s="888"/>
      <c r="L99" s="888"/>
      <c r="M99" s="888"/>
      <c r="O99" s="322"/>
      <c r="P99" s="889"/>
      <c r="Q99" s="320"/>
      <c r="R99" s="320"/>
      <c r="S99" s="320"/>
      <c r="T99" s="320"/>
      <c r="U99" s="320"/>
      <c r="V99" s="320"/>
      <c r="W99" s="320"/>
      <c r="X99" s="320"/>
      <c r="Y99" s="320"/>
      <c r="Z99" s="320"/>
      <c r="AA99" s="320"/>
      <c r="AB99" s="320"/>
    </row>
    <row r="100" spans="1:28" s="752" customFormat="1">
      <c r="A100" s="460">
        <v>81</v>
      </c>
      <c r="B100" s="823" t="s">
        <v>607</v>
      </c>
      <c r="C100" s="890"/>
      <c r="I100" s="763"/>
      <c r="O100" s="406"/>
      <c r="P100" s="1221" t="s">
        <v>685</v>
      </c>
      <c r="Q100" s="1222"/>
      <c r="R100" s="1222"/>
      <c r="S100" s="1222"/>
      <c r="T100" s="1222"/>
      <c r="U100" s="1222"/>
      <c r="V100" s="1223"/>
      <c r="W100" s="320"/>
      <c r="X100" s="320"/>
      <c r="Y100" s="320"/>
      <c r="Z100" s="320"/>
      <c r="AA100" s="320"/>
      <c r="AB100" s="320"/>
    </row>
    <row r="101" spans="1:28" s="752" customFormat="1">
      <c r="A101" s="460">
        <v>82</v>
      </c>
      <c r="B101" s="890" t="s">
        <v>608</v>
      </c>
      <c r="O101" s="406"/>
      <c r="P101" s="891" t="s">
        <v>686</v>
      </c>
      <c r="Q101" s="892"/>
      <c r="R101" s="891" t="s">
        <v>687</v>
      </c>
      <c r="S101" s="892"/>
      <c r="T101" s="789"/>
      <c r="U101" s="891" t="s">
        <v>688</v>
      </c>
      <c r="V101" s="892"/>
      <c r="W101" s="320"/>
      <c r="X101" s="320"/>
      <c r="Y101" s="320"/>
      <c r="Z101" s="320"/>
      <c r="AA101" s="320"/>
      <c r="AB101" s="320"/>
    </row>
    <row r="102" spans="1:28" s="752" customFormat="1">
      <c r="A102" s="460">
        <v>83</v>
      </c>
      <c r="B102" s="320" t="s">
        <v>609</v>
      </c>
      <c r="O102" s="320"/>
      <c r="P102" s="776"/>
      <c r="Q102" s="721"/>
      <c r="R102" s="776"/>
      <c r="S102" s="721"/>
      <c r="T102" s="320"/>
      <c r="U102" s="776"/>
      <c r="V102" s="721"/>
      <c r="W102" s="320"/>
      <c r="X102" s="320"/>
      <c r="Y102" s="320"/>
      <c r="Z102" s="320"/>
      <c r="AA102" s="320"/>
      <c r="AB102" s="320"/>
    </row>
    <row r="103" spans="1:28" s="752" customFormat="1">
      <c r="A103" s="460">
        <v>84</v>
      </c>
      <c r="O103" s="320"/>
      <c r="P103" s="1229" t="str">
        <f>Input!$VC$21</f>
        <v>Julie Meisinger</v>
      </c>
      <c r="Q103" s="1225"/>
      <c r="R103" s="1224" t="str">
        <f>Input!$VD$21</f>
        <v>817-735-2609</v>
      </c>
      <c r="S103" s="1225"/>
      <c r="T103" s="320"/>
      <c r="U103" s="1226" t="str">
        <f>HYPERLINK("Mailto:"&amp;Input!$VE$21,Input!$VE$21)</f>
        <v>Julie.Meisinger@unthsc.edu</v>
      </c>
      <c r="V103" s="1225" t="e">
        <f>Input!#REF!</f>
        <v>#REF!</v>
      </c>
      <c r="W103" s="320"/>
      <c r="X103" s="320"/>
      <c r="Y103" s="320"/>
      <c r="Z103" s="320"/>
      <c r="AA103" s="320"/>
      <c r="AB103" s="320"/>
    </row>
    <row r="104" spans="1:28" s="752" customFormat="1">
      <c r="A104" s="460"/>
      <c r="M104" s="893" t="s">
        <v>625</v>
      </c>
      <c r="O104" s="320"/>
      <c r="P104" s="776"/>
      <c r="Q104" s="320"/>
      <c r="R104" s="320"/>
      <c r="S104" s="320"/>
      <c r="T104" s="320"/>
      <c r="U104" s="320"/>
      <c r="V104" s="721"/>
      <c r="W104" s="320"/>
      <c r="X104" s="320"/>
      <c r="Y104" s="320"/>
      <c r="Z104" s="320"/>
      <c r="AA104" s="320"/>
      <c r="AB104" s="320"/>
    </row>
    <row r="105" spans="1:28" s="752" customFormat="1">
      <c r="A105" s="460"/>
      <c r="B105" s="320" t="s">
        <v>610</v>
      </c>
      <c r="M105" s="762">
        <f>Input!$TF$21</f>
        <v>-11970128</v>
      </c>
      <c r="O105" s="277"/>
      <c r="P105" s="1215" t="s">
        <v>689</v>
      </c>
      <c r="Q105" s="1216"/>
      <c r="R105" s="1216"/>
      <c r="S105" s="1216"/>
      <c r="T105" s="1216"/>
      <c r="U105" s="1216"/>
      <c r="V105" s="1217"/>
      <c r="W105" s="320"/>
      <c r="X105" s="320"/>
      <c r="Y105" s="320"/>
      <c r="Z105" s="320"/>
      <c r="AA105" s="320"/>
      <c r="AB105" s="320"/>
    </row>
    <row r="106" spans="1:28" s="752" customFormat="1">
      <c r="A106" s="460"/>
      <c r="B106" s="752" t="s">
        <v>611</v>
      </c>
      <c r="M106" s="894">
        <f>M98-M105</f>
        <v>0</v>
      </c>
      <c r="O106" s="895"/>
      <c r="P106" s="1215"/>
      <c r="Q106" s="1216"/>
      <c r="R106" s="1216"/>
      <c r="S106" s="1216"/>
      <c r="T106" s="1216"/>
      <c r="U106" s="1216"/>
      <c r="V106" s="1217"/>
      <c r="W106" s="320"/>
      <c r="X106" s="320"/>
      <c r="Y106" s="320"/>
      <c r="Z106" s="320"/>
      <c r="AA106" s="320"/>
      <c r="AB106" s="320"/>
    </row>
    <row r="107" spans="1:28" s="752" customFormat="1">
      <c r="A107" s="460"/>
      <c r="L107" s="896" t="str">
        <f>IF($L$123&lt;&gt;Input!$F$21,"Out of Balance","Balanced")</f>
        <v>Balanced</v>
      </c>
      <c r="M107" s="344" t="str">
        <f>IF(M106&lt;&gt;0,"Out of Balance","Balanced")</f>
        <v>Balanced</v>
      </c>
      <c r="O107" s="895"/>
      <c r="P107" s="800"/>
      <c r="Q107" s="801"/>
      <c r="R107" s="801"/>
      <c r="S107" s="801"/>
      <c r="T107" s="801"/>
      <c r="U107" s="801"/>
      <c r="V107" s="897"/>
      <c r="W107" s="320"/>
      <c r="X107" s="320"/>
      <c r="Y107" s="320"/>
      <c r="Z107" s="320"/>
      <c r="AA107" s="320"/>
      <c r="AB107" s="320"/>
    </row>
    <row r="108" spans="1:28" s="752" customFormat="1">
      <c r="A108" s="460"/>
      <c r="O108" s="895"/>
      <c r="P108" s="320"/>
      <c r="Q108" s="320"/>
      <c r="R108" s="320"/>
      <c r="S108" s="320"/>
      <c r="T108" s="320"/>
      <c r="U108" s="320"/>
      <c r="V108" s="320"/>
      <c r="W108" s="320"/>
      <c r="X108" s="320"/>
      <c r="Y108" s="320"/>
      <c r="Z108" s="320"/>
      <c r="AA108" s="320"/>
      <c r="AB108" s="320"/>
    </row>
    <row r="109" spans="1:28" s="752" customFormat="1">
      <c r="A109" s="460"/>
      <c r="O109" s="320"/>
      <c r="P109" s="320"/>
      <c r="Q109" s="320"/>
      <c r="R109" s="320"/>
      <c r="S109" s="320"/>
      <c r="T109" s="320"/>
      <c r="U109" s="320"/>
      <c r="V109" s="320"/>
      <c r="W109" s="320"/>
      <c r="X109" s="320"/>
      <c r="Y109" s="320"/>
      <c r="Z109" s="320"/>
      <c r="AA109" s="320"/>
      <c r="AB109" s="320"/>
    </row>
    <row r="110" spans="1:28" s="320" customFormat="1">
      <c r="A110" s="322"/>
      <c r="D110" s="723">
        <f>SUM($D$10:$D$14)+SUM($D$19:$D$28)+SUM($D$50)+$D$53+SUM($D$56:$D$61)+SUM($D$65:$D$76)+SUM($D$80:$D$83)+SUM($D$87:$D$88)+SUM($D$93:$D$97)+SUM($D$32:$D$41)+$D$47</f>
        <v>244408154</v>
      </c>
      <c r="E110" s="723">
        <f>SUM($E$10:$E$14)+SUM($E$19:$E$28)+SUM($E$50)+$E$53+SUM($E$56:$E$61)+SUM($E$65:$E$76)+SUM($E$80:$E$83)+SUM($E$87:$E$88)+SUM($E$93:$E$97)+SUM($E$32:$E$41)+$E$47</f>
        <v>175379616</v>
      </c>
      <c r="F110" s="723">
        <f>SUM($F$10:$F$14)+SUM($F$19:$F$28)+SUM($F$50)+$F$53+SUM($F$56:$F$61)+SUM($F$65:$F$76)+SUM($F$80:$F$83)+SUM($F$87:$F$88)+SUM($F$93:$F$97)+SUM($F$32:$F$41)+$F$47</f>
        <v>714721</v>
      </c>
      <c r="G110" s="723">
        <f>SUM($G$10:$G$14)+SUM($G$19:$G$28)+SUM($G$50)+$G$53+SUM($G$56:$G$61)+SUM($G$65:$G$76)+SUM($G$80:$G$83)+SUM($G$87:$G$88)+SUM($G$93:$G$97)+SUM($G$32:$G$41)+$G$47</f>
        <v>104221545</v>
      </c>
      <c r="H110" s="723">
        <f>SUM($H$10:$H$14)+SUM($H$19:$H$28)+SUM($H$50)+$H$53+SUM($H$56:$H$61)+SUM($H$65:$H$76)+SUM($H$80:$H$83)+SUM($H$87:$H$88)+SUM($H$93:$H$97)+SUM($H$32:$H$41)+$H$47</f>
        <v>825248</v>
      </c>
      <c r="I110" s="723">
        <f>SUM($I$10:$I$14)+SUM($I$19:$I$28)+SUM($I$50)+$I$53+SUM($I$56:$I$61)+SUM($I$65:$I$76)+SUM($I$80:$I$83)+SUM($I$87:$I$88)+SUM($I$93:$I$97)+SUM($I$32:$I$41)+$I$47</f>
        <v>-8500841</v>
      </c>
      <c r="J110" s="723">
        <f>SUM($J$10:$J$14)+SUM($J$19:$J$28)+SUM($J$50)+$J$53+SUM($J$56:$J$61)+SUM($J$65:$J$76)+SUM($J$80:$J$83)+SUM($J$87:$J$88)+SUM($J$93:$J$97)+SUM($J$32:$J$41)+$J$47</f>
        <v>209</v>
      </c>
      <c r="K110" s="723">
        <f>SUM($K$10:$K$14)+SUM($K$19:$K$28)+SUM($K$50)+$K$53+SUM($K$56:$K$61)+SUM($K$65:$K$76)+SUM($K$80:$K$83)+SUM($K$87:$K$88)+SUM($K$93:$K$97)+SUM($K$32:$K$41)+$K$47</f>
        <v>-14175088</v>
      </c>
      <c r="L110" s="723">
        <f>SUM($L$10:$L$14)+SUM($L$19:$L$28)+SUM($L$50)+$L$53+SUM($L$56:$L$61)+SUM($L$65:$L$76)+SUM($L$80:$L$83)+SUM($L$87:$L$88)+SUM($L$93:$L$97)+SUM($L$32:$L$41)+$L$47</f>
        <v>8093938</v>
      </c>
      <c r="O110" s="723"/>
    </row>
    <row r="111" spans="1:28" s="320" customFormat="1">
      <c r="A111" s="322"/>
      <c r="L111" s="723">
        <f>SUM($D$110:$L$110)</f>
        <v>510967502</v>
      </c>
      <c r="O111" s="723"/>
    </row>
    <row r="112" spans="1:28" s="320" customFormat="1">
      <c r="A112" s="322"/>
      <c r="J112" s="320" t="s">
        <v>690</v>
      </c>
      <c r="L112" s="723">
        <f>$M$105</f>
        <v>-11970128</v>
      </c>
      <c r="O112" s="723"/>
    </row>
    <row r="113" spans="1:15" s="320" customFormat="1">
      <c r="A113" s="322"/>
      <c r="J113" s="320" t="s">
        <v>691</v>
      </c>
      <c r="L113" s="492">
        <f>$Q$32</f>
        <v>37335098</v>
      </c>
      <c r="O113" s="723"/>
    </row>
    <row r="114" spans="1:15" s="320" customFormat="1">
      <c r="A114" s="322"/>
      <c r="J114" s="320" t="s">
        <v>691</v>
      </c>
      <c r="L114" s="492">
        <f>$R$34</f>
        <v>-2857286</v>
      </c>
      <c r="O114" s="723"/>
    </row>
    <row r="115" spans="1:15" s="320" customFormat="1">
      <c r="A115" s="322"/>
      <c r="J115" s="320" t="s">
        <v>521</v>
      </c>
      <c r="L115" s="492">
        <f>SUM($P$65:$P$74)</f>
        <v>11895376</v>
      </c>
      <c r="O115" s="723"/>
    </row>
    <row r="116" spans="1:15" s="320" customFormat="1">
      <c r="A116" s="322"/>
      <c r="J116" s="320" t="s">
        <v>692</v>
      </c>
      <c r="L116" s="492">
        <f>$S$76+$S$77</f>
        <v>0</v>
      </c>
      <c r="O116" s="723"/>
    </row>
    <row r="117" spans="1:15" s="320" customFormat="1">
      <c r="A117" s="322"/>
      <c r="J117" s="320" t="s">
        <v>693</v>
      </c>
      <c r="L117" s="492">
        <f>SUM($Q$65:$Q$73)</f>
        <v>865949</v>
      </c>
      <c r="O117" s="723"/>
    </row>
    <row r="118" spans="1:15" s="320" customFormat="1">
      <c r="A118" s="322"/>
      <c r="J118" s="320" t="s">
        <v>694</v>
      </c>
      <c r="L118" s="492">
        <f>SUM($R$65:$R$73)</f>
        <v>0</v>
      </c>
      <c r="O118" s="723"/>
    </row>
    <row r="119" spans="1:15" s="320" customFormat="1">
      <c r="A119" s="322"/>
      <c r="J119" s="320" t="s">
        <v>695</v>
      </c>
      <c r="L119" s="492">
        <f>SUM($X$65:$X$74)</f>
        <v>250155170</v>
      </c>
      <c r="O119" s="723"/>
    </row>
    <row r="120" spans="1:15" s="320" customFormat="1">
      <c r="A120" s="322"/>
      <c r="J120" s="320" t="s">
        <v>696</v>
      </c>
      <c r="L120" s="492">
        <f>$S$84</f>
        <v>0</v>
      </c>
      <c r="O120" s="723"/>
    </row>
    <row r="121" spans="1:15" s="320" customFormat="1">
      <c r="A121" s="322"/>
      <c r="J121" s="320" t="s">
        <v>696</v>
      </c>
      <c r="L121" s="492">
        <f>$S$87</f>
        <v>0</v>
      </c>
      <c r="O121" s="723"/>
    </row>
    <row r="122" spans="1:15" s="320" customFormat="1">
      <c r="A122" s="322"/>
      <c r="J122" s="320" t="s">
        <v>697</v>
      </c>
      <c r="L122" s="443">
        <f>VLOOKUP(B2,Names!$B$10:$C$96,2,FALSE)</f>
        <v>999130</v>
      </c>
    </row>
    <row r="123" spans="1:15" s="320" customFormat="1">
      <c r="A123" s="322"/>
      <c r="L123" s="898">
        <f>SUM($L$111:$L$122)</f>
        <v>797390811</v>
      </c>
    </row>
    <row r="128" spans="1:15">
      <c r="L128" s="724"/>
    </row>
    <row r="129" spans="4:12">
      <c r="L129" s="724"/>
    </row>
    <row r="132" spans="4:12">
      <c r="D132" s="724"/>
      <c r="E132" s="724"/>
      <c r="F132" s="724"/>
      <c r="G132" s="724"/>
      <c r="H132" s="724"/>
      <c r="I132" s="724"/>
      <c r="J132" s="724"/>
      <c r="K132" s="724"/>
      <c r="L132" s="724"/>
    </row>
  </sheetData>
  <mergeCells count="26">
    <mergeCell ref="P105:V106"/>
    <mergeCell ref="X61:X64"/>
    <mergeCell ref="G64:K64"/>
    <mergeCell ref="Q76:R76"/>
    <mergeCell ref="P82:S82"/>
    <mergeCell ref="P100:V100"/>
    <mergeCell ref="P103:Q103"/>
    <mergeCell ref="R103:S103"/>
    <mergeCell ref="U103:V103"/>
    <mergeCell ref="U19:Y19"/>
    <mergeCell ref="O60:S60"/>
    <mergeCell ref="W60:Y60"/>
    <mergeCell ref="O61:O64"/>
    <mergeCell ref="P61:P64"/>
    <mergeCell ref="Q61:Q64"/>
    <mergeCell ref="R61:R64"/>
    <mergeCell ref="S61:S64"/>
    <mergeCell ref="U61:U64"/>
    <mergeCell ref="W61:W64"/>
    <mergeCell ref="O19:S19"/>
    <mergeCell ref="Y61:Y64"/>
    <mergeCell ref="B3:F3"/>
    <mergeCell ref="B4:F4"/>
    <mergeCell ref="P4:Q4"/>
    <mergeCell ref="B6:M6"/>
    <mergeCell ref="P10:P11"/>
  </mergeCells>
  <conditionalFormatting sqref="D98:L98">
    <cfRule type="cellIs" dxfId="26" priority="15" stopIfTrue="1" operator="notEqual">
      <formula>#REF!</formula>
    </cfRule>
  </conditionalFormatting>
  <conditionalFormatting sqref="D99:M99">
    <cfRule type="cellIs" dxfId="25" priority="21" stopIfTrue="1" operator="notEqual">
      <formula>#REF!</formula>
    </cfRule>
  </conditionalFormatting>
  <conditionalFormatting sqref="G64:K64">
    <cfRule type="expression" dxfId="24" priority="14">
      <formula>$R$98&lt;&gt;0</formula>
    </cfRule>
    <cfRule type="expression" dxfId="23" priority="37">
      <formula>$T$93&gt;0</formula>
    </cfRule>
  </conditionalFormatting>
  <conditionalFormatting sqref="M15">
    <cfRule type="cellIs" dxfId="22" priority="16" stopIfTrue="1" operator="notEqual">
      <formula>SUM($M$10:$M$14)</formula>
    </cfRule>
  </conditionalFormatting>
  <conditionalFormatting sqref="M62">
    <cfRule type="cellIs" dxfId="21" priority="17" stopIfTrue="1" operator="notEqual">
      <formula>SUM($M$56:$M$61)</formula>
    </cfRule>
  </conditionalFormatting>
  <conditionalFormatting sqref="M77">
    <cfRule type="cellIs" dxfId="20" priority="20" stopIfTrue="1" operator="notEqual">
      <formula>SUM($M$65:$M$76)</formula>
    </cfRule>
  </conditionalFormatting>
  <conditionalFormatting sqref="M84">
    <cfRule type="cellIs" dxfId="19" priority="18" stopIfTrue="1" operator="notEqual">
      <formula>SUM($M$80:$M$83)</formula>
    </cfRule>
  </conditionalFormatting>
  <conditionalFormatting sqref="M89">
    <cfRule type="cellIs" dxfId="18" priority="19" stopIfTrue="1" operator="notEqual">
      <formula>SUM($M$87:$M$88)</formula>
    </cfRule>
  </conditionalFormatting>
  <conditionalFormatting sqref="O12">
    <cfRule type="expression" dxfId="17" priority="11">
      <formula>$Q$12&lt;&gt;$N$12</formula>
    </cfRule>
    <cfRule type="expression" dxfId="16" priority="56">
      <formula>$P$12&lt;&gt;$M$12</formula>
    </cfRule>
  </conditionalFormatting>
  <conditionalFormatting sqref="O13">
    <cfRule type="expression" dxfId="15" priority="12">
      <formula>$Q$13&lt;&gt;$N$13</formula>
    </cfRule>
    <cfRule type="expression" dxfId="14" priority="57">
      <formula>$P$13&lt;&gt;$M$13</formula>
    </cfRule>
  </conditionalFormatting>
  <conditionalFormatting sqref="O11:P11">
    <cfRule type="expression" dxfId="13" priority="13">
      <formula>#REF!&lt;&gt;$N$11</formula>
    </cfRule>
  </conditionalFormatting>
  <conditionalFormatting sqref="P76">
    <cfRule type="expression" dxfId="12" priority="5">
      <formula>$P$75&lt;&gt;$M$75</formula>
    </cfRule>
  </conditionalFormatting>
  <conditionalFormatting sqref="P94:P101 Q100:R100 U100:V100 S100:T102 U101 R102 S105:U106">
    <cfRule type="cellIs" dxfId="11" priority="6" stopIfTrue="1" operator="notEqual">
      <formula>#REF!</formula>
    </cfRule>
  </conditionalFormatting>
  <conditionalFormatting sqref="Q35">
    <cfRule type="expression" dxfId="10" priority="1">
      <formula>#REF!&lt;&gt;0</formula>
    </cfRule>
  </conditionalFormatting>
  <conditionalFormatting sqref="Q93:Q100 U93:W100 T95:T102 R99:S102 O93:O100 R95:R97 S95:S98 X95:AB102">
    <cfRule type="cellIs" dxfId="9" priority="38" stopIfTrue="1" operator="notEqual">
      <formula>#REF!</formula>
    </cfRule>
  </conditionalFormatting>
  <conditionalFormatting sqref="Q36:R36">
    <cfRule type="expression" dxfId="8" priority="3">
      <formula>#REF!&lt;&gt;#REF!</formula>
    </cfRule>
  </conditionalFormatting>
  <conditionalFormatting sqref="R35">
    <cfRule type="expression" dxfId="7" priority="2">
      <formula>#REF!&lt;&gt;0</formula>
    </cfRule>
  </conditionalFormatting>
  <conditionalFormatting sqref="S84 S87">
    <cfRule type="expression" dxfId="6" priority="7" stopIfTrue="1">
      <formula>$M$91&gt;=0</formula>
    </cfRule>
    <cfRule type="expression" priority="8">
      <formula>$M$91&lt;0</formula>
    </cfRule>
    <cfRule type="expression" dxfId="5" priority="29" stopIfTrue="1">
      <formula>$M$91&gt;=0</formula>
    </cfRule>
    <cfRule type="expression" priority="30">
      <formula>$M$91&lt;0</formula>
    </cfRule>
    <cfRule type="expression" dxfId="4" priority="52" stopIfTrue="1">
      <formula>$N$91&gt;=0</formula>
    </cfRule>
    <cfRule type="expression" priority="53">
      <formula>$N$91&lt;0</formula>
    </cfRule>
  </conditionalFormatting>
  <conditionalFormatting sqref="S91">
    <cfRule type="expression" priority="9" stopIfTrue="1">
      <formula>$N$91&lt;0</formula>
    </cfRule>
    <cfRule type="expression" dxfId="3" priority="10">
      <formula>$T$91&lt;&gt;0</formula>
    </cfRule>
    <cfRule type="expression" priority="31" stopIfTrue="1">
      <formula>$N$91&lt;0</formula>
    </cfRule>
    <cfRule type="expression" dxfId="2" priority="32">
      <formula>$T$91&lt;&gt;0</formula>
    </cfRule>
    <cfRule type="expression" priority="54" stopIfTrue="1">
      <formula>$N$91&lt;0</formula>
    </cfRule>
    <cfRule type="expression" dxfId="1" priority="55">
      <formula>$T$91&lt;&gt;0</formula>
    </cfRule>
  </conditionalFormatting>
  <conditionalFormatting sqref="Y78">
    <cfRule type="expression" dxfId="0" priority="4">
      <formula>$Y$77&lt;&gt;0</formula>
    </cfRule>
  </conditionalFormatting>
  <hyperlinks>
    <hyperlink ref="O2" location="Index!A1" display="Return to Index" xr:uid="{00000000-0004-0000-54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24"/>
  <sheetViews>
    <sheetView showGridLines="0" zoomScale="90" zoomScaleNormal="90" workbookViewId="0">
      <selection activeCell="B4" sqref="A1:XFD1048576"/>
    </sheetView>
  </sheetViews>
  <sheetFormatPr defaultColWidth="9.109375" defaultRowHeight="13.2"/>
  <cols>
    <col min="1" max="1" width="7" style="277" customWidth="1"/>
    <col min="2" max="2" width="93.44140625" style="277" customWidth="1"/>
    <col min="3" max="9" width="9.109375" style="277"/>
    <col min="10" max="10" width="12.109375" style="277" customWidth="1"/>
    <col min="11" max="16384" width="9.109375" style="277"/>
  </cols>
  <sheetData>
    <row r="1" spans="1:6">
      <c r="B1" s="742" t="str">
        <f>'UNTHSC Chts'!$A$1</f>
        <v>University of North Texas Health Science Center at Fort Worth (Public Medical + Private Medical)</v>
      </c>
      <c r="D1" s="321" t="s">
        <v>51</v>
      </c>
    </row>
    <row r="2" spans="1:6">
      <c r="B2" s="742" t="str">
        <f>'Smmy Chts'!$A$2</f>
        <v>For the Year Ended August 31, 2022</v>
      </c>
    </row>
    <row r="3" spans="1:6">
      <c r="B3" s="742" t="str">
        <f>'Smmy Chts'!$A$3</f>
        <v>Source: FY 2022 Annual Financial Report</v>
      </c>
    </row>
    <row r="5" spans="1:6" s="320" customFormat="1">
      <c r="B5" s="743" t="s">
        <v>619</v>
      </c>
    </row>
    <row r="6" spans="1:6" s="320" customFormat="1">
      <c r="B6" s="744"/>
    </row>
    <row r="7" spans="1:6" s="320" customFormat="1" ht="226.5" customHeight="1">
      <c r="B7" s="745" t="s">
        <v>620</v>
      </c>
      <c r="C7" s="746"/>
    </row>
    <row r="8" spans="1:6" s="320" customFormat="1" ht="263.25" customHeight="1">
      <c r="B8" s="745" t="s">
        <v>621</v>
      </c>
    </row>
    <row r="9" spans="1:6" ht="64.5" customHeight="1">
      <c r="B9" s="747" t="str">
        <f>IF('UNTHSC FGD'!$S$83="N/A","FN11.  N/A",$B$14&amp;$B$15&amp;$B$16&amp;$B$17&amp;$B$18&amp;$B$19&amp;$B$20&amp;$B$21&amp;$B$22&amp;$B$23&amp;$B$24)</f>
        <v>FN11.  N/A</v>
      </c>
      <c r="E9" s="669"/>
    </row>
    <row r="14" spans="1:6">
      <c r="B14" s="277" t="s">
        <v>698</v>
      </c>
    </row>
    <row r="15" spans="1:6">
      <c r="A15" s="277">
        <v>75</v>
      </c>
      <c r="B15" s="669" t="str">
        <f>TEXT(IF('UNTHSC FGD'!$M$91&lt;0,"N/A",'UNTHSC FGD'!$M$91),"$* #,##0;$* (#,##0)")</f>
        <v>N/A</v>
      </c>
      <c r="C15" s="282"/>
      <c r="F15" s="282"/>
    </row>
    <row r="16" spans="1:6">
      <c r="B16" s="277" t="s">
        <v>699</v>
      </c>
    </row>
    <row r="17" spans="1:6">
      <c r="A17" s="277">
        <v>68</v>
      </c>
      <c r="B17" s="748" t="str">
        <f>IF(ABS('UNTHSC FGD'!$S$84)&gt;=1000000,TEXT('UNTHSC FGD'!$S$84/1000000,"$* #,##0.0;$* (#,##0.0)")&amp;" million",IF(ABS('UNTHSC FGD'!$S$84)&lt;1000,TEXT('UNTHSC FGD'!$S$84,"$* #,##0;$* (#,##0)"),TEXT('UNTHSC FGD'!$S$84/1000,"$* #,##0;$* (#,##0)")&amp;" thousand"))</f>
        <v>$0</v>
      </c>
      <c r="C17" s="748"/>
      <c r="F17" s="748"/>
    </row>
    <row r="18" spans="1:6">
      <c r="B18" s="277" t="s">
        <v>700</v>
      </c>
    </row>
    <row r="19" spans="1:6">
      <c r="A19" s="277">
        <v>69</v>
      </c>
      <c r="B19" s="277" t="e">
        <f>IF(ABS('UNTHSC FGD'!$S$85)&gt;=1000000,TEXT('UNTHSC FGD'!$S$85/1000000,"$* #,##0.0;$* (#,##0.0)")&amp;" million",IF(ABS('UNTHSC FGD'!$S$85)&lt;1000,TEXT('UNTHSC FGD'!$S$85,"$* #,##0;$* (#,##0)"),TEXT('UNTHSC FGD'!$S$85/1000,"$* #,##0;$* (#,##0)")&amp;" thousand"))</f>
        <v>#VALUE!</v>
      </c>
    </row>
    <row r="20" spans="1:6">
      <c r="B20" s="277" t="s">
        <v>701</v>
      </c>
    </row>
    <row r="21" spans="1:6">
      <c r="A21" s="277">
        <v>71</v>
      </c>
      <c r="B21" s="277" t="str">
        <f>IF(ABS('UNTHSC FGD'!$S$87)&gt;=1000000,TEXT('UNTHSC FGD'!$S$87/1000000,"$* #,##0.0;$* (#,##0.0)")&amp;" million",IF(ABS('UNTHSC FGD'!$S$87)&lt;1000,TEXT('UNTHSC FGD'!$S$87,"$* #,##0;$* (#,##0)"),TEXT('UNTHSC FGD'!$S$87/1000,"$* #,##0;$* (#,##0)")&amp;" thousand"))</f>
        <v>$0</v>
      </c>
    </row>
    <row r="22" spans="1:6">
      <c r="B22" s="277" t="s">
        <v>702</v>
      </c>
    </row>
    <row r="23" spans="1:6">
      <c r="A23" s="277">
        <v>73</v>
      </c>
      <c r="B23" s="277" t="e">
        <f>IF(ABS('UNTHSC FGD'!$S$89)&gt;=1000000,TEXT('UNTHSC FGD'!$S$89/1000000,"$* #,##0.0;$* (#,##0.0)")&amp;" million",IF(ABS('UNTHSC FGD'!$S$89)&lt;1000,TEXT('UNTHSC FGD'!$S$89,"$* #,##0;$* (#,##0)"),TEXT('UNTHSC FGD'!$S$89/1000,"$* #,##0;$* (#,##0)")&amp;" thousand"))</f>
        <v>#VALUE!</v>
      </c>
    </row>
    <row r="24" spans="1:6">
      <c r="B24" s="277" t="s">
        <v>703</v>
      </c>
    </row>
  </sheetData>
  <hyperlinks>
    <hyperlink ref="D1" location="Index!A1" display="Return to Index" xr:uid="{00000000-0004-0000-5500-000000000000}"/>
  </hyperlinks>
  <pageMargins left="0.25" right="0.25" top="0.5" bottom="0.25" header="0.5" footer="0.5"/>
  <pageSetup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showGridLines="0" workbookViewId="0">
      <pane ySplit="7" topLeftCell="A8" activePane="bottomLeft" state="frozen"/>
      <selection activeCell="B4" sqref="A1:XFD1048576"/>
      <selection pane="bottomLeft" activeCell="C2" sqref="C2"/>
    </sheetView>
  </sheetViews>
  <sheetFormatPr defaultColWidth="9.109375" defaultRowHeight="13.2"/>
  <cols>
    <col min="1" max="1" width="9.21875" style="277" bestFit="1" customWidth="1"/>
    <col min="2" max="2" width="11" style="277" customWidth="1"/>
    <col min="3" max="3" width="52" style="277" customWidth="1"/>
    <col min="4" max="4" width="21.44140625" style="277" customWidth="1"/>
    <col min="5" max="5" width="9.109375" style="277"/>
    <col min="6" max="6" width="15.109375" style="277" customWidth="1"/>
    <col min="7" max="7" width="16.109375" style="277" customWidth="1"/>
    <col min="8" max="8" width="9.109375" style="277"/>
    <col min="9" max="9" width="9.77734375" style="277" bestFit="1" customWidth="1"/>
    <col min="10" max="16384" width="9.109375" style="277"/>
  </cols>
  <sheetData>
    <row r="1" spans="1:6" ht="13.8" thickBot="1">
      <c r="A1" s="279" t="s">
        <v>50</v>
      </c>
      <c r="B1" s="279"/>
      <c r="C1" s="279"/>
      <c r="D1" s="545" t="s">
        <v>51</v>
      </c>
    </row>
    <row r="2" spans="1:6">
      <c r="A2" s="277" t="s">
        <v>52</v>
      </c>
    </row>
    <row r="3" spans="1:6">
      <c r="A3" s="277" t="s">
        <v>53</v>
      </c>
    </row>
    <row r="4" spans="1:6">
      <c r="D4" s="278" t="s">
        <v>54</v>
      </c>
    </row>
    <row r="6" spans="1:6">
      <c r="A6" s="282" t="s">
        <v>55</v>
      </c>
      <c r="B6" s="282" t="s">
        <v>56</v>
      </c>
      <c r="C6" s="277" t="s">
        <v>57</v>
      </c>
      <c r="D6" s="734" t="s">
        <v>58</v>
      </c>
    </row>
    <row r="7" spans="1:6">
      <c r="A7" s="282" t="s">
        <v>59</v>
      </c>
      <c r="B7" s="282" t="s">
        <v>60</v>
      </c>
      <c r="D7" s="735"/>
    </row>
    <row r="8" spans="1:6">
      <c r="A8" s="282">
        <v>390</v>
      </c>
      <c r="B8" s="562">
        <v>30</v>
      </c>
      <c r="C8" s="384" t="s">
        <v>61</v>
      </c>
      <c r="D8" s="669">
        <f>'SWM FGD'!D$44+'SWM FGD'!E$44</f>
        <v>27045240</v>
      </c>
    </row>
    <row r="9" spans="1:6">
      <c r="A9" s="282">
        <v>400</v>
      </c>
      <c r="B9" s="562">
        <v>104952</v>
      </c>
      <c r="C9" s="384" t="s">
        <v>62</v>
      </c>
      <c r="D9" s="669">
        <f>'MBG FGD'!D$44+'MBG FGD'!E$44</f>
        <v>50392268</v>
      </c>
    </row>
    <row r="10" spans="1:6">
      <c r="A10" s="282">
        <v>410</v>
      </c>
      <c r="B10" s="562">
        <v>11618</v>
      </c>
      <c r="C10" s="384" t="s">
        <v>63</v>
      </c>
      <c r="D10" s="669">
        <f>'HSH FGD'!D$44+'HSH FGD'!E$44</f>
        <v>69364466</v>
      </c>
    </row>
    <row r="11" spans="1:6">
      <c r="A11" s="282">
        <v>420</v>
      </c>
      <c r="B11" s="562">
        <v>40</v>
      </c>
      <c r="C11" s="384" t="s">
        <v>64</v>
      </c>
      <c r="D11" s="669">
        <f>'HSSA FGD'!D$44+'HSSA FGD'!E$44</f>
        <v>52538344</v>
      </c>
      <c r="F11" s="541"/>
    </row>
    <row r="12" spans="1:6">
      <c r="A12" s="282">
        <v>430</v>
      </c>
      <c r="B12" s="562">
        <v>25554</v>
      </c>
      <c r="C12" s="384" t="s">
        <v>65</v>
      </c>
      <c r="D12" s="669">
        <f>'MDA FGD'!D$44+'MDA FGD'!E$44</f>
        <v>1833860</v>
      </c>
    </row>
    <row r="13" spans="1:6">
      <c r="A13" s="282">
        <v>440</v>
      </c>
      <c r="B13" s="562">
        <v>42439</v>
      </c>
      <c r="C13" s="384" t="s">
        <v>66</v>
      </c>
      <c r="D13" s="669">
        <f>'THC FGD'!D$44+'THC FGD'!E$44</f>
        <v>645312</v>
      </c>
    </row>
    <row r="14" spans="1:6">
      <c r="A14" s="282">
        <v>450</v>
      </c>
      <c r="B14" s="562">
        <v>89</v>
      </c>
      <c r="C14" s="384" t="s">
        <v>67</v>
      </c>
      <c r="D14" s="669">
        <f>'TAMHSC FGD'!D$44+'TAMHSC FGD'!E$44</f>
        <v>52579324</v>
      </c>
    </row>
    <row r="15" spans="1:6">
      <c r="A15" s="282">
        <v>460</v>
      </c>
      <c r="B15" s="562">
        <v>130</v>
      </c>
      <c r="C15" s="384" t="s">
        <v>68</v>
      </c>
      <c r="D15" s="669">
        <f>'UNTHSC1 FGD'!D$44+'UNTHSC1 FGD'!E$44</f>
        <v>34477812</v>
      </c>
    </row>
    <row r="16" spans="1:6">
      <c r="A16" s="282">
        <v>470</v>
      </c>
      <c r="B16" s="562">
        <v>412</v>
      </c>
      <c r="C16" s="384" t="s">
        <v>27</v>
      </c>
      <c r="D16" s="669">
        <f>'TTUHSC FGD'!D$44+'TTUHSC FGD'!E$44</f>
        <v>71519865</v>
      </c>
    </row>
    <row r="17" spans="1:8">
      <c r="A17" s="282">
        <v>480</v>
      </c>
      <c r="B17" s="562">
        <v>862</v>
      </c>
      <c r="C17" s="384" t="s">
        <v>28</v>
      </c>
      <c r="D17" s="669">
        <f>'TTUHSCEP FGD'!D$44+'TTUHSCEP FGD'!E$44</f>
        <v>13256992</v>
      </c>
    </row>
    <row r="18" spans="1:8">
      <c r="A18" s="282">
        <v>500</v>
      </c>
      <c r="B18" s="562">
        <v>203599</v>
      </c>
      <c r="C18" s="384" t="s">
        <v>30</v>
      </c>
      <c r="D18" s="669">
        <f>'RGVM FGD'!D$44+'RGVM FGD'!E$44</f>
        <v>4648799</v>
      </c>
    </row>
    <row r="19" spans="1:8">
      <c r="A19" s="282">
        <v>510</v>
      </c>
      <c r="B19" s="562">
        <v>203658</v>
      </c>
      <c r="C19" s="384" t="s">
        <v>29</v>
      </c>
      <c r="D19" s="669">
        <f>'AUSM FGD'!D$44+'AUSM FGD'!E$44</f>
        <v>3489213</v>
      </c>
    </row>
    <row r="20" spans="1:8">
      <c r="A20" s="282">
        <v>520</v>
      </c>
      <c r="B20" s="562">
        <v>203652</v>
      </c>
      <c r="C20" s="384" t="s">
        <v>31</v>
      </c>
      <c r="D20" s="669">
        <f>'UHM FGD'!D$44+'UHM FGD'!E$44</f>
        <v>1041735</v>
      </c>
    </row>
    <row r="21" spans="1:8">
      <c r="A21" s="282"/>
      <c r="B21" s="562"/>
      <c r="C21" s="384"/>
      <c r="D21" s="669"/>
    </row>
    <row r="22" spans="1:8" ht="13.8" thickBot="1">
      <c r="B22" s="574">
        <v>445566</v>
      </c>
      <c r="D22" s="736">
        <f>SUM(D8:D21)</f>
        <v>382833230</v>
      </c>
    </row>
    <row r="23" spans="1:8" ht="13.8" thickTop="1"/>
    <row r="26" spans="1:8">
      <c r="C26" s="277" t="s">
        <v>69</v>
      </c>
      <c r="D26" s="669">
        <f>'Smmy FGD'!D447+'Smmy FGD'!E447</f>
        <v>382833230</v>
      </c>
    </row>
    <row r="27" spans="1:8">
      <c r="D27" s="669">
        <f>D22-D26</f>
        <v>0</v>
      </c>
    </row>
    <row r="28" spans="1:8">
      <c r="D28" s="669"/>
    </row>
    <row r="29" spans="1:8" s="737" customFormat="1" ht="41.25" customHeight="1">
      <c r="F29" s="738" t="s">
        <v>70</v>
      </c>
      <c r="G29" s="738" t="s">
        <v>71</v>
      </c>
      <c r="H29" s="320"/>
    </row>
    <row r="30" spans="1:8" s="320" customFormat="1">
      <c r="A30" s="314" t="s">
        <v>72</v>
      </c>
      <c r="B30" s="737"/>
    </row>
    <row r="31" spans="1:8" s="320" customFormat="1">
      <c r="B31" s="737"/>
      <c r="C31" s="320" t="s">
        <v>73</v>
      </c>
      <c r="D31" s="723">
        <f>'Smmy FGD'!D179+'Smmy FGD'!E179</f>
        <v>323731142</v>
      </c>
      <c r="E31" s="723"/>
      <c r="F31" s="723">
        <f>D31</f>
        <v>323731142</v>
      </c>
    </row>
    <row r="32" spans="1:8" s="320" customFormat="1">
      <c r="B32" s="737"/>
      <c r="C32" s="320" t="s">
        <v>74</v>
      </c>
      <c r="D32" s="723">
        <f>'Smmy FGD'!D263+'Smmy FGD'!E263</f>
        <v>295226731</v>
      </c>
      <c r="E32" s="723"/>
      <c r="G32" s="723">
        <f>D31-D32</f>
        <v>28504411</v>
      </c>
      <c r="H32" s="737"/>
    </row>
    <row r="33" spans="2:9" s="320" customFormat="1">
      <c r="B33" s="737"/>
      <c r="H33" s="737"/>
    </row>
    <row r="34" spans="2:9" s="320" customFormat="1">
      <c r="B34" s="737"/>
      <c r="C34" s="320" t="s">
        <v>75</v>
      </c>
      <c r="D34" s="723">
        <f>'Smmy FGD'!D348+'Smmy FGD'!E348</f>
        <v>94802341</v>
      </c>
      <c r="E34" s="723"/>
      <c r="F34" s="723">
        <f>D34</f>
        <v>94802341</v>
      </c>
      <c r="H34" s="737"/>
    </row>
    <row r="35" spans="2:9" s="320" customFormat="1">
      <c r="B35" s="737"/>
      <c r="C35" s="320" t="s">
        <v>76</v>
      </c>
      <c r="D35" s="723">
        <f>'Smmy FGD'!D432+'Smmy FGD'!E432</f>
        <v>87606499</v>
      </c>
      <c r="E35" s="723"/>
      <c r="G35" s="739">
        <f>D34-D35</f>
        <v>7195842</v>
      </c>
      <c r="H35" s="737"/>
    </row>
    <row r="36" spans="2:9" s="320" customFormat="1" ht="13.8" thickBot="1">
      <c r="B36" s="737"/>
      <c r="C36" s="314" t="s">
        <v>77</v>
      </c>
      <c r="D36" s="723">
        <f>D35+D32-D26</f>
        <v>0</v>
      </c>
      <c r="F36" s="740">
        <f>SUM(F31:F35)</f>
        <v>418533483</v>
      </c>
      <c r="G36" s="740">
        <f>SUM(G32:G35)</f>
        <v>35700253</v>
      </c>
      <c r="H36" s="737"/>
      <c r="I36" s="320" t="s">
        <v>78</v>
      </c>
    </row>
    <row r="38" spans="2:9">
      <c r="C38" s="737" t="s">
        <v>79</v>
      </c>
      <c r="D38" s="723">
        <f>'Smmy FGD'!F348</f>
        <v>10142090</v>
      </c>
      <c r="E38" s="737"/>
      <c r="F38" s="723">
        <f>D38</f>
        <v>10142090</v>
      </c>
      <c r="G38" s="737"/>
    </row>
    <row r="39" spans="2:9">
      <c r="C39" s="737" t="s">
        <v>80</v>
      </c>
      <c r="D39" s="723">
        <f>'Smmy FGD'!F432</f>
        <v>9268723</v>
      </c>
      <c r="E39" s="737"/>
      <c r="F39" s="737"/>
      <c r="G39" s="741">
        <f>D38-D39</f>
        <v>873367</v>
      </c>
      <c r="I39" s="541"/>
    </row>
    <row r="41" spans="2:9">
      <c r="F41" s="277" t="s">
        <v>81</v>
      </c>
    </row>
  </sheetData>
  <sortState xmlns:xlrd2="http://schemas.microsoft.com/office/spreadsheetml/2017/richdata2" ref="A8:H16">
    <sortCondition ref="A8:A16"/>
  </sortState>
  <hyperlinks>
    <hyperlink ref="D1" location="Index!A1" display="Return to Index" xr:uid="{00000000-0004-0000-0100-000000000000}"/>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133"/>
  <sheetViews>
    <sheetView showGridLines="0" zoomScaleNormal="100" workbookViewId="0">
      <pane ySplit="4" topLeftCell="A95" activePane="bottomLeft" state="frozen"/>
      <selection activeCell="D38" sqref="D38"/>
      <selection pane="bottomLeft" activeCell="D38" sqref="D38"/>
    </sheetView>
  </sheetViews>
  <sheetFormatPr defaultColWidth="9.109375" defaultRowHeight="14.4"/>
  <cols>
    <col min="1" max="1" width="5.44140625" style="245" customWidth="1"/>
    <col min="2" max="2" width="58.6640625" style="247" customWidth="1"/>
    <col min="3" max="3" width="1" style="247" customWidth="1"/>
    <col min="4" max="4" width="16.44140625" style="247" customWidth="1"/>
    <col min="5" max="5" width="14.6640625" style="247" customWidth="1"/>
    <col min="6" max="6" width="9.44140625" style="248" customWidth="1"/>
    <col min="7" max="7" width="1" style="247" customWidth="1"/>
    <col min="8" max="16384" width="9.109375" style="247"/>
  </cols>
  <sheetData>
    <row r="1" spans="1:9" ht="16.2" thickBot="1">
      <c r="B1" s="246" t="s">
        <v>457</v>
      </c>
      <c r="H1" s="162" t="s">
        <v>51</v>
      </c>
    </row>
    <row r="2" spans="1:9" ht="15.6">
      <c r="B2" s="9" t="str">
        <f>'Smmy Chts'!$A$2</f>
        <v>For the Year Ended August 31, 2022</v>
      </c>
      <c r="I2" s="274"/>
    </row>
    <row r="3" spans="1:9" ht="15.6">
      <c r="B3" s="9" t="str">
        <f>'Smmy Chts'!$A$3</f>
        <v>Source: FY 2022 Annual Financial Report</v>
      </c>
    </row>
    <row r="4" spans="1:9">
      <c r="C4" s="249"/>
      <c r="D4" s="1130" t="str">
        <f>B2</f>
        <v>For the Year Ended August 31, 2022</v>
      </c>
      <c r="E4" s="1131"/>
      <c r="F4" s="1132"/>
    </row>
    <row r="5" spans="1:9" ht="15" customHeight="1">
      <c r="B5" s="250" t="s">
        <v>206</v>
      </c>
      <c r="C5" s="249"/>
      <c r="D5" s="251" t="s">
        <v>458</v>
      </c>
      <c r="E5" s="251" t="s">
        <v>148</v>
      </c>
      <c r="F5" s="252" t="s">
        <v>459</v>
      </c>
    </row>
    <row r="6" spans="1:9">
      <c r="A6" s="245">
        <v>1</v>
      </c>
      <c r="B6" s="7" t="s">
        <v>152</v>
      </c>
      <c r="C6" s="249"/>
      <c r="D6" s="11">
        <f>'Smmy HRI SbS'!$D$15</f>
        <v>260323607</v>
      </c>
      <c r="E6" s="11">
        <f>'Smmy HRI SbS'!$E$15</f>
        <v>113118</v>
      </c>
      <c r="F6" s="253">
        <f>ROUND(D6/D$12,3)</f>
        <v>5.5E-2</v>
      </c>
    </row>
    <row r="7" spans="1:9">
      <c r="A7" s="245">
        <v>2</v>
      </c>
      <c r="B7" s="7" t="s">
        <v>460</v>
      </c>
      <c r="C7" s="249"/>
      <c r="D7" s="254">
        <f>'Smmy HRI SbS'!$D$26</f>
        <v>28259863</v>
      </c>
      <c r="E7" s="12">
        <f>'Smmy HRI SbS'!$E$26</f>
        <v>12279</v>
      </c>
      <c r="F7" s="248">
        <f>ROUND(D7/D$12,3)</f>
        <v>6.0000000000000001E-3</v>
      </c>
    </row>
    <row r="8" spans="1:9">
      <c r="A8" s="245">
        <v>3</v>
      </c>
      <c r="B8" s="7" t="s">
        <v>162</v>
      </c>
      <c r="C8" s="249"/>
      <c r="D8" s="254">
        <f>'Smmy HRI SbS'!$D$29</f>
        <v>322461621</v>
      </c>
      <c r="E8" s="12"/>
      <c r="F8" s="248">
        <f>ROUND(D8/D$12,3)</f>
        <v>6.8000000000000005E-2</v>
      </c>
    </row>
    <row r="9" spans="1:9">
      <c r="A9" s="245">
        <v>4</v>
      </c>
      <c r="B9" s="7" t="s">
        <v>163</v>
      </c>
      <c r="C9" s="249"/>
      <c r="D9" s="254">
        <f>'Smmy HRI SbS'!$D$32</f>
        <v>811029427</v>
      </c>
      <c r="E9" s="12"/>
      <c r="F9" s="248">
        <f t="shared" ref="F9:F10" si="0">ROUND(D9/D$12,3)</f>
        <v>0.17199999999999999</v>
      </c>
    </row>
    <row r="10" spans="1:9">
      <c r="A10" s="245">
        <v>5</v>
      </c>
      <c r="B10" s="7" t="s">
        <v>164</v>
      </c>
      <c r="C10" s="249"/>
      <c r="D10" s="254">
        <f>'Smmy HRI SbS'!$D$35</f>
        <v>2096225524</v>
      </c>
      <c r="E10" s="12"/>
      <c r="F10" s="248">
        <f t="shared" si="0"/>
        <v>0.443</v>
      </c>
    </row>
    <row r="11" spans="1:9">
      <c r="A11" s="245">
        <v>6</v>
      </c>
      <c r="B11" s="7" t="s">
        <v>171</v>
      </c>
      <c r="C11" s="249"/>
      <c r="D11" s="254">
        <f>'Smmy HRI SbS'!$D$44</f>
        <v>1210663813</v>
      </c>
      <c r="E11" s="12"/>
      <c r="F11" s="248">
        <f>ROUND(D11/D$12,3)</f>
        <v>0.25600000000000001</v>
      </c>
    </row>
    <row r="12" spans="1:9">
      <c r="A12" s="245" t="s">
        <v>359</v>
      </c>
      <c r="B12" s="255" t="s">
        <v>201</v>
      </c>
      <c r="C12" s="249"/>
      <c r="D12" s="49">
        <f>SUM(D6:D11)</f>
        <v>4728963855</v>
      </c>
      <c r="E12" s="256"/>
      <c r="F12" s="257">
        <f>ROUND(D12/D$12,3)</f>
        <v>1</v>
      </c>
    </row>
    <row r="13" spans="1:9">
      <c r="C13" s="249"/>
    </row>
    <row r="14" spans="1:9">
      <c r="B14" s="250" t="s">
        <v>20</v>
      </c>
      <c r="C14" s="249"/>
      <c r="D14" s="251" t="s">
        <v>458</v>
      </c>
      <c r="E14" s="251" t="s">
        <v>148</v>
      </c>
      <c r="F14" s="252" t="s">
        <v>459</v>
      </c>
    </row>
    <row r="15" spans="1:9">
      <c r="A15" s="245">
        <v>1</v>
      </c>
      <c r="B15" s="7" t="s">
        <v>152</v>
      </c>
      <c r="C15" s="249"/>
      <c r="D15" s="11">
        <f>'Smmy HRI SbS'!$F$15</f>
        <v>392636564</v>
      </c>
      <c r="E15" s="11">
        <f>'Smmy HRI SbS'!$G$15</f>
        <v>101724</v>
      </c>
      <c r="F15" s="253">
        <f>ROUND(D15/D$21,3)</f>
        <v>0.14199999999999999</v>
      </c>
    </row>
    <row r="16" spans="1:9">
      <c r="A16" s="245">
        <v>2</v>
      </c>
      <c r="B16" s="7" t="s">
        <v>460</v>
      </c>
      <c r="C16" s="249"/>
      <c r="D16" s="254">
        <f>'Smmy HRI SbS'!$F$26</f>
        <v>51191427</v>
      </c>
      <c r="E16" s="12">
        <f>'Smmy HRI SbS'!$G$26</f>
        <v>13262</v>
      </c>
      <c r="F16" s="248">
        <f t="shared" ref="F16:F20" si="1">ROUND(D16/D$21,3)</f>
        <v>1.9E-2</v>
      </c>
    </row>
    <row r="17" spans="1:6">
      <c r="A17" s="245">
        <v>3</v>
      </c>
      <c r="B17" s="7" t="s">
        <v>162</v>
      </c>
      <c r="C17" s="249"/>
      <c r="D17" s="254">
        <f>'Smmy HRI SbS'!$F$29</f>
        <v>179173759</v>
      </c>
      <c r="E17" s="12"/>
      <c r="F17" s="248">
        <f t="shared" si="1"/>
        <v>6.5000000000000002E-2</v>
      </c>
    </row>
    <row r="18" spans="1:6">
      <c r="A18" s="245">
        <v>4</v>
      </c>
      <c r="B18" s="7" t="s">
        <v>163</v>
      </c>
      <c r="C18" s="249"/>
      <c r="D18" s="254">
        <f>'Smmy HRI SbS'!$F$32</f>
        <v>256863176</v>
      </c>
      <c r="E18" s="12"/>
      <c r="F18" s="248">
        <f t="shared" si="1"/>
        <v>9.2999999999999999E-2</v>
      </c>
    </row>
    <row r="19" spans="1:6">
      <c r="A19" s="245">
        <v>5</v>
      </c>
      <c r="B19" s="7" t="s">
        <v>164</v>
      </c>
      <c r="C19" s="249"/>
      <c r="D19" s="254">
        <f>'Smmy HRI SbS'!F35</f>
        <v>1538729525</v>
      </c>
      <c r="E19" s="12"/>
      <c r="F19" s="248">
        <f t="shared" si="1"/>
        <v>0.55800000000000005</v>
      </c>
    </row>
    <row r="20" spans="1:6">
      <c r="A20" s="245">
        <v>6</v>
      </c>
      <c r="B20" s="7" t="s">
        <v>171</v>
      </c>
      <c r="C20" s="249"/>
      <c r="D20" s="254">
        <f>'Smmy HRI SbS'!$F$44</f>
        <v>338860128</v>
      </c>
      <c r="E20" s="12"/>
      <c r="F20" s="248">
        <f t="shared" si="1"/>
        <v>0.123</v>
      </c>
    </row>
    <row r="21" spans="1:6">
      <c r="A21" s="245" t="s">
        <v>359</v>
      </c>
      <c r="B21" s="255" t="s">
        <v>201</v>
      </c>
      <c r="C21" s="249"/>
      <c r="D21" s="49">
        <f t="shared" ref="D21" si="2">SUM(D15:D20)</f>
        <v>2757454579</v>
      </c>
      <c r="E21" s="256"/>
      <c r="F21" s="257">
        <f>ROUND(D21/D$21,3)</f>
        <v>1</v>
      </c>
    </row>
    <row r="22" spans="1:6">
      <c r="C22" s="249"/>
    </row>
    <row r="23" spans="1:6">
      <c r="B23" s="250" t="s">
        <v>21</v>
      </c>
      <c r="C23" s="249"/>
      <c r="D23" s="251" t="s">
        <v>458</v>
      </c>
      <c r="E23" s="251" t="s">
        <v>148</v>
      </c>
      <c r="F23" s="252" t="s">
        <v>459</v>
      </c>
    </row>
    <row r="24" spans="1:6">
      <c r="A24" s="245">
        <v>1</v>
      </c>
      <c r="B24" s="7" t="s">
        <v>152</v>
      </c>
      <c r="C24" s="249"/>
      <c r="D24" s="11">
        <f>'Smmy HRI SbS'!$H$15</f>
        <v>260301322</v>
      </c>
      <c r="E24" s="11">
        <f>'Smmy HRI SbS'!$I$15</f>
        <v>49414</v>
      </c>
      <c r="F24" s="253">
        <f>ROUND(D24/D$30,3)</f>
        <v>0.11700000000000001</v>
      </c>
    </row>
    <row r="25" spans="1:6">
      <c r="A25" s="245">
        <v>2</v>
      </c>
      <c r="B25" s="7" t="s">
        <v>460</v>
      </c>
      <c r="C25" s="249"/>
      <c r="D25" s="254">
        <f>'Smmy HRI SbS'!$H$26</f>
        <v>71796372</v>
      </c>
      <c r="E25" s="12">
        <f>'Smmy HRI SbS'!$I$26</f>
        <v>13631</v>
      </c>
      <c r="F25" s="248">
        <f t="shared" ref="F25:F29" si="3">ROUND(D25/D$30,3)</f>
        <v>3.2000000000000001E-2</v>
      </c>
    </row>
    <row r="26" spans="1:6">
      <c r="A26" s="245">
        <v>3</v>
      </c>
      <c r="B26" s="7" t="s">
        <v>162</v>
      </c>
      <c r="C26" s="249"/>
      <c r="D26" s="254">
        <f>'Smmy HRI SbS'!$H$29</f>
        <v>249224368</v>
      </c>
      <c r="E26" s="12"/>
      <c r="F26" s="248">
        <f t="shared" si="3"/>
        <v>0.112</v>
      </c>
    </row>
    <row r="27" spans="1:6">
      <c r="A27" s="245">
        <v>4</v>
      </c>
      <c r="B27" s="7" t="s">
        <v>163</v>
      </c>
      <c r="C27" s="249"/>
      <c r="D27" s="254">
        <f>'Smmy HRI SbS'!$H$32</f>
        <v>456328123</v>
      </c>
      <c r="E27" s="12"/>
      <c r="F27" s="248">
        <f t="shared" si="3"/>
        <v>0.20499999999999999</v>
      </c>
    </row>
    <row r="28" spans="1:6">
      <c r="A28" s="245">
        <v>5</v>
      </c>
      <c r="B28" s="7" t="s">
        <v>164</v>
      </c>
      <c r="C28" s="249"/>
      <c r="D28" s="254">
        <f>'Smmy HRI SbS'!$H$35</f>
        <v>96837661</v>
      </c>
      <c r="E28" s="12"/>
      <c r="F28" s="248">
        <f t="shared" si="3"/>
        <v>4.3999999999999997E-2</v>
      </c>
    </row>
    <row r="29" spans="1:6">
      <c r="A29" s="245">
        <v>6</v>
      </c>
      <c r="B29" s="7" t="s">
        <v>171</v>
      </c>
      <c r="C29" s="249"/>
      <c r="D29" s="254">
        <f>'Smmy HRI SbS'!$H$44</f>
        <v>1087737586</v>
      </c>
      <c r="E29" s="12"/>
      <c r="F29" s="248">
        <f t="shared" si="3"/>
        <v>0.48899999999999999</v>
      </c>
    </row>
    <row r="30" spans="1:6">
      <c r="A30" s="245" t="s">
        <v>359</v>
      </c>
      <c r="B30" s="255" t="s">
        <v>201</v>
      </c>
      <c r="C30" s="249"/>
      <c r="D30" s="49">
        <f t="shared" ref="D30" si="4">SUM(D24:D29)</f>
        <v>2222225432</v>
      </c>
      <c r="E30" s="256"/>
      <c r="F30" s="257">
        <f>ROUND(D30/D$30,3)</f>
        <v>1</v>
      </c>
    </row>
    <row r="31" spans="1:6">
      <c r="C31" s="249"/>
    </row>
    <row r="32" spans="1:6">
      <c r="B32" s="250" t="s">
        <v>22</v>
      </c>
      <c r="C32" s="249"/>
      <c r="D32" s="251" t="s">
        <v>458</v>
      </c>
      <c r="E32" s="251" t="s">
        <v>148</v>
      </c>
      <c r="F32" s="252" t="s">
        <v>459</v>
      </c>
    </row>
    <row r="33" spans="1:6">
      <c r="A33" s="245">
        <v>1</v>
      </c>
      <c r="B33" s="7" t="s">
        <v>152</v>
      </c>
      <c r="C33" s="249"/>
      <c r="D33" s="11">
        <f>'Smmy HRI SbS'!$J$15</f>
        <v>202667107</v>
      </c>
      <c r="E33" s="11">
        <f>'Smmy HRI SbS'!$K$15</f>
        <v>51027</v>
      </c>
      <c r="F33" s="253">
        <f>ROUND(D33/D$39,3)</f>
        <v>0.16600000000000001</v>
      </c>
    </row>
    <row r="34" spans="1:6">
      <c r="A34" s="245">
        <v>2</v>
      </c>
      <c r="B34" s="7" t="s">
        <v>460</v>
      </c>
      <c r="C34" s="249"/>
      <c r="D34" s="254">
        <f>'Smmy HRI SbS'!$J$26</f>
        <v>55639094</v>
      </c>
      <c r="E34" s="12">
        <f>'Smmy HRI SbS'!$K$26</f>
        <v>14008</v>
      </c>
      <c r="F34" s="248">
        <f t="shared" ref="F34:F38" si="5">ROUND(D34/D$39,3)</f>
        <v>4.4999999999999998E-2</v>
      </c>
    </row>
    <row r="35" spans="1:6">
      <c r="A35" s="245">
        <v>3</v>
      </c>
      <c r="B35" s="7" t="s">
        <v>162</v>
      </c>
      <c r="C35" s="249"/>
      <c r="D35" s="254">
        <f>'Smmy HRI SbS'!$J$29</f>
        <v>207996481</v>
      </c>
      <c r="E35" s="12"/>
      <c r="F35" s="248">
        <f t="shared" si="5"/>
        <v>0.17</v>
      </c>
    </row>
    <row r="36" spans="1:6">
      <c r="A36" s="245">
        <v>4</v>
      </c>
      <c r="B36" s="7" t="s">
        <v>163</v>
      </c>
      <c r="C36" s="249"/>
      <c r="D36" s="254">
        <f>'Smmy HRI SbS'!$J$32</f>
        <v>332331158</v>
      </c>
      <c r="E36" s="12"/>
      <c r="F36" s="248">
        <f t="shared" si="5"/>
        <v>0.27200000000000002</v>
      </c>
    </row>
    <row r="37" spans="1:6">
      <c r="A37" s="245">
        <v>5</v>
      </c>
      <c r="B37" s="7" t="s">
        <v>164</v>
      </c>
      <c r="C37" s="249"/>
      <c r="D37" s="254">
        <f>'Smmy HRI SbS'!$J$35</f>
        <v>0</v>
      </c>
      <c r="E37" s="12"/>
      <c r="F37" s="248">
        <f t="shared" si="5"/>
        <v>0</v>
      </c>
    </row>
    <row r="38" spans="1:6">
      <c r="A38" s="245">
        <v>6</v>
      </c>
      <c r="B38" s="7" t="s">
        <v>171</v>
      </c>
      <c r="C38" s="249"/>
      <c r="D38" s="254">
        <f>'Smmy HRI SbS'!$J$44</f>
        <v>424421379</v>
      </c>
      <c r="E38" s="12"/>
      <c r="F38" s="248">
        <f t="shared" si="5"/>
        <v>0.34699999999999998</v>
      </c>
    </row>
    <row r="39" spans="1:6">
      <c r="A39" s="245" t="s">
        <v>359</v>
      </c>
      <c r="B39" s="255" t="s">
        <v>201</v>
      </c>
      <c r="C39" s="249"/>
      <c r="D39" s="49">
        <f t="shared" ref="D39" si="6">SUM(D33:D38)</f>
        <v>1223055219</v>
      </c>
      <c r="E39" s="256"/>
      <c r="F39" s="257">
        <f>ROUND(D39/D$39,3)</f>
        <v>1</v>
      </c>
    </row>
    <row r="40" spans="1:6">
      <c r="C40" s="249"/>
    </row>
    <row r="41" spans="1:6">
      <c r="B41" s="250" t="s">
        <v>23</v>
      </c>
      <c r="C41" s="249"/>
      <c r="D41" s="251" t="s">
        <v>458</v>
      </c>
      <c r="E41" s="251" t="s">
        <v>148</v>
      </c>
      <c r="F41" s="252" t="s">
        <v>459</v>
      </c>
    </row>
    <row r="42" spans="1:6">
      <c r="A42" s="245">
        <v>1</v>
      </c>
      <c r="B42" s="7" t="s">
        <v>152</v>
      </c>
      <c r="C42" s="249"/>
      <c r="D42" s="11">
        <f>'Smmy HRI SbS'!$L$15</f>
        <v>261645065</v>
      </c>
      <c r="E42" s="11"/>
      <c r="F42" s="253">
        <f>ROUND(D42/D$48,3)</f>
        <v>3.7999999999999999E-2</v>
      </c>
    </row>
    <row r="43" spans="1:6">
      <c r="A43" s="245">
        <v>2</v>
      </c>
      <c r="B43" s="7" t="s">
        <v>460</v>
      </c>
      <c r="C43" s="249"/>
      <c r="D43" s="254">
        <f>'Smmy HRI SbS'!$L$26</f>
        <v>1833860</v>
      </c>
      <c r="E43" s="12"/>
      <c r="F43" s="248">
        <f t="shared" ref="F43:F47" si="7">ROUND(D43/D$48,3)</f>
        <v>0</v>
      </c>
    </row>
    <row r="44" spans="1:6">
      <c r="A44" s="245">
        <v>3</v>
      </c>
      <c r="B44" s="7" t="s">
        <v>162</v>
      </c>
      <c r="C44" s="249"/>
      <c r="D44" s="254">
        <f>'Smmy HRI SbS'!$L$29</f>
        <v>306905101</v>
      </c>
      <c r="E44" s="12"/>
      <c r="F44" s="248">
        <f t="shared" si="7"/>
        <v>4.4999999999999998E-2</v>
      </c>
    </row>
    <row r="45" spans="1:6">
      <c r="A45" s="245">
        <v>4</v>
      </c>
      <c r="B45" s="7" t="s">
        <v>163</v>
      </c>
      <c r="C45" s="249"/>
      <c r="D45" s="254">
        <f>'Smmy HRI SbS'!$L$32</f>
        <v>446606991</v>
      </c>
      <c r="E45" s="12"/>
      <c r="F45" s="248">
        <f t="shared" si="7"/>
        <v>6.5000000000000002E-2</v>
      </c>
    </row>
    <row r="46" spans="1:6">
      <c r="A46" s="245">
        <v>5</v>
      </c>
      <c r="B46" s="7" t="s">
        <v>164</v>
      </c>
      <c r="C46" s="249"/>
      <c r="D46" s="254">
        <f>'Smmy HRI SbS'!$L$35</f>
        <v>4849724589</v>
      </c>
      <c r="E46" s="12"/>
      <c r="F46" s="248">
        <f t="shared" si="7"/>
        <v>0.70599999999999996</v>
      </c>
    </row>
    <row r="47" spans="1:6">
      <c r="A47" s="245">
        <v>6</v>
      </c>
      <c r="B47" s="7" t="s">
        <v>171</v>
      </c>
      <c r="C47" s="249"/>
      <c r="D47" s="254">
        <f>'Smmy HRI SbS'!$L$44</f>
        <v>1007073812</v>
      </c>
      <c r="E47" s="12"/>
      <c r="F47" s="248">
        <f t="shared" si="7"/>
        <v>0.14699999999999999</v>
      </c>
    </row>
    <row r="48" spans="1:6">
      <c r="A48" s="245" t="s">
        <v>359</v>
      </c>
      <c r="B48" s="255" t="s">
        <v>201</v>
      </c>
      <c r="C48" s="249"/>
      <c r="D48" s="49">
        <f t="shared" ref="D48" si="8">SUM(D42:D47)</f>
        <v>6873789418</v>
      </c>
      <c r="E48" s="256"/>
      <c r="F48" s="257">
        <f>ROUND(D48/D$48,3)</f>
        <v>1</v>
      </c>
    </row>
    <row r="49" spans="1:6">
      <c r="C49" s="249"/>
    </row>
    <row r="50" spans="1:6">
      <c r="B50" s="250" t="s">
        <v>24</v>
      </c>
      <c r="C50" s="249"/>
      <c r="D50" s="251" t="s">
        <v>458</v>
      </c>
      <c r="E50" s="251" t="s">
        <v>148</v>
      </c>
      <c r="F50" s="252" t="s">
        <v>459</v>
      </c>
    </row>
    <row r="51" spans="1:6">
      <c r="A51" s="245">
        <v>1</v>
      </c>
      <c r="B51" s="7" t="s">
        <v>152</v>
      </c>
      <c r="C51" s="249"/>
      <c r="D51" s="11">
        <f>'Smmy HRI SbS'!$N$15</f>
        <v>61784935</v>
      </c>
      <c r="E51" s="11"/>
      <c r="F51" s="253">
        <f>ROUND(D51/D$57,3)</f>
        <v>0.17</v>
      </c>
    </row>
    <row r="52" spans="1:6">
      <c r="A52" s="245">
        <v>2</v>
      </c>
      <c r="B52" s="7" t="s">
        <v>460</v>
      </c>
      <c r="C52" s="249"/>
      <c r="D52" s="254">
        <f>'Smmy HRI SbS'!$N$26</f>
        <v>645312</v>
      </c>
      <c r="E52" s="12"/>
      <c r="F52" s="248">
        <f t="shared" ref="F52:F56" si="9">ROUND(D52/D$57,3)</f>
        <v>2E-3</v>
      </c>
    </row>
    <row r="53" spans="1:6">
      <c r="A53" s="245">
        <v>3</v>
      </c>
      <c r="B53" s="7" t="s">
        <v>162</v>
      </c>
      <c r="C53" s="249"/>
      <c r="D53" s="254">
        <f>'Smmy HRI SbS'!$N$29</f>
        <v>21490496</v>
      </c>
      <c r="E53" s="12"/>
      <c r="F53" s="248">
        <f t="shared" si="9"/>
        <v>5.8999999999999997E-2</v>
      </c>
    </row>
    <row r="54" spans="1:6">
      <c r="A54" s="245">
        <v>4</v>
      </c>
      <c r="B54" s="7" t="s">
        <v>163</v>
      </c>
      <c r="C54" s="249"/>
      <c r="D54" s="254">
        <f>'Smmy HRI SbS'!$N$32</f>
        <v>19660488</v>
      </c>
      <c r="E54" s="12"/>
      <c r="F54" s="248">
        <f t="shared" si="9"/>
        <v>5.3999999999999999E-2</v>
      </c>
    </row>
    <row r="55" spans="1:6">
      <c r="A55" s="245">
        <v>5</v>
      </c>
      <c r="B55" s="7" t="s">
        <v>164</v>
      </c>
      <c r="C55" s="249"/>
      <c r="D55" s="254">
        <f>'Smmy HRI SbS'!$N$35</f>
        <v>154142258</v>
      </c>
      <c r="E55" s="12"/>
      <c r="F55" s="248">
        <f t="shared" si="9"/>
        <v>0.42399999999999999</v>
      </c>
    </row>
    <row r="56" spans="1:6">
      <c r="A56" s="245">
        <v>6</v>
      </c>
      <c r="B56" s="7" t="s">
        <v>171</v>
      </c>
      <c r="C56" s="249"/>
      <c r="D56" s="254">
        <f>'Smmy HRI SbS'!$N$44</f>
        <v>105500653</v>
      </c>
      <c r="E56" s="12"/>
      <c r="F56" s="248">
        <f t="shared" si="9"/>
        <v>0.28999999999999998</v>
      </c>
    </row>
    <row r="57" spans="1:6">
      <c r="A57" s="245" t="s">
        <v>359</v>
      </c>
      <c r="B57" s="255" t="s">
        <v>201</v>
      </c>
      <c r="C57" s="249"/>
      <c r="D57" s="49">
        <f t="shared" ref="D57" si="10">SUM(D51:D56)</f>
        <v>363224142</v>
      </c>
      <c r="E57" s="256"/>
      <c r="F57" s="257">
        <f>ROUND(D57/D$57,3)</f>
        <v>1</v>
      </c>
    </row>
    <row r="58" spans="1:6">
      <c r="C58" s="249"/>
    </row>
    <row r="59" spans="1:6">
      <c r="B59" s="250" t="s">
        <v>25</v>
      </c>
      <c r="C59" s="249"/>
      <c r="D59" s="251" t="s">
        <v>458</v>
      </c>
      <c r="E59" s="251" t="s">
        <v>148</v>
      </c>
      <c r="F59" s="252" t="s">
        <v>459</v>
      </c>
    </row>
    <row r="60" spans="1:6">
      <c r="A60" s="245">
        <v>1</v>
      </c>
      <c r="B60" s="7" t="s">
        <v>152</v>
      </c>
      <c r="C60" s="249"/>
      <c r="D60" s="11">
        <f>'Smmy HRI SbS'!$P$15</f>
        <v>230148229</v>
      </c>
      <c r="E60" s="11">
        <f>'Smmy HRI SbS'!$Q$15</f>
        <v>63794</v>
      </c>
      <c r="F60" s="253">
        <f>ROUND(D60/D$66,3)</f>
        <v>0.52500000000000002</v>
      </c>
    </row>
    <row r="61" spans="1:6">
      <c r="A61" s="245">
        <v>2</v>
      </c>
      <c r="B61" s="7" t="s">
        <v>460</v>
      </c>
      <c r="C61" s="249"/>
      <c r="D61" s="254">
        <f>'Smmy HRI SbS'!$P$26</f>
        <v>54055783</v>
      </c>
      <c r="E61" s="12">
        <f>'Smmy HRI SbS'!$Q$26</f>
        <v>14984</v>
      </c>
      <c r="F61" s="248">
        <f>ROUND(D61/D$66,3)</f>
        <v>0.123</v>
      </c>
    </row>
    <row r="62" spans="1:6">
      <c r="A62" s="245">
        <v>3</v>
      </c>
      <c r="B62" s="7" t="s">
        <v>162</v>
      </c>
      <c r="C62" s="249"/>
      <c r="D62" s="254">
        <f>'Smmy HRI SbS'!$P$29</f>
        <v>85141456</v>
      </c>
      <c r="E62" s="12"/>
      <c r="F62" s="248">
        <f>ROUND(D62/D$66,3)</f>
        <v>0.19400000000000001</v>
      </c>
    </row>
    <row r="63" spans="1:6">
      <c r="A63" s="245">
        <v>4</v>
      </c>
      <c r="B63" s="7" t="s">
        <v>163</v>
      </c>
      <c r="C63" s="249"/>
      <c r="D63" s="254">
        <f>'Smmy HRI SbS'!$P$32</f>
        <v>1073754</v>
      </c>
      <c r="E63" s="12"/>
      <c r="F63" s="248">
        <f t="shared" ref="F63:F64" si="11">ROUND(D63/D$12,3)</f>
        <v>0</v>
      </c>
    </row>
    <row r="64" spans="1:6">
      <c r="A64" s="245">
        <v>5</v>
      </c>
      <c r="B64" s="7" t="s">
        <v>164</v>
      </c>
      <c r="C64" s="249"/>
      <c r="D64" s="254">
        <f>'Smmy HRI SbS'!$P$35</f>
        <v>0</v>
      </c>
      <c r="E64" s="12"/>
      <c r="F64" s="248">
        <f t="shared" si="11"/>
        <v>0</v>
      </c>
    </row>
    <row r="65" spans="1:6">
      <c r="A65" s="245">
        <v>6</v>
      </c>
      <c r="B65" s="7" t="s">
        <v>171</v>
      </c>
      <c r="C65" s="249"/>
      <c r="D65" s="254">
        <f>'Smmy HRI SbS'!$P$44</f>
        <v>68121876</v>
      </c>
      <c r="E65" s="12"/>
      <c r="F65" s="248">
        <f>ROUND(D65/D$66,3)</f>
        <v>0.155</v>
      </c>
    </row>
    <row r="66" spans="1:6">
      <c r="A66" s="245" t="s">
        <v>359</v>
      </c>
      <c r="B66" s="255" t="s">
        <v>201</v>
      </c>
      <c r="C66" s="249"/>
      <c r="D66" s="49">
        <f t="shared" ref="D66" si="12">SUM(D60:D65)</f>
        <v>438541098</v>
      </c>
      <c r="E66" s="256"/>
      <c r="F66" s="257">
        <f>ROUND(D66/D$66,3)</f>
        <v>1</v>
      </c>
    </row>
    <row r="67" spans="1:6">
      <c r="C67" s="249"/>
    </row>
    <row r="68" spans="1:6">
      <c r="B68" s="250" t="s">
        <v>207</v>
      </c>
      <c r="C68" s="249"/>
      <c r="D68" s="251" t="s">
        <v>458</v>
      </c>
      <c r="E68" s="251" t="s">
        <v>148</v>
      </c>
      <c r="F68" s="252" t="s">
        <v>459</v>
      </c>
    </row>
    <row r="69" spans="1:6">
      <c r="A69" s="245">
        <v>1</v>
      </c>
      <c r="B69" s="7" t="s">
        <v>152</v>
      </c>
      <c r="C69" s="249"/>
      <c r="D69" s="11">
        <f>'Smmy HRI SbS'!$R$15</f>
        <v>129494349</v>
      </c>
      <c r="E69" s="11">
        <f>'Smmy HRI SbS'!$S$15</f>
        <v>43332</v>
      </c>
      <c r="F69" s="253">
        <f>ROUND(D69/D$75,3)</f>
        <v>0.41399999999999998</v>
      </c>
    </row>
    <row r="70" spans="1:6">
      <c r="A70" s="245">
        <v>2</v>
      </c>
      <c r="B70" s="7" t="s">
        <v>460</v>
      </c>
      <c r="C70" s="249"/>
      <c r="D70" s="254">
        <f>'Smmy HRI SbS'!$R$26</f>
        <v>34477812</v>
      </c>
      <c r="E70" s="12">
        <f>'Smmy HRI SbS'!$S$26</f>
        <v>11537</v>
      </c>
      <c r="F70" s="248">
        <f t="shared" ref="F70:F74" si="13">ROUND(D70/D$75,3)</f>
        <v>0.11</v>
      </c>
    </row>
    <row r="71" spans="1:6">
      <c r="A71" s="245">
        <v>3</v>
      </c>
      <c r="B71" s="7" t="s">
        <v>162</v>
      </c>
      <c r="C71" s="249"/>
      <c r="D71" s="254">
        <f>'Smmy HRI SbS'!$R$29</f>
        <v>55261728</v>
      </c>
      <c r="E71" s="12"/>
      <c r="F71" s="248">
        <f t="shared" si="13"/>
        <v>0.17699999999999999</v>
      </c>
    </row>
    <row r="72" spans="1:6">
      <c r="A72" s="245">
        <v>4</v>
      </c>
      <c r="B72" s="7" t="s">
        <v>163</v>
      </c>
      <c r="C72" s="249"/>
      <c r="D72" s="254">
        <f>'Smmy HRI SbS'!$R$32</f>
        <v>12885666</v>
      </c>
      <c r="E72" s="12"/>
      <c r="F72" s="248">
        <f t="shared" si="13"/>
        <v>4.1000000000000002E-2</v>
      </c>
    </row>
    <row r="73" spans="1:6">
      <c r="A73" s="245">
        <v>5</v>
      </c>
      <c r="B73" s="7" t="s">
        <v>164</v>
      </c>
      <c r="C73" s="249"/>
      <c r="D73" s="254">
        <f>'Smmy HRI SbS'!$R$35</f>
        <v>0</v>
      </c>
      <c r="E73" s="12"/>
      <c r="F73" s="248">
        <f t="shared" si="13"/>
        <v>0</v>
      </c>
    </row>
    <row r="74" spans="1:6">
      <c r="A74" s="245">
        <v>6</v>
      </c>
      <c r="B74" s="7" t="s">
        <v>171</v>
      </c>
      <c r="C74" s="249"/>
      <c r="D74" s="254">
        <f>'Smmy HRI SbS'!$R$44</f>
        <v>80925325</v>
      </c>
      <c r="E74" s="12"/>
      <c r="F74" s="248">
        <f t="shared" si="13"/>
        <v>0.25900000000000001</v>
      </c>
    </row>
    <row r="75" spans="1:6">
      <c r="A75" s="245" t="s">
        <v>359</v>
      </c>
      <c r="B75" s="255" t="s">
        <v>201</v>
      </c>
      <c r="C75" s="249"/>
      <c r="D75" s="49">
        <f t="shared" ref="D75" si="14">SUM(D69:D74)</f>
        <v>313044880</v>
      </c>
      <c r="E75" s="256"/>
      <c r="F75" s="257">
        <f>ROUND(D75/D$75,3)</f>
        <v>1</v>
      </c>
    </row>
    <row r="76" spans="1:6">
      <c r="C76" s="249"/>
    </row>
    <row r="77" spans="1:6">
      <c r="B77" s="250" t="s">
        <v>27</v>
      </c>
      <c r="C77" s="249"/>
      <c r="D77" s="251" t="s">
        <v>458</v>
      </c>
      <c r="E77" s="251" t="s">
        <v>148</v>
      </c>
      <c r="F77" s="252" t="s">
        <v>459</v>
      </c>
    </row>
    <row r="78" spans="1:6">
      <c r="A78" s="245">
        <v>1</v>
      </c>
      <c r="B78" s="7" t="s">
        <v>152</v>
      </c>
      <c r="C78" s="249"/>
      <c r="D78" s="11">
        <f>'Smmy HRI SbS'!$T$15</f>
        <v>217168284</v>
      </c>
      <c r="E78" s="11">
        <f>'Smmy HRI SbS'!$U$15</f>
        <v>36098</v>
      </c>
      <c r="F78" s="253">
        <f>ROUND(D78/D$84,3)</f>
        <v>0.26200000000000001</v>
      </c>
    </row>
    <row r="79" spans="1:6">
      <c r="A79" s="245">
        <v>2</v>
      </c>
      <c r="B79" s="7" t="s">
        <v>460</v>
      </c>
      <c r="C79" s="249"/>
      <c r="D79" s="254">
        <f>'Smmy HRI SbS'!$T$26</f>
        <v>71519865</v>
      </c>
      <c r="E79" s="12">
        <f>'Smmy HRI SbS'!$U$26</f>
        <v>11888</v>
      </c>
      <c r="F79" s="248">
        <f t="shared" ref="F79:F83" si="15">ROUND(D79/D$84,3)</f>
        <v>8.5999999999999993E-2</v>
      </c>
    </row>
    <row r="80" spans="1:6">
      <c r="A80" s="245">
        <v>3</v>
      </c>
      <c r="B80" s="7" t="s">
        <v>162</v>
      </c>
      <c r="C80" s="249"/>
      <c r="D80" s="254">
        <f>'Smmy HRI SbS'!$T$29</f>
        <v>34704177</v>
      </c>
      <c r="E80" s="12"/>
      <c r="F80" s="248">
        <f t="shared" si="15"/>
        <v>4.2000000000000003E-2</v>
      </c>
    </row>
    <row r="81" spans="1:6">
      <c r="A81" s="245">
        <v>4</v>
      </c>
      <c r="B81" s="7" t="s">
        <v>163</v>
      </c>
      <c r="C81" s="249"/>
      <c r="D81" s="254">
        <f>'Smmy HRI SbS'!$T$32</f>
        <v>247811272</v>
      </c>
      <c r="E81" s="12"/>
      <c r="F81" s="248">
        <f t="shared" si="15"/>
        <v>0.29899999999999999</v>
      </c>
    </row>
    <row r="82" spans="1:6">
      <c r="A82" s="245">
        <v>5</v>
      </c>
      <c r="B82" s="7" t="s">
        <v>164</v>
      </c>
      <c r="C82" s="249"/>
      <c r="D82" s="254">
        <f>'Smmy HRI SbS'!$T$35</f>
        <v>0</v>
      </c>
      <c r="E82" s="12"/>
      <c r="F82" s="248">
        <f t="shared" si="15"/>
        <v>0</v>
      </c>
    </row>
    <row r="83" spans="1:6">
      <c r="A83" s="245">
        <v>6</v>
      </c>
      <c r="B83" s="7" t="s">
        <v>171</v>
      </c>
      <c r="C83" s="249"/>
      <c r="D83" s="254">
        <f>'Smmy HRI SbS'!$T$44</f>
        <v>256864699</v>
      </c>
      <c r="E83" s="12"/>
      <c r="F83" s="248">
        <f t="shared" si="15"/>
        <v>0.31</v>
      </c>
    </row>
    <row r="84" spans="1:6">
      <c r="A84" s="245" t="s">
        <v>359</v>
      </c>
      <c r="B84" s="255" t="s">
        <v>201</v>
      </c>
      <c r="C84" s="249"/>
      <c r="D84" s="49">
        <f t="shared" ref="D84" si="16">SUM(D78:D83)</f>
        <v>828068297</v>
      </c>
      <c r="E84" s="256"/>
      <c r="F84" s="257">
        <f>ROUND(D84/D$84,3)</f>
        <v>1</v>
      </c>
    </row>
    <row r="85" spans="1:6">
      <c r="C85" s="249"/>
    </row>
    <row r="86" spans="1:6">
      <c r="B86" s="250" t="s">
        <v>28</v>
      </c>
      <c r="C86" s="249"/>
      <c r="D86" s="251" t="s">
        <v>458</v>
      </c>
      <c r="E86" s="251" t="s">
        <v>148</v>
      </c>
      <c r="F86" s="252" t="s">
        <v>459</v>
      </c>
    </row>
    <row r="87" spans="1:6">
      <c r="A87" s="245">
        <v>1</v>
      </c>
      <c r="B87" s="7" t="s">
        <v>152</v>
      </c>
      <c r="C87" s="249"/>
      <c r="D87" s="11">
        <f>'Smmy HRI SbS'!$V$15</f>
        <v>92315216</v>
      </c>
      <c r="E87" s="11">
        <f>'Smmy HRI SbS'!$W$15</f>
        <v>108466</v>
      </c>
      <c r="F87" s="253">
        <f>ROUND(D87/D$93,3)</f>
        <v>0.307</v>
      </c>
    </row>
    <row r="88" spans="1:6">
      <c r="A88" s="245">
        <v>2</v>
      </c>
      <c r="B88" s="7" t="s">
        <v>460</v>
      </c>
      <c r="C88" s="249"/>
      <c r="D88" s="254">
        <f>'Smmy HRI SbS'!$V$26</f>
        <v>13256992</v>
      </c>
      <c r="E88" s="12">
        <f>'Smmy HRI SbS'!$W$26</f>
        <v>15575</v>
      </c>
      <c r="F88" s="248">
        <f t="shared" ref="F88:F92" si="17">ROUND(D88/D$93,3)</f>
        <v>4.3999999999999997E-2</v>
      </c>
    </row>
    <row r="89" spans="1:6">
      <c r="A89" s="245">
        <v>3</v>
      </c>
      <c r="B89" s="7" t="s">
        <v>162</v>
      </c>
      <c r="C89" s="249"/>
      <c r="D89" s="254">
        <f>'Smmy HRI SbS'!$V$29</f>
        <v>4397437</v>
      </c>
      <c r="E89" s="12"/>
      <c r="F89" s="248">
        <f t="shared" si="17"/>
        <v>1.4999999999999999E-2</v>
      </c>
    </row>
    <row r="90" spans="1:6">
      <c r="A90" s="245">
        <v>4</v>
      </c>
      <c r="B90" s="7" t="s">
        <v>163</v>
      </c>
      <c r="C90" s="249"/>
      <c r="D90" s="254">
        <f>'Smmy HRI SbS'!$V$32</f>
        <v>57620664</v>
      </c>
      <c r="E90" s="12"/>
      <c r="F90" s="248">
        <f t="shared" si="17"/>
        <v>0.192</v>
      </c>
    </row>
    <row r="91" spans="1:6">
      <c r="A91" s="245">
        <v>5</v>
      </c>
      <c r="B91" s="7" t="s">
        <v>164</v>
      </c>
      <c r="C91" s="249"/>
      <c r="D91" s="254">
        <f>'Smmy HRI SbS'!$V$35</f>
        <v>0</v>
      </c>
      <c r="E91" s="12"/>
      <c r="F91" s="248">
        <f t="shared" si="17"/>
        <v>0</v>
      </c>
    </row>
    <row r="92" spans="1:6">
      <c r="A92" s="245">
        <v>6</v>
      </c>
      <c r="B92" s="7" t="s">
        <v>171</v>
      </c>
      <c r="C92" s="249"/>
      <c r="D92" s="254">
        <f>'Smmy HRI SbS'!$V$44</f>
        <v>132924514</v>
      </c>
      <c r="E92" s="12"/>
      <c r="F92" s="248">
        <f t="shared" si="17"/>
        <v>0.442</v>
      </c>
    </row>
    <row r="93" spans="1:6">
      <c r="A93" s="245" t="s">
        <v>359</v>
      </c>
      <c r="B93" s="255" t="s">
        <v>201</v>
      </c>
      <c r="C93" s="249"/>
      <c r="D93" s="49">
        <f t="shared" ref="D93" si="18">SUM(D87:D92)</f>
        <v>300514823</v>
      </c>
      <c r="E93" s="256"/>
      <c r="F93" s="257">
        <f>ROUND(D93/D$93,3)</f>
        <v>1</v>
      </c>
    </row>
    <row r="94" spans="1:6">
      <c r="B94" s="8"/>
      <c r="C94" s="249"/>
      <c r="D94" s="11"/>
      <c r="E94" s="11"/>
      <c r="F94" s="258"/>
    </row>
    <row r="95" spans="1:6" ht="16.5" customHeight="1">
      <c r="B95" s="250" t="s">
        <v>29</v>
      </c>
      <c r="C95" s="249"/>
      <c r="D95" s="251" t="s">
        <v>458</v>
      </c>
      <c r="E95" s="251" t="s">
        <v>148</v>
      </c>
      <c r="F95" s="252" t="s">
        <v>459</v>
      </c>
    </row>
    <row r="96" spans="1:6">
      <c r="A96" s="245">
        <v>1</v>
      </c>
      <c r="B96" s="7" t="s">
        <v>152</v>
      </c>
      <c r="C96" s="249"/>
      <c r="D96" s="11">
        <f>'Smmy HRI SbS'!$X$15</f>
        <v>46216168</v>
      </c>
      <c r="E96" s="11"/>
      <c r="F96" s="253">
        <f>ROUND(D96/D$102,3)</f>
        <v>0.19</v>
      </c>
    </row>
    <row r="97" spans="1:6">
      <c r="A97" s="245">
        <v>2</v>
      </c>
      <c r="B97" s="7" t="s">
        <v>460</v>
      </c>
      <c r="C97" s="249"/>
      <c r="D97" s="254">
        <f>'Smmy HRI SbS'!$X$26</f>
        <v>3489213</v>
      </c>
      <c r="E97" s="12"/>
      <c r="F97" s="248">
        <f t="shared" ref="F97:F101" si="19">ROUND(D97/D$102,3)</f>
        <v>1.4E-2</v>
      </c>
    </row>
    <row r="98" spans="1:6">
      <c r="A98" s="245">
        <v>3</v>
      </c>
      <c r="B98" s="7" t="s">
        <v>162</v>
      </c>
      <c r="C98" s="249"/>
      <c r="D98" s="254">
        <f>'Smmy HRI SbS'!$X$29</f>
        <v>12717100</v>
      </c>
      <c r="E98" s="12"/>
      <c r="F98" s="248">
        <f t="shared" si="19"/>
        <v>5.1999999999999998E-2</v>
      </c>
    </row>
    <row r="99" spans="1:6">
      <c r="A99" s="245">
        <v>4</v>
      </c>
      <c r="B99" s="7" t="s">
        <v>163</v>
      </c>
      <c r="C99" s="249"/>
      <c r="D99" s="254">
        <f>'Smmy HRI SbS'!$X$32</f>
        <v>12639757</v>
      </c>
      <c r="E99" s="12"/>
      <c r="F99" s="248">
        <f t="shared" si="19"/>
        <v>5.1999999999999998E-2</v>
      </c>
    </row>
    <row r="100" spans="1:6">
      <c r="A100" s="245">
        <v>5</v>
      </c>
      <c r="B100" s="7" t="s">
        <v>164</v>
      </c>
      <c r="C100" s="249"/>
      <c r="D100" s="254">
        <f>'Smmy HRI SbS'!$X$35</f>
        <v>1459467</v>
      </c>
      <c r="E100" s="12"/>
      <c r="F100" s="248">
        <f t="shared" si="19"/>
        <v>6.0000000000000001E-3</v>
      </c>
    </row>
    <row r="101" spans="1:6">
      <c r="A101" s="245">
        <v>6</v>
      </c>
      <c r="B101" s="7" t="s">
        <v>171</v>
      </c>
      <c r="C101" s="249"/>
      <c r="D101" s="254">
        <f>'Smmy HRI SbS'!$X$44</f>
        <v>166578519</v>
      </c>
      <c r="E101" s="12"/>
      <c r="F101" s="248">
        <f t="shared" si="19"/>
        <v>0.68500000000000005</v>
      </c>
    </row>
    <row r="102" spans="1:6">
      <c r="A102" s="245" t="s">
        <v>359</v>
      </c>
      <c r="B102" s="255" t="s">
        <v>201</v>
      </c>
      <c r="C102" s="249"/>
      <c r="D102" s="49">
        <f t="shared" ref="D102" si="20">SUM(D96:D101)</f>
        <v>243100224</v>
      </c>
      <c r="E102" s="256"/>
      <c r="F102" s="257">
        <f>ROUND(D102/D$102,3)</f>
        <v>1</v>
      </c>
    </row>
    <row r="103" spans="1:6">
      <c r="B103" s="8"/>
      <c r="C103" s="249"/>
      <c r="D103" s="11"/>
      <c r="E103" s="11"/>
      <c r="F103" s="258"/>
    </row>
    <row r="104" spans="1:6" ht="14.25" customHeight="1">
      <c r="B104" s="250" t="s">
        <v>30</v>
      </c>
      <c r="C104" s="249"/>
      <c r="D104" s="251" t="s">
        <v>458</v>
      </c>
      <c r="E104" s="251" t="s">
        <v>148</v>
      </c>
      <c r="F104" s="252" t="s">
        <v>459</v>
      </c>
    </row>
    <row r="105" spans="1:6">
      <c r="A105" s="245">
        <v>1</v>
      </c>
      <c r="B105" s="7" t="s">
        <v>152</v>
      </c>
      <c r="C105" s="249"/>
      <c r="D105" s="11">
        <f>'Smmy HRI SbS'!$Z$15</f>
        <v>49474555</v>
      </c>
      <c r="E105" s="11"/>
      <c r="F105" s="253">
        <f>ROUND(D105/D$111,3)</f>
        <v>0.34699999999999998</v>
      </c>
    </row>
    <row r="106" spans="1:6">
      <c r="A106" s="245">
        <v>2</v>
      </c>
      <c r="B106" s="7" t="s">
        <v>460</v>
      </c>
      <c r="C106" s="249"/>
      <c r="D106" s="254">
        <f>'Smmy HRI SbS'!$Z$26</f>
        <v>4843685</v>
      </c>
      <c r="E106" s="12"/>
      <c r="F106" s="248">
        <f t="shared" ref="F106:F110" si="21">ROUND(D106/D$111,3)</f>
        <v>3.4000000000000002E-2</v>
      </c>
    </row>
    <row r="107" spans="1:6">
      <c r="A107" s="245">
        <v>3</v>
      </c>
      <c r="B107" s="7" t="s">
        <v>162</v>
      </c>
      <c r="C107" s="249"/>
      <c r="D107" s="254">
        <f>'Smmy HRI SbS'!$Z$29</f>
        <v>7981482</v>
      </c>
      <c r="E107" s="12"/>
      <c r="F107" s="248">
        <f t="shared" si="21"/>
        <v>5.6000000000000001E-2</v>
      </c>
    </row>
    <row r="108" spans="1:6">
      <c r="A108" s="245">
        <v>4</v>
      </c>
      <c r="B108" s="7" t="s">
        <v>163</v>
      </c>
      <c r="C108" s="249"/>
      <c r="D108" s="254">
        <f>'Smmy HRI SbS'!$Z$32</f>
        <v>19204472</v>
      </c>
      <c r="E108" s="12"/>
      <c r="F108" s="248">
        <f t="shared" si="21"/>
        <v>0.13500000000000001</v>
      </c>
    </row>
    <row r="109" spans="1:6">
      <c r="A109" s="245">
        <v>5</v>
      </c>
      <c r="B109" s="7" t="s">
        <v>164</v>
      </c>
      <c r="C109" s="249"/>
      <c r="D109" s="254">
        <f>'Smmy HRI SbS'!$Z$35</f>
        <v>0</v>
      </c>
      <c r="E109" s="12"/>
      <c r="F109" s="248">
        <f t="shared" si="21"/>
        <v>0</v>
      </c>
    </row>
    <row r="110" spans="1:6">
      <c r="A110" s="245">
        <v>6</v>
      </c>
      <c r="B110" s="7" t="s">
        <v>171</v>
      </c>
      <c r="C110" s="249"/>
      <c r="D110" s="254">
        <f>'Smmy HRI SbS'!$Z$44</f>
        <v>60873593</v>
      </c>
      <c r="E110" s="12"/>
      <c r="F110" s="248">
        <f t="shared" si="21"/>
        <v>0.42799999999999999</v>
      </c>
    </row>
    <row r="111" spans="1:6">
      <c r="A111" s="245" t="s">
        <v>359</v>
      </c>
      <c r="B111" s="255" t="s">
        <v>201</v>
      </c>
      <c r="C111" s="249"/>
      <c r="D111" s="49">
        <f t="shared" ref="D111" si="22">SUM(D105:D110)</f>
        <v>142377787</v>
      </c>
      <c r="E111" s="256"/>
      <c r="F111" s="257">
        <f>ROUND(D111/D$111,3)</f>
        <v>1</v>
      </c>
    </row>
    <row r="112" spans="1:6">
      <c r="B112" s="8"/>
      <c r="C112" s="249"/>
      <c r="D112" s="11"/>
      <c r="E112" s="11"/>
      <c r="F112" s="258"/>
    </row>
    <row r="113" spans="1:6" ht="14.25" customHeight="1">
      <c r="B113" s="250" t="s">
        <v>31</v>
      </c>
      <c r="C113" s="249"/>
      <c r="D113" s="251" t="s">
        <v>458</v>
      </c>
      <c r="E113" s="251" t="s">
        <v>148</v>
      </c>
      <c r="F113" s="252" t="s">
        <v>459</v>
      </c>
    </row>
    <row r="114" spans="1:6">
      <c r="A114" s="245">
        <v>1</v>
      </c>
      <c r="B114" s="7" t="s">
        <v>152</v>
      </c>
      <c r="C114" s="249"/>
      <c r="D114" s="11">
        <f>'Smmy HRI SbS'!$Z$15</f>
        <v>49474555</v>
      </c>
      <c r="E114" s="11"/>
      <c r="F114" s="253">
        <f>ROUND(D114/D$111,3)</f>
        <v>0.34699999999999998</v>
      </c>
    </row>
    <row r="115" spans="1:6">
      <c r="A115" s="245">
        <v>2</v>
      </c>
      <c r="B115" s="7" t="s">
        <v>460</v>
      </c>
      <c r="C115" s="249"/>
      <c r="D115" s="254">
        <f>'Smmy HRI SbS'!$Z$26</f>
        <v>4843685</v>
      </c>
      <c r="E115" s="12"/>
      <c r="F115" s="248">
        <f t="shared" ref="F115:F119" si="23">ROUND(D115/D$111,3)</f>
        <v>3.4000000000000002E-2</v>
      </c>
    </row>
    <row r="116" spans="1:6">
      <c r="A116" s="245">
        <v>3</v>
      </c>
      <c r="B116" s="7" t="s">
        <v>162</v>
      </c>
      <c r="C116" s="249"/>
      <c r="D116" s="254">
        <f>'Smmy HRI SbS'!$Z$29</f>
        <v>7981482</v>
      </c>
      <c r="E116" s="12"/>
      <c r="F116" s="248">
        <f t="shared" si="23"/>
        <v>5.6000000000000001E-2</v>
      </c>
    </row>
    <row r="117" spans="1:6">
      <c r="A117" s="245">
        <v>4</v>
      </c>
      <c r="B117" s="7" t="s">
        <v>163</v>
      </c>
      <c r="C117" s="249"/>
      <c r="D117" s="254">
        <f>'Smmy HRI SbS'!$Z$32</f>
        <v>19204472</v>
      </c>
      <c r="E117" s="12"/>
      <c r="F117" s="248">
        <f t="shared" si="23"/>
        <v>0.13500000000000001</v>
      </c>
    </row>
    <row r="118" spans="1:6">
      <c r="A118" s="245">
        <v>5</v>
      </c>
      <c r="B118" s="7" t="s">
        <v>164</v>
      </c>
      <c r="C118" s="249"/>
      <c r="D118" s="254">
        <f>'Smmy HRI SbS'!$Z$35</f>
        <v>0</v>
      </c>
      <c r="E118" s="12"/>
      <c r="F118" s="248">
        <f t="shared" si="23"/>
        <v>0</v>
      </c>
    </row>
    <row r="119" spans="1:6">
      <c r="A119" s="245">
        <v>6</v>
      </c>
      <c r="B119" s="7" t="s">
        <v>171</v>
      </c>
      <c r="C119" s="249"/>
      <c r="D119" s="254">
        <f>'Smmy HRI SbS'!$Z$44</f>
        <v>60873593</v>
      </c>
      <c r="E119" s="12"/>
      <c r="F119" s="248">
        <f t="shared" si="23"/>
        <v>0.42799999999999999</v>
      </c>
    </row>
    <row r="120" spans="1:6">
      <c r="A120" s="245" t="s">
        <v>359</v>
      </c>
      <c r="B120" s="255" t="s">
        <v>201</v>
      </c>
      <c r="C120" s="249"/>
      <c r="D120" s="49">
        <f t="shared" ref="D120" si="24">SUM(D114:D119)</f>
        <v>142377787</v>
      </c>
      <c r="E120" s="256"/>
      <c r="F120" s="257">
        <f>ROUND(D120/D$111,3)</f>
        <v>1</v>
      </c>
    </row>
    <row r="121" spans="1:6">
      <c r="B121" s="8"/>
      <c r="C121" s="249"/>
      <c r="D121" s="11"/>
      <c r="E121" s="11"/>
      <c r="F121" s="258"/>
    </row>
    <row r="122" spans="1:6">
      <c r="C122" s="249"/>
    </row>
    <row r="123" spans="1:6">
      <c r="B123" s="259" t="s">
        <v>461</v>
      </c>
      <c r="C123" s="260"/>
      <c r="D123" s="261" t="s">
        <v>458</v>
      </c>
      <c r="E123" s="261" t="s">
        <v>148</v>
      </c>
      <c r="F123" s="262" t="s">
        <v>459</v>
      </c>
    </row>
    <row r="124" spans="1:6">
      <c r="A124" s="245">
        <v>1</v>
      </c>
      <c r="B124" s="7" t="s">
        <v>152</v>
      </c>
      <c r="C124" s="249"/>
      <c r="D124" s="11">
        <f>SUMIF($A$6:$A$122,$A124,D$6:D$122)</f>
        <v>2253649956</v>
      </c>
      <c r="E124" s="11"/>
      <c r="F124" s="253">
        <f>ROUND(D124/D$130,3)</f>
        <v>0.11</v>
      </c>
    </row>
    <row r="125" spans="1:6">
      <c r="A125" s="245">
        <v>2</v>
      </c>
      <c r="B125" s="7" t="s">
        <v>460</v>
      </c>
      <c r="C125" s="249"/>
      <c r="D125" s="254">
        <f t="shared" ref="D125:D129" si="25">SUMIF($A$6:$A$122,$A125,D$6:D$122)</f>
        <v>395852963</v>
      </c>
      <c r="E125" s="12"/>
      <c r="F125" s="248">
        <f>ROUND(D125/D$130,3)</f>
        <v>1.9E-2</v>
      </c>
    </row>
    <row r="126" spans="1:6">
      <c r="A126" s="245">
        <v>3</v>
      </c>
      <c r="B126" s="7" t="s">
        <v>162</v>
      </c>
      <c r="C126" s="249"/>
      <c r="D126" s="254">
        <f t="shared" si="25"/>
        <v>1495436688</v>
      </c>
      <c r="E126" s="12"/>
      <c r="F126" s="248">
        <f t="shared" ref="F126:F128" si="26">ROUND(D126/D$130,3)</f>
        <v>7.2999999999999995E-2</v>
      </c>
    </row>
    <row r="127" spans="1:6">
      <c r="A127" s="245">
        <v>4</v>
      </c>
      <c r="B127" s="7" t="s">
        <v>163</v>
      </c>
      <c r="C127" s="249"/>
      <c r="D127" s="254">
        <f t="shared" si="25"/>
        <v>2693259420</v>
      </c>
      <c r="E127" s="12"/>
      <c r="F127" s="248">
        <f t="shared" si="26"/>
        <v>0.13100000000000001</v>
      </c>
    </row>
    <row r="128" spans="1:6">
      <c r="A128" s="245">
        <v>5</v>
      </c>
      <c r="B128" s="7" t="s">
        <v>164</v>
      </c>
      <c r="C128" s="249"/>
      <c r="D128" s="254">
        <f t="shared" si="25"/>
        <v>8737119024</v>
      </c>
      <c r="E128" s="12"/>
      <c r="F128" s="248">
        <f t="shared" si="26"/>
        <v>0.42499999999999999</v>
      </c>
    </row>
    <row r="129" spans="1:6">
      <c r="A129" s="245">
        <v>6</v>
      </c>
      <c r="B129" s="7" t="s">
        <v>171</v>
      </c>
      <c r="C129" s="249"/>
      <c r="D129" s="254">
        <f t="shared" si="25"/>
        <v>5001419490</v>
      </c>
      <c r="E129" s="12"/>
      <c r="F129" s="248">
        <f>ROUND(D129/D$130,3)</f>
        <v>0.24299999999999999</v>
      </c>
    </row>
    <row r="130" spans="1:6">
      <c r="A130" s="245" t="s">
        <v>359</v>
      </c>
      <c r="B130" s="255" t="s">
        <v>201</v>
      </c>
      <c r="C130" s="249"/>
      <c r="D130" s="49">
        <f t="shared" ref="D130" si="27">SUM(D124:D129)</f>
        <v>20576737541</v>
      </c>
      <c r="E130" s="49"/>
      <c r="F130" s="257">
        <f>ROUND(D130/D$130,3)</f>
        <v>1</v>
      </c>
    </row>
    <row r="133" spans="1:6">
      <c r="D133" s="263">
        <f ca="1">D130-'Smmy HRI SbS'!B45</f>
        <v>120204117</v>
      </c>
    </row>
  </sheetData>
  <mergeCells count="1">
    <mergeCell ref="D4:F4"/>
  </mergeCells>
  <hyperlinks>
    <hyperlink ref="H1" location="Index!A1" display="Return to Index" xr:uid="{00000000-0004-0000-0F00-000000000000}"/>
  </hyperlinks>
  <printOptions horizontalCentered="1"/>
  <pageMargins left="0.2" right="0.2" top="0.5" bottom="0.5" header="0.3" footer="0.3"/>
  <pageSetup fitToHeight="0" orientation="landscape" r:id="rId1"/>
  <headerFooter>
    <oddFooter>Page &amp;P</oddFooter>
  </headerFooter>
  <rowBreaks count="1" manualBreakCount="1">
    <brk id="48"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K43"/>
  <sheetViews>
    <sheetView showGridLines="0" workbookViewId="0">
      <pane ySplit="8" topLeftCell="A9" activePane="bottomLeft" state="frozen"/>
      <selection activeCell="B4" sqref="A1:XFD1048576"/>
      <selection pane="bottomLeft" activeCell="D3" sqref="D3"/>
    </sheetView>
  </sheetViews>
  <sheetFormatPr defaultRowHeight="13.2"/>
  <cols>
    <col min="1" max="1" width="8.88671875" style="320"/>
    <col min="2" max="2" width="7" style="320" customWidth="1"/>
    <col min="3" max="3" width="54.88671875" style="320" customWidth="1"/>
    <col min="4" max="4" width="15.109375" style="320" customWidth="1"/>
    <col min="5" max="5" width="22" style="320" customWidth="1"/>
    <col min="6" max="6" width="17.6640625" style="320" customWidth="1"/>
    <col min="7" max="7" width="12.109375" style="320" customWidth="1"/>
    <col min="8" max="8" width="17" style="320" customWidth="1"/>
    <col min="9" max="9" width="4.44140625" style="320" customWidth="1"/>
    <col min="10" max="16384" width="8.88671875" style="320"/>
  </cols>
  <sheetData>
    <row r="1" spans="1:11" ht="13.8" thickBot="1">
      <c r="D1" s="344" t="s">
        <v>82</v>
      </c>
      <c r="K1" s="545" t="s">
        <v>51</v>
      </c>
    </row>
    <row r="2" spans="1:11">
      <c r="D2" s="344" t="s">
        <v>1718</v>
      </c>
    </row>
    <row r="3" spans="1:11">
      <c r="D3" s="547">
        <v>44995</v>
      </c>
      <c r="F3" s="718"/>
    </row>
    <row r="4" spans="1:11" ht="13.8">
      <c r="D4" s="279"/>
      <c r="E4" s="279"/>
      <c r="F4" s="719"/>
      <c r="G4" s="720"/>
    </row>
    <row r="5" spans="1:11" ht="13.5" customHeight="1">
      <c r="A5" s="1230" t="s">
        <v>99</v>
      </c>
      <c r="B5" s="553"/>
      <c r="C5" s="721"/>
      <c r="D5" s="1232" t="s">
        <v>203</v>
      </c>
      <c r="E5" s="1233" t="s">
        <v>204</v>
      </c>
      <c r="F5" s="1233" t="s">
        <v>205</v>
      </c>
      <c r="G5" s="720"/>
    </row>
    <row r="6" spans="1:11">
      <c r="A6" s="1230"/>
      <c r="B6" s="553"/>
      <c r="C6" s="721"/>
      <c r="D6" s="1232"/>
      <c r="E6" s="1233"/>
      <c r="F6" s="1233"/>
      <c r="G6" s="720"/>
    </row>
    <row r="7" spans="1:11">
      <c r="A7" s="1230"/>
      <c r="B7" s="553"/>
      <c r="C7" s="721"/>
      <c r="D7" s="1232"/>
      <c r="E7" s="1233"/>
      <c r="F7" s="1233"/>
      <c r="G7" s="720"/>
    </row>
    <row r="8" spans="1:11">
      <c r="A8" s="1231"/>
      <c r="B8" s="550"/>
      <c r="C8" s="722" t="s">
        <v>57</v>
      </c>
      <c r="D8" s="1232"/>
      <c r="E8" s="1233"/>
      <c r="F8" s="1233"/>
      <c r="G8" s="720"/>
    </row>
    <row r="9" spans="1:11">
      <c r="A9" s="562">
        <v>30</v>
      </c>
      <c r="B9" s="717" t="s">
        <v>206</v>
      </c>
      <c r="C9" s="443"/>
      <c r="D9" s="489">
        <f>'SWM FGD'!$O$68</f>
        <v>2011784833</v>
      </c>
      <c r="E9" s="492">
        <f>'SWM FGD'!$P$68</f>
        <v>2772079</v>
      </c>
      <c r="F9" s="492">
        <f>E9+D9</f>
        <v>2014556912</v>
      </c>
      <c r="G9" s="723"/>
    </row>
    <row r="10" spans="1:11">
      <c r="A10" s="562">
        <v>104952</v>
      </c>
      <c r="B10" s="717" t="s">
        <v>20</v>
      </c>
      <c r="C10" s="443"/>
      <c r="D10" s="724">
        <f>'MBG FGD'!$O$68</f>
        <v>1620876652</v>
      </c>
      <c r="E10" s="723">
        <f>'MBG FGD'!$P$68</f>
        <v>2829776</v>
      </c>
      <c r="F10" s="723">
        <f t="shared" ref="F10:F20" si="0">E10+D10</f>
        <v>1623706428</v>
      </c>
      <c r="G10" s="723"/>
    </row>
    <row r="11" spans="1:11">
      <c r="A11" s="562">
        <v>11618</v>
      </c>
      <c r="B11" s="717" t="s">
        <v>21</v>
      </c>
      <c r="C11" s="443"/>
      <c r="D11" s="724">
        <f>'HSH FGD'!$O$68</f>
        <v>541373760</v>
      </c>
      <c r="E11" s="723">
        <f>'HSH FGD'!$P$68</f>
        <v>4732804</v>
      </c>
      <c r="F11" s="723">
        <f t="shared" si="0"/>
        <v>546106564</v>
      </c>
      <c r="G11" s="723"/>
    </row>
    <row r="12" spans="1:11">
      <c r="A12" s="562">
        <v>40</v>
      </c>
      <c r="B12" s="717" t="s">
        <v>22</v>
      </c>
      <c r="C12" s="443"/>
      <c r="D12" s="724">
        <f>'HSSA FGD'!$O$68</f>
        <v>207378571</v>
      </c>
      <c r="E12" s="723">
        <f>'HSSA FGD'!$P$68</f>
        <v>932721</v>
      </c>
      <c r="F12" s="723">
        <f t="shared" si="0"/>
        <v>208311292</v>
      </c>
      <c r="G12" s="723"/>
    </row>
    <row r="13" spans="1:11">
      <c r="A13" s="562">
        <v>25554</v>
      </c>
      <c r="B13" s="717" t="s">
        <v>23</v>
      </c>
      <c r="C13" s="443"/>
      <c r="D13" s="724">
        <f>'MDA FGD'!$O$68</f>
        <v>3764483888</v>
      </c>
      <c r="E13" s="723">
        <f>'MDA FGD'!$P$68</f>
        <v>46675818</v>
      </c>
      <c r="F13" s="723">
        <f t="shared" si="0"/>
        <v>3811159706</v>
      </c>
      <c r="G13" s="723"/>
    </row>
    <row r="14" spans="1:11">
      <c r="A14" s="562">
        <v>42439</v>
      </c>
      <c r="B14" s="717" t="s">
        <v>24</v>
      </c>
      <c r="C14" s="443"/>
      <c r="D14" s="724">
        <f>'THC FGD'!$O$68</f>
        <v>211748148</v>
      </c>
      <c r="E14" s="723">
        <f>'THC FGD'!$P$68</f>
        <v>216746</v>
      </c>
      <c r="F14" s="723">
        <f t="shared" si="0"/>
        <v>211964894</v>
      </c>
      <c r="G14" s="723"/>
    </row>
    <row r="15" spans="1:11">
      <c r="A15" s="562">
        <v>89</v>
      </c>
      <c r="B15" s="717" t="s">
        <v>25</v>
      </c>
      <c r="C15" s="443"/>
      <c r="D15" s="724">
        <f>'TAMHSC FGD'!$O$68</f>
        <v>0</v>
      </c>
      <c r="E15" s="723">
        <f>'TAMHSC FGD'!$P$68</f>
        <v>0</v>
      </c>
      <c r="F15" s="723">
        <f t="shared" si="0"/>
        <v>0</v>
      </c>
      <c r="G15" s="723"/>
    </row>
    <row r="16" spans="1:11">
      <c r="A16" s="562">
        <v>130</v>
      </c>
      <c r="B16" s="717" t="s">
        <v>207</v>
      </c>
      <c r="C16" s="443"/>
      <c r="D16" s="724">
        <f>'UNTHSC1 FGD'!$O$68</f>
        <v>0</v>
      </c>
      <c r="E16" s="723">
        <f>'UNTHSC1 FGD'!$P$68</f>
        <v>0</v>
      </c>
      <c r="F16" s="723">
        <f t="shared" si="0"/>
        <v>0</v>
      </c>
      <c r="G16" s="723"/>
    </row>
    <row r="17" spans="1:7">
      <c r="A17" s="562">
        <v>412</v>
      </c>
      <c r="B17" s="717" t="s">
        <v>27</v>
      </c>
      <c r="C17" s="443"/>
      <c r="D17" s="724">
        <f>'TTUHSC FGD'!$O$68</f>
        <v>92148740</v>
      </c>
      <c r="E17" s="723">
        <f>'TTUHSC FGD'!$P$68</f>
        <v>1134650</v>
      </c>
      <c r="F17" s="723">
        <f t="shared" si="0"/>
        <v>93283390</v>
      </c>
      <c r="G17" s="723"/>
    </row>
    <row r="18" spans="1:7">
      <c r="A18" s="562">
        <v>862</v>
      </c>
      <c r="B18" s="717" t="s">
        <v>28</v>
      </c>
      <c r="C18" s="443"/>
      <c r="D18" s="724">
        <f>'TTUHSCEP FGD'!$O$68</f>
        <v>24298172</v>
      </c>
      <c r="E18" s="723">
        <f>'TTUHSCEP FGD'!$P$68</f>
        <v>1036237</v>
      </c>
      <c r="F18" s="723">
        <f t="shared" si="0"/>
        <v>25334409</v>
      </c>
      <c r="G18" s="723"/>
    </row>
    <row r="19" spans="1:7">
      <c r="A19" s="562">
        <v>203599</v>
      </c>
      <c r="B19" s="717" t="s">
        <v>30</v>
      </c>
      <c r="C19" s="443"/>
      <c r="D19" s="724">
        <f>'RGVM FGD'!$O$68</f>
        <v>43920874</v>
      </c>
      <c r="E19" s="723">
        <f>'RGVM FGD'!$P$68</f>
        <v>127029</v>
      </c>
      <c r="F19" s="723">
        <f>E19+D19</f>
        <v>44047903</v>
      </c>
      <c r="G19" s="723"/>
    </row>
    <row r="20" spans="1:7">
      <c r="A20" s="562">
        <v>203658</v>
      </c>
      <c r="B20" s="717" t="s">
        <v>29</v>
      </c>
      <c r="C20" s="443"/>
      <c r="D20" s="724">
        <f>'AUSM FGD'!$O$68</f>
        <v>126417532</v>
      </c>
      <c r="E20" s="723">
        <f>'AUSM FGD'!$P$68</f>
        <v>0</v>
      </c>
      <c r="F20" s="723">
        <f t="shared" si="0"/>
        <v>126417532</v>
      </c>
      <c r="G20" s="723"/>
    </row>
    <row r="21" spans="1:7">
      <c r="A21" s="562">
        <v>203652</v>
      </c>
      <c r="B21" s="384" t="s">
        <v>31</v>
      </c>
      <c r="C21" s="443"/>
      <c r="D21" s="724">
        <f>'UHM FGD'!$O$68</f>
        <v>0</v>
      </c>
      <c r="E21" s="723">
        <f>'UHM FGD'!$P$68</f>
        <v>0</v>
      </c>
      <c r="F21" s="723">
        <f t="shared" ref="F21" si="1">E21+D21</f>
        <v>0</v>
      </c>
      <c r="G21" s="723"/>
    </row>
    <row r="22" spans="1:7">
      <c r="A22" s="562"/>
      <c r="B22" s="717"/>
      <c r="C22" s="443"/>
      <c r="D22" s="724"/>
      <c r="E22" s="723"/>
      <c r="F22" s="723"/>
      <c r="G22" s="723"/>
    </row>
    <row r="23" spans="1:7">
      <c r="A23" s="725"/>
      <c r="B23" s="725"/>
      <c r="C23" s="726"/>
      <c r="D23" s="724"/>
      <c r="E23" s="723"/>
      <c r="F23" s="723"/>
      <c r="G23" s="723"/>
    </row>
    <row r="24" spans="1:7" ht="13.8" thickBot="1">
      <c r="C24" s="727" t="s">
        <v>77</v>
      </c>
      <c r="D24" s="728">
        <f>SUM(D9:D23)</f>
        <v>8644431170</v>
      </c>
      <c r="E24" s="728">
        <f>SUM(E9:E23)</f>
        <v>60457860</v>
      </c>
      <c r="F24" s="728">
        <f>SUM(F9:F23)</f>
        <v>8704889030</v>
      </c>
      <c r="G24" s="723"/>
    </row>
    <row r="25" spans="1:7" ht="13.8" thickTop="1"/>
    <row r="27" spans="1:7">
      <c r="A27" s="562"/>
      <c r="B27" s="562"/>
      <c r="C27" s="384"/>
    </row>
    <row r="28" spans="1:7">
      <c r="A28" s="562"/>
      <c r="B28" s="729" t="s">
        <v>208</v>
      </c>
      <c r="C28" s="384"/>
    </row>
    <row r="29" spans="1:7">
      <c r="A29" s="562"/>
      <c r="B29" s="562"/>
      <c r="C29" s="384"/>
    </row>
    <row r="30" spans="1:7">
      <c r="A30" s="562"/>
      <c r="B30" s="562"/>
      <c r="C30" s="384"/>
    </row>
    <row r="31" spans="1:7">
      <c r="A31" s="562"/>
      <c r="B31" s="562"/>
      <c r="C31" s="384"/>
    </row>
    <row r="32" spans="1:7">
      <c r="A32" s="562"/>
      <c r="B32" s="562"/>
      <c r="C32" s="384"/>
    </row>
    <row r="33" spans="1:8">
      <c r="A33" s="562"/>
      <c r="B33" s="562"/>
      <c r="C33" s="384"/>
    </row>
    <row r="34" spans="1:8">
      <c r="A34" s="562"/>
      <c r="B34" s="562"/>
      <c r="C34" s="384"/>
    </row>
    <row r="35" spans="1:8">
      <c r="H35" s="492"/>
    </row>
    <row r="36" spans="1:8">
      <c r="C36" s="320" t="s">
        <v>209</v>
      </c>
      <c r="D36" s="320" t="s">
        <v>210</v>
      </c>
    </row>
    <row r="37" spans="1:8">
      <c r="C37" s="322"/>
    </row>
    <row r="38" spans="1:8" ht="13.8">
      <c r="C38" s="730" t="s">
        <v>211</v>
      </c>
      <c r="D38" s="731" t="s">
        <v>212</v>
      </c>
    </row>
    <row r="39" spans="1:8" ht="13.8">
      <c r="C39" s="732" t="s">
        <v>213</v>
      </c>
      <c r="D39" s="731" t="s">
        <v>214</v>
      </c>
    </row>
    <row r="40" spans="1:8" ht="13.8">
      <c r="C40" s="732" t="s">
        <v>215</v>
      </c>
      <c r="D40" s="731" t="s">
        <v>216</v>
      </c>
    </row>
    <row r="41" spans="1:8">
      <c r="C41" s="732" t="s">
        <v>217</v>
      </c>
    </row>
    <row r="42" spans="1:8">
      <c r="C42" s="733" t="s">
        <v>218</v>
      </c>
      <c r="D42" s="733" t="s">
        <v>219</v>
      </c>
    </row>
    <row r="43" spans="1:8">
      <c r="C43" s="322"/>
    </row>
  </sheetData>
  <dataConsolidate link="1">
    <dataRefs count="9">
      <dataRef ref="N49:V62" sheet="HSH FGD" r:id="rId1"/>
      <dataRef ref="N49:V62" sheet="HSSA FGD" r:id="rId2"/>
      <dataRef ref="N49:V62" sheet="MBG FGD" r:id="rId3"/>
      <dataRef ref="N49:V62" sheet="MDA FGD" r:id="rId4"/>
      <dataRef ref="N49:V62" sheet="SWM FGD" r:id="rId5"/>
      <dataRef ref="N49:V62" sheet="TAMHSC FGD" r:id="rId6"/>
      <dataRef ref="N49:V62" sheet="THC FGD" r:id="rId7"/>
      <dataRef ref="N49:V62" sheet="TTUHSC FGD" r:id="rId8"/>
      <dataRef ref="N49:V62" sheet="UNTHSC FGD" r:id="rId9"/>
    </dataRefs>
  </dataConsolidate>
  <mergeCells count="4">
    <mergeCell ref="A5:A8"/>
    <mergeCell ref="D5:D8"/>
    <mergeCell ref="E5:E8"/>
    <mergeCell ref="F5:F8"/>
  </mergeCells>
  <hyperlinks>
    <hyperlink ref="K1" location="Index!A1" display="Return to Index" xr:uid="{00000000-0004-0000-0500-000000000000}"/>
    <hyperlink ref="C42" r:id="rId10" xr:uid="{00000000-0004-0000-0500-000001000000}"/>
    <hyperlink ref="D42" r:id="rId11" xr:uid="{00000000-0004-0000-0500-000002000000}"/>
  </hyperlinks>
  <pageMargins left="0.7" right="0.7" top="0.75" bottom="0.75" header="0.3" footer="0.3"/>
  <pageSetup orientation="portrait" r:id="rId1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7C80"/>
    <pageSetUpPr fitToPage="1"/>
  </sheetPr>
  <dimension ref="A1:AK781"/>
  <sheetViews>
    <sheetView showGridLines="0" zoomScale="85" zoomScaleNormal="85" workbookViewId="0">
      <pane xSplit="4" ySplit="10" topLeftCell="E11" activePane="bottomRight" state="frozen"/>
      <selection activeCell="B4" sqref="A1:XFD1048576"/>
      <selection pane="topRight" activeCell="B4" sqref="A1:XFD1048576"/>
      <selection pane="bottomLeft" activeCell="B4" sqref="A1:XFD1048576"/>
      <selection pane="bottomRight" activeCell="A44" sqref="A44:XFD46"/>
    </sheetView>
  </sheetViews>
  <sheetFormatPr defaultColWidth="9.109375" defaultRowHeight="13.2"/>
  <cols>
    <col min="1" max="1" width="6.88671875" style="282" customWidth="1"/>
    <col min="2" max="2" width="8.109375" style="277" customWidth="1"/>
    <col min="3" max="3" width="6.6640625" style="277" customWidth="1"/>
    <col min="4" max="4" width="25.109375" style="277" customWidth="1"/>
    <col min="5" max="5" width="15.5546875" style="599" customWidth="1"/>
    <col min="6" max="6" width="15.33203125" style="277" customWidth="1"/>
    <col min="7" max="9" width="13.33203125" style="599" customWidth="1"/>
    <col min="10" max="10" width="14.88671875" style="599" customWidth="1"/>
    <col min="11" max="12" width="13.33203125" style="599" customWidth="1"/>
    <col min="13" max="13" width="14.33203125" style="277" customWidth="1"/>
    <col min="14" max="14" width="13.33203125" style="277" customWidth="1"/>
    <col min="15" max="15" width="16" style="277" customWidth="1"/>
    <col min="16" max="16" width="17" style="277" customWidth="1"/>
    <col min="17" max="28" width="17.6640625" style="277" customWidth="1"/>
    <col min="29" max="29" width="14.88671875" style="277" customWidth="1"/>
    <col min="30" max="30" width="21.33203125" style="277" customWidth="1"/>
    <col min="31" max="31" width="14.6640625" style="277" customWidth="1"/>
    <col min="32" max="32" width="30.6640625" style="277" customWidth="1"/>
    <col min="33" max="33" width="13.33203125" style="282" customWidth="1"/>
    <col min="34" max="34" width="17.33203125" style="277" customWidth="1"/>
    <col min="35" max="35" width="15.88671875" style="277" customWidth="1"/>
    <col min="36" max="36" width="16.6640625" style="277" customWidth="1"/>
    <col min="37" max="37" width="15" style="277" customWidth="1"/>
    <col min="38" max="16384" width="9.109375" style="277"/>
  </cols>
  <sheetData>
    <row r="1" spans="1:37" ht="13.8" thickBot="1">
      <c r="E1" s="275"/>
      <c r="G1" s="293" t="s">
        <v>220</v>
      </c>
      <c r="H1" s="293"/>
      <c r="I1" s="293"/>
      <c r="J1" s="293"/>
      <c r="K1" s="293"/>
      <c r="L1" s="293"/>
      <c r="M1" s="275"/>
      <c r="P1" s="545" t="s">
        <v>51</v>
      </c>
    </row>
    <row r="2" spans="1:37">
      <c r="E2" s="275"/>
      <c r="G2" s="293" t="s">
        <v>1717</v>
      </c>
      <c r="H2" s="293"/>
      <c r="I2" s="293"/>
      <c r="J2" s="293"/>
      <c r="K2" s="293"/>
      <c r="L2" s="293"/>
      <c r="M2" s="275"/>
    </row>
    <row r="3" spans="1:37">
      <c r="E3" s="275"/>
      <c r="G3" s="547">
        <v>45087</v>
      </c>
      <c r="H3" s="293"/>
      <c r="I3" s="293"/>
      <c r="J3" s="293"/>
      <c r="K3" s="293"/>
      <c r="L3" s="293"/>
      <c r="M3" s="275"/>
    </row>
    <row r="4" spans="1:37">
      <c r="A4" s="693" t="s">
        <v>221</v>
      </c>
      <c r="E4" s="275"/>
      <c r="G4" s="275"/>
      <c r="H4" s="275"/>
      <c r="I4" s="275"/>
      <c r="J4" s="275"/>
      <c r="K4" s="275"/>
      <c r="L4" s="275"/>
      <c r="M4" s="275"/>
    </row>
    <row r="5" spans="1:37">
      <c r="B5" s="546"/>
      <c r="E5" s="275"/>
      <c r="G5" s="275"/>
      <c r="H5" s="275"/>
      <c r="I5" s="275"/>
      <c r="J5" s="275"/>
      <c r="K5" s="275"/>
      <c r="L5" s="275"/>
      <c r="M5" s="275"/>
    </row>
    <row r="6" spans="1:37">
      <c r="B6" s="546"/>
      <c r="E6" s="275"/>
      <c r="G6" s="275"/>
      <c r="H6" s="275"/>
      <c r="I6" s="275"/>
      <c r="J6" s="275"/>
      <c r="K6" s="275"/>
      <c r="L6" s="275"/>
      <c r="M6" s="275"/>
    </row>
    <row r="7" spans="1:37">
      <c r="A7" s="282" t="s">
        <v>222</v>
      </c>
      <c r="B7" s="546"/>
      <c r="E7" s="275"/>
      <c r="G7" s="275"/>
      <c r="H7" s="275"/>
      <c r="I7" s="275"/>
      <c r="J7" s="275"/>
      <c r="K7" s="275"/>
      <c r="L7" s="275"/>
      <c r="M7" s="275"/>
    </row>
    <row r="8" spans="1:37" ht="13.8" thickBot="1">
      <c r="A8" s="282" t="s">
        <v>59</v>
      </c>
      <c r="B8" s="546"/>
      <c r="E8" s="282">
        <v>18</v>
      </c>
      <c r="F8" s="282">
        <v>19</v>
      </c>
      <c r="G8" s="282">
        <v>20</v>
      </c>
      <c r="H8" s="282">
        <v>21</v>
      </c>
      <c r="I8" s="282">
        <v>22</v>
      </c>
      <c r="J8" s="282">
        <v>23</v>
      </c>
      <c r="K8" s="282">
        <v>24</v>
      </c>
      <c r="L8" s="282">
        <v>25</v>
      </c>
      <c r="M8" s="282">
        <v>26</v>
      </c>
      <c r="N8" s="282">
        <v>27</v>
      </c>
      <c r="O8" s="282">
        <v>28</v>
      </c>
      <c r="P8" s="282">
        <v>29</v>
      </c>
      <c r="Q8" s="282">
        <v>31</v>
      </c>
      <c r="R8" s="282">
        <v>32</v>
      </c>
      <c r="S8" s="282">
        <v>33</v>
      </c>
      <c r="T8" s="282">
        <v>34</v>
      </c>
      <c r="U8" s="282">
        <v>35</v>
      </c>
      <c r="V8" s="282">
        <v>36</v>
      </c>
      <c r="W8" s="282">
        <v>37</v>
      </c>
      <c r="X8" s="282">
        <v>38</v>
      </c>
      <c r="Y8" s="282">
        <v>39</v>
      </c>
      <c r="Z8" s="282">
        <v>40</v>
      </c>
      <c r="AA8" s="282">
        <v>41</v>
      </c>
      <c r="AB8" s="282">
        <v>42</v>
      </c>
    </row>
    <row r="9" spans="1:37" ht="15.75" customHeight="1">
      <c r="A9" s="282" t="s">
        <v>223</v>
      </c>
      <c r="B9" s="546"/>
      <c r="C9" s="277" t="s">
        <v>224</v>
      </c>
      <c r="E9" s="1234" t="s">
        <v>225</v>
      </c>
      <c r="F9" s="1235"/>
      <c r="G9" s="1235"/>
      <c r="H9" s="1235"/>
      <c r="I9" s="1235"/>
      <c r="J9" s="1235"/>
      <c r="K9" s="1235"/>
      <c r="L9" s="1235"/>
      <c r="M9" s="1235"/>
      <c r="N9" s="1235"/>
      <c r="O9" s="1235"/>
      <c r="P9" s="1235"/>
      <c r="Q9" s="1236" t="s">
        <v>226</v>
      </c>
      <c r="R9" s="1237"/>
      <c r="S9" s="1237"/>
      <c r="T9" s="1237"/>
      <c r="U9" s="1237"/>
      <c r="V9" s="1237"/>
      <c r="W9" s="1237"/>
      <c r="X9" s="1237"/>
      <c r="Y9" s="1237"/>
      <c r="Z9" s="1237"/>
      <c r="AA9" s="1237"/>
      <c r="AB9" s="1238"/>
      <c r="AC9" s="694"/>
      <c r="AD9" s="1239" t="s">
        <v>14</v>
      </c>
      <c r="AE9" s="1240"/>
      <c r="AF9" s="1241"/>
    </row>
    <row r="10" spans="1:37" s="555" customFormat="1" ht="51.75" customHeight="1">
      <c r="A10" s="695" t="s">
        <v>227</v>
      </c>
      <c r="B10" s="550" t="s">
        <v>99</v>
      </c>
      <c r="C10" s="550" t="s">
        <v>100</v>
      </c>
      <c r="D10" s="550"/>
      <c r="E10" s="696" t="s">
        <v>228</v>
      </c>
      <c r="F10" s="324" t="s">
        <v>229</v>
      </c>
      <c r="G10" s="324" t="s">
        <v>230</v>
      </c>
      <c r="H10" s="324" t="s">
        <v>231</v>
      </c>
      <c r="I10" s="324" t="s">
        <v>232</v>
      </c>
      <c r="J10" s="697" t="s">
        <v>233</v>
      </c>
      <c r="K10" s="324" t="s">
        <v>234</v>
      </c>
      <c r="L10" s="324" t="s">
        <v>235</v>
      </c>
      <c r="M10" s="324" t="s">
        <v>236</v>
      </c>
      <c r="N10" s="324" t="s">
        <v>236</v>
      </c>
      <c r="O10" s="324" t="s">
        <v>237</v>
      </c>
      <c r="P10" s="351" t="s">
        <v>165</v>
      </c>
      <c r="Q10" s="696" t="s">
        <v>238</v>
      </c>
      <c r="R10" s="324" t="s">
        <v>229</v>
      </c>
      <c r="S10" s="324" t="s">
        <v>230</v>
      </c>
      <c r="T10" s="324" t="s">
        <v>231</v>
      </c>
      <c r="U10" s="324" t="s">
        <v>232</v>
      </c>
      <c r="V10" s="697" t="s">
        <v>239</v>
      </c>
      <c r="W10" s="324" t="s">
        <v>234</v>
      </c>
      <c r="X10" s="324" t="s">
        <v>235</v>
      </c>
      <c r="Y10" s="324" t="s">
        <v>240</v>
      </c>
      <c r="Z10" s="324" t="s">
        <v>241</v>
      </c>
      <c r="AA10" s="324" t="s">
        <v>237</v>
      </c>
      <c r="AB10" s="698" t="s">
        <v>166</v>
      </c>
      <c r="AC10" s="699" t="s">
        <v>242</v>
      </c>
      <c r="AD10" s="700" t="s">
        <v>16</v>
      </c>
      <c r="AE10" s="666" t="s">
        <v>17</v>
      </c>
      <c r="AF10" s="701" t="s">
        <v>18</v>
      </c>
      <c r="AG10" s="345"/>
    </row>
    <row r="11" spans="1:37" ht="12.75" customHeight="1">
      <c r="A11" s="282">
        <v>390</v>
      </c>
      <c r="B11" s="692" t="s">
        <v>110</v>
      </c>
      <c r="C11" s="563" t="str">
        <f t="shared" ref="C11:C23" si="0">$C$9</f>
        <v>FY 22</v>
      </c>
      <c r="D11" s="384" t="s">
        <v>112</v>
      </c>
      <c r="E11" s="702">
        <f>'SWM FGD'!$M$18</f>
        <v>34727778</v>
      </c>
      <c r="F11" s="501">
        <f>'SWM FGD'!$M$19</f>
        <v>-6687827</v>
      </c>
      <c r="G11" s="501">
        <f>'SWM FGD'!$M$20</f>
        <v>0</v>
      </c>
      <c r="H11" s="501">
        <f>'SWM FGD'!$M$21</f>
        <v>0</v>
      </c>
      <c r="I11" s="501">
        <f>'SWM FGD'!$M$22</f>
        <v>0</v>
      </c>
      <c r="J11" s="501">
        <f>'SWM FGD'!$M$23</f>
        <v>28039951</v>
      </c>
      <c r="K11" s="501">
        <f>'SWM FGD'!$M$24</f>
        <v>0</v>
      </c>
      <c r="L11" s="501">
        <f>'SWM FGD'!$M$25</f>
        <v>0</v>
      </c>
      <c r="M11" s="501">
        <f>'SWM FGD'!$M$26</f>
        <v>-236246</v>
      </c>
      <c r="N11" s="501">
        <f>'SWM FGD'!$M$27</f>
        <v>0</v>
      </c>
      <c r="O11" s="501">
        <f>'SWM FGD'!$M$28</f>
        <v>-1668403</v>
      </c>
      <c r="P11" s="501">
        <f>'SWM FGD'!$M$29</f>
        <v>26135302</v>
      </c>
      <c r="Q11" s="702">
        <f>'SWM FGD'!$M$31</f>
        <v>2823165</v>
      </c>
      <c r="R11" s="501">
        <f>'SWM FGD'!$M$32</f>
        <v>0</v>
      </c>
      <c r="S11" s="501">
        <f>'SWM FGD'!$M$33</f>
        <v>0</v>
      </c>
      <c r="T11" s="501">
        <f>'SWM FGD'!$M$34</f>
        <v>0</v>
      </c>
      <c r="U11" s="501">
        <f>'SWM FGD'!$M$35</f>
        <v>0</v>
      </c>
      <c r="V11" s="501">
        <f>'SWM FGD'!$M$36</f>
        <v>2823165</v>
      </c>
      <c r="W11" s="501">
        <f>'SWM FGD'!$M$37</f>
        <v>0</v>
      </c>
      <c r="X11" s="501">
        <f>'SWM FGD'!$M$38</f>
        <v>0</v>
      </c>
      <c r="Y11" s="501">
        <f>'SWM FGD'!$M$39</f>
        <v>0</v>
      </c>
      <c r="Z11" s="501">
        <f>'SWM FGD'!$M$40</f>
        <v>0</v>
      </c>
      <c r="AA11" s="501">
        <f>'SWM FGD'!$M$41</f>
        <v>-698604</v>
      </c>
      <c r="AB11" s="703">
        <f>'SWM FGD'!$M$42</f>
        <v>2124561</v>
      </c>
      <c r="AC11" s="704">
        <f>'SWM FGD'!$M$44</f>
        <v>28259863</v>
      </c>
      <c r="AD11" s="705" t="str">
        <f>'SWM FGD'!$P$103</f>
        <v>John Schmidt</v>
      </c>
      <c r="AE11" s="275" t="str">
        <f>'SWM FGD'!$R$103</f>
        <v>214-648-0888</v>
      </c>
      <c r="AF11" s="706" t="str">
        <f>'SWM FGD'!$U$103</f>
        <v>john.schmidt@utsouthwestern.edu</v>
      </c>
      <c r="AG11" s="589" t="str">
        <f>IF(SUM(E11:I11)&lt;&gt;J11,"Error","Balanced")</f>
        <v>Balanced</v>
      </c>
      <c r="AH11" s="589" t="str">
        <f>IF(SUM(J11:O11)&lt;&gt;P11,"Error","Balanced")</f>
        <v>Balanced</v>
      </c>
      <c r="AI11" s="589" t="str">
        <f>IF(SUM(Q11:U11)&lt;&gt;V11,"Error","Balanced")</f>
        <v>Balanced</v>
      </c>
      <c r="AJ11" s="589" t="str">
        <f>IF(SUM(V11:AA11)&lt;&gt;AB11,"Error","Balanced")</f>
        <v>Balanced</v>
      </c>
      <c r="AK11" s="589" t="str">
        <f>IF(P11+AB11&lt;&gt;AC11,"Error","Balanced")</f>
        <v>Balanced</v>
      </c>
    </row>
    <row r="12" spans="1:37">
      <c r="A12" s="282">
        <v>400</v>
      </c>
      <c r="B12" s="692">
        <v>104952</v>
      </c>
      <c r="C12" s="563" t="str">
        <f t="shared" si="0"/>
        <v>FY 22</v>
      </c>
      <c r="D12" s="384" t="s">
        <v>128</v>
      </c>
      <c r="E12" s="707">
        <f>'MBG FGD'!$M$18</f>
        <v>42669529</v>
      </c>
      <c r="F12" s="669">
        <f>'MBG FGD'!$M$19</f>
        <v>-1256902</v>
      </c>
      <c r="G12" s="669">
        <f>'MBG FGD'!$M$20</f>
        <v>0</v>
      </c>
      <c r="H12" s="669">
        <f>'MBG FGD'!$M$21</f>
        <v>0</v>
      </c>
      <c r="I12" s="669">
        <f>'MBG FGD'!$M$22</f>
        <v>0</v>
      </c>
      <c r="J12" s="669">
        <f>'MBG FGD'!$M$23</f>
        <v>41412627</v>
      </c>
      <c r="K12" s="669">
        <f>'MBG FGD'!$M$24</f>
        <v>0</v>
      </c>
      <c r="L12" s="669">
        <f>'MBG FGD'!$M$25</f>
        <v>0</v>
      </c>
      <c r="M12" s="669">
        <f>'MBG FGD'!$M$26</f>
        <v>-871233</v>
      </c>
      <c r="N12" s="669">
        <f>'MBG FGD'!$M$27</f>
        <v>0</v>
      </c>
      <c r="O12" s="669">
        <f>'MBG FGD'!$M$28</f>
        <v>-3426771</v>
      </c>
      <c r="P12" s="669">
        <f>'MBG FGD'!$M$29</f>
        <v>37114623</v>
      </c>
      <c r="Q12" s="707">
        <f>'MBG FGD'!$M$31</f>
        <v>15090257</v>
      </c>
      <c r="R12" s="669">
        <f>'MBG FGD'!$M$32</f>
        <v>0</v>
      </c>
      <c r="S12" s="669">
        <f>'MBG FGD'!$M$33</f>
        <v>0</v>
      </c>
      <c r="T12" s="669">
        <f>'MBG FGD'!$M$34</f>
        <v>0</v>
      </c>
      <c r="U12" s="669">
        <f>'MBG FGD'!$M$35</f>
        <v>0</v>
      </c>
      <c r="V12" s="669">
        <f>'MBG FGD'!$M$36</f>
        <v>15090257</v>
      </c>
      <c r="W12" s="669">
        <f>'MBG FGD'!$M$37</f>
        <v>0</v>
      </c>
      <c r="X12" s="669">
        <f>'MBG FGD'!$M$38</f>
        <v>0</v>
      </c>
      <c r="Y12" s="669">
        <f>'MBG FGD'!$M$39</f>
        <v>0</v>
      </c>
      <c r="Z12" s="669">
        <f>'MBG FGD'!$M$40</f>
        <v>0</v>
      </c>
      <c r="AA12" s="669">
        <f>'MBG FGD'!$M$41</f>
        <v>-1013453</v>
      </c>
      <c r="AB12" s="708">
        <f>'MBG FGD'!$M$42</f>
        <v>14076804</v>
      </c>
      <c r="AC12" s="709">
        <f>'MBG FGD'!$M$44</f>
        <v>51191427</v>
      </c>
      <c r="AD12" s="705" t="str">
        <f>'MBG FGD'!$P$103</f>
        <v>Joshua Tucker</v>
      </c>
      <c r="AE12" s="275">
        <f>'MBG FGD'!$R$103</f>
        <v>0</v>
      </c>
      <c r="AF12" s="706" t="str">
        <f>'MBG FGD'!$U$103</f>
        <v>joatucker@utmb.edu</v>
      </c>
      <c r="AG12" s="589" t="str">
        <f t="shared" ref="AG12:AG22" si="1">IF(SUM(E12:I12)&lt;&gt;J12,"Error","Balanced")</f>
        <v>Balanced</v>
      </c>
      <c r="AH12" s="589" t="str">
        <f t="shared" ref="AH12:AH22" si="2">IF(SUM(J12:O12)&lt;&gt;P12,"Error","Balanced")</f>
        <v>Balanced</v>
      </c>
      <c r="AI12" s="589" t="str">
        <f t="shared" ref="AI12:AI22" si="3">IF(SUM(Q12:U12)&lt;&gt;V12,"Error","Balanced")</f>
        <v>Balanced</v>
      </c>
      <c r="AJ12" s="589" t="str">
        <f t="shared" ref="AJ12:AJ22" si="4">IF(SUM(V12:AA12)&lt;&gt;AB12,"Error","Balanced")</f>
        <v>Balanced</v>
      </c>
      <c r="AK12" s="589" t="str">
        <f t="shared" ref="AK12:AK22" si="5">IF(P12+AB12&lt;&gt;AC12,"Error","Balanced")</f>
        <v>Balanced</v>
      </c>
    </row>
    <row r="13" spans="1:37">
      <c r="A13" s="282">
        <v>410</v>
      </c>
      <c r="B13" s="692" t="s">
        <v>124</v>
      </c>
      <c r="C13" s="563" t="str">
        <f t="shared" si="0"/>
        <v>FY 22</v>
      </c>
      <c r="D13" s="384" t="s">
        <v>125</v>
      </c>
      <c r="E13" s="707">
        <f>'HSH FGD'!$M$18</f>
        <v>65704517</v>
      </c>
      <c r="F13" s="669">
        <f>'HSH FGD'!$M$19</f>
        <v>-6929564</v>
      </c>
      <c r="G13" s="669">
        <f>'HSH FGD'!$M$20</f>
        <v>0</v>
      </c>
      <c r="H13" s="669">
        <f>'HSH FGD'!$M$21</f>
        <v>0</v>
      </c>
      <c r="I13" s="669">
        <f>'HSH FGD'!$M$22</f>
        <v>0</v>
      </c>
      <c r="J13" s="669">
        <f>'HSH FGD'!$M$23</f>
        <v>58774953</v>
      </c>
      <c r="K13" s="669">
        <f>'HSH FGD'!$M$24</f>
        <v>0</v>
      </c>
      <c r="L13" s="669">
        <f>'HSH FGD'!$M$25</f>
        <v>0</v>
      </c>
      <c r="M13" s="669">
        <f>'HSH FGD'!$M$26</f>
        <v>-790644</v>
      </c>
      <c r="N13" s="669">
        <f>'HSH FGD'!$M$27</f>
        <v>0</v>
      </c>
      <c r="O13" s="669">
        <f>'HSH FGD'!$M$28</f>
        <v>-767661</v>
      </c>
      <c r="P13" s="669">
        <f>'HSH FGD'!$M$29</f>
        <v>57216648</v>
      </c>
      <c r="Q13" s="707">
        <f>'HSH FGD'!$M$31</f>
        <v>14861073</v>
      </c>
      <c r="R13" s="669">
        <f>'HSH FGD'!$M$32</f>
        <v>0</v>
      </c>
      <c r="S13" s="669">
        <f>'HSH FGD'!$M$33</f>
        <v>0</v>
      </c>
      <c r="T13" s="669">
        <f>'HSH FGD'!$M$34</f>
        <v>0</v>
      </c>
      <c r="U13" s="669">
        <f>'HSH FGD'!$M$35</f>
        <v>0</v>
      </c>
      <c r="V13" s="669">
        <f>'HSH FGD'!$M$36</f>
        <v>14861073</v>
      </c>
      <c r="W13" s="669">
        <f>'HSH FGD'!$M$37</f>
        <v>0</v>
      </c>
      <c r="X13" s="669">
        <f>'HSH FGD'!$M$38</f>
        <v>0</v>
      </c>
      <c r="Y13" s="669">
        <f>'HSH FGD'!$M$39</f>
        <v>-260770</v>
      </c>
      <c r="Z13" s="669">
        <f>'HSH FGD'!$M$40</f>
        <v>0</v>
      </c>
      <c r="AA13" s="669">
        <f>'HSH FGD'!$M$41</f>
        <v>-20579</v>
      </c>
      <c r="AB13" s="708">
        <f>'HSH FGD'!$M$42</f>
        <v>14579724</v>
      </c>
      <c r="AC13" s="709">
        <f>'HSH FGD'!$M$44</f>
        <v>71796372</v>
      </c>
      <c r="AD13" s="705" t="str">
        <f>'HSH FGD'!$P$103</f>
        <v>Scott Barnett</v>
      </c>
      <c r="AE13" s="275" t="str">
        <f>'HSH FGD'!$R$103</f>
        <v>713-500-4915</v>
      </c>
      <c r="AF13" s="706" t="str">
        <f>'HSH FGD'!$U$103</f>
        <v>Scott.Barnett@uth.tmc.edu</v>
      </c>
      <c r="AG13" s="589" t="str">
        <f t="shared" si="1"/>
        <v>Balanced</v>
      </c>
      <c r="AH13" s="589" t="str">
        <f t="shared" si="2"/>
        <v>Balanced</v>
      </c>
      <c r="AI13" s="589" t="str">
        <f t="shared" si="3"/>
        <v>Balanced</v>
      </c>
      <c r="AJ13" s="589" t="str">
        <f t="shared" si="4"/>
        <v>Balanced</v>
      </c>
      <c r="AK13" s="589" t="str">
        <f t="shared" si="5"/>
        <v>Balanced</v>
      </c>
    </row>
    <row r="14" spans="1:37">
      <c r="A14" s="282">
        <v>420</v>
      </c>
      <c r="B14" s="692" t="s">
        <v>113</v>
      </c>
      <c r="C14" s="563" t="str">
        <f t="shared" si="0"/>
        <v>FY 22</v>
      </c>
      <c r="D14" s="384" t="s">
        <v>114</v>
      </c>
      <c r="E14" s="707">
        <f>'HSSA FGD'!$M$18</f>
        <v>59445336</v>
      </c>
      <c r="F14" s="669">
        <f>'HSSA FGD'!$M$19</f>
        <v>-3430208</v>
      </c>
      <c r="G14" s="669">
        <f>'HSSA FGD'!$M$20</f>
        <v>0</v>
      </c>
      <c r="H14" s="669">
        <f>'HSSA FGD'!$M$21</f>
        <v>0</v>
      </c>
      <c r="I14" s="669">
        <f>'HSSA FGD'!$M$22</f>
        <v>0</v>
      </c>
      <c r="J14" s="669">
        <f>'HSSA FGD'!$M$23</f>
        <v>56015128</v>
      </c>
      <c r="K14" s="669">
        <f>'HSSA FGD'!$M$24</f>
        <v>0</v>
      </c>
      <c r="L14" s="669">
        <f>'HSSA FGD'!$M$25</f>
        <v>0</v>
      </c>
      <c r="M14" s="669">
        <f>'HSSA FGD'!$M$26</f>
        <v>-1437643</v>
      </c>
      <c r="N14" s="669">
        <f>'HSSA FGD'!$M$27</f>
        <v>0</v>
      </c>
      <c r="O14" s="669">
        <f>'HSSA FGD'!$M$28</f>
        <v>-1691463</v>
      </c>
      <c r="P14" s="669">
        <f>'HSSA FGD'!$M$29</f>
        <v>52886022</v>
      </c>
      <c r="Q14" s="707">
        <f>'HSSA FGD'!$M$31</f>
        <v>3100750</v>
      </c>
      <c r="R14" s="669">
        <f>'HSSA FGD'!$M$32</f>
        <v>0</v>
      </c>
      <c r="S14" s="669">
        <f>'HSSA FGD'!$M$33</f>
        <v>0</v>
      </c>
      <c r="T14" s="669">
        <f>'HSSA FGD'!$M$34</f>
        <v>0</v>
      </c>
      <c r="U14" s="669">
        <f>'HSSA FGD'!$M$35</f>
        <v>0</v>
      </c>
      <c r="V14" s="669">
        <f>'HSSA FGD'!$M$36</f>
        <v>3100750</v>
      </c>
      <c r="W14" s="669">
        <f>'HSSA FGD'!$M$37</f>
        <v>0</v>
      </c>
      <c r="X14" s="669">
        <f>'HSSA FGD'!$M$38</f>
        <v>0</v>
      </c>
      <c r="Y14" s="669">
        <f>'HSSA FGD'!$M$39</f>
        <v>-159738</v>
      </c>
      <c r="Z14" s="669">
        <f>'HSSA FGD'!$M$40</f>
        <v>0</v>
      </c>
      <c r="AA14" s="669">
        <f>'HSSA FGD'!$M$41</f>
        <v>-187940</v>
      </c>
      <c r="AB14" s="708">
        <f>'HSSA FGD'!$M$42</f>
        <v>2753072</v>
      </c>
      <c r="AC14" s="709">
        <f>'HSSA FGD'!$M$44</f>
        <v>55639094</v>
      </c>
      <c r="AD14" s="705" t="str">
        <f>'HSSA FGD'!$P$103</f>
        <v>Yinwen Li</v>
      </c>
      <c r="AE14" s="275" t="str">
        <f>'HSSA FGD'!$R$103</f>
        <v>210-562-6268</v>
      </c>
      <c r="AF14" s="706" t="str">
        <f>'HSSA FGD'!$U$103</f>
        <v>liy2@uthscsa.edu</v>
      </c>
      <c r="AG14" s="589" t="str">
        <f t="shared" si="1"/>
        <v>Balanced</v>
      </c>
      <c r="AH14" s="589" t="str">
        <f t="shared" si="2"/>
        <v>Balanced</v>
      </c>
      <c r="AI14" s="589" t="str">
        <f t="shared" si="3"/>
        <v>Balanced</v>
      </c>
      <c r="AJ14" s="589" t="str">
        <f t="shared" si="4"/>
        <v>Balanced</v>
      </c>
      <c r="AK14" s="589" t="str">
        <f t="shared" si="5"/>
        <v>Balanced</v>
      </c>
    </row>
    <row r="15" spans="1:37">
      <c r="A15" s="282">
        <v>430</v>
      </c>
      <c r="B15" s="692" t="s">
        <v>126</v>
      </c>
      <c r="C15" s="563" t="str">
        <f t="shared" si="0"/>
        <v>FY 22</v>
      </c>
      <c r="D15" s="384" t="s">
        <v>127</v>
      </c>
      <c r="E15" s="707">
        <f>'MDA FGD'!$M$18</f>
        <v>1736678</v>
      </c>
      <c r="F15" s="669">
        <f>'MDA FGD'!$M$19</f>
        <v>-245732</v>
      </c>
      <c r="G15" s="669">
        <f>'MDA FGD'!$M$20</f>
        <v>0</v>
      </c>
      <c r="H15" s="669">
        <f>'MDA FGD'!$M$21</f>
        <v>0</v>
      </c>
      <c r="I15" s="669">
        <f>'MDA FGD'!$M$22</f>
        <v>0</v>
      </c>
      <c r="J15" s="669">
        <f>'MDA FGD'!$M$23</f>
        <v>1490946</v>
      </c>
      <c r="K15" s="669">
        <f>'MDA FGD'!$M$24</f>
        <v>0</v>
      </c>
      <c r="L15" s="669">
        <f>'MDA FGD'!$M$25</f>
        <v>0</v>
      </c>
      <c r="M15" s="669">
        <f>'MDA FGD'!$M$26</f>
        <v>-1200</v>
      </c>
      <c r="N15" s="669">
        <f>'MDA FGD'!$M$27</f>
        <v>-1507</v>
      </c>
      <c r="O15" s="669">
        <f>'MDA FGD'!$M$28</f>
        <v>0</v>
      </c>
      <c r="P15" s="669">
        <f>'MDA FGD'!$M$29</f>
        <v>1488239</v>
      </c>
      <c r="Q15" s="707">
        <f>'MDA FGD'!$M$31</f>
        <v>346459</v>
      </c>
      <c r="R15" s="669">
        <f>'MDA FGD'!$M$32</f>
        <v>0</v>
      </c>
      <c r="S15" s="669">
        <f>'MDA FGD'!$M$33</f>
        <v>0</v>
      </c>
      <c r="T15" s="669">
        <f>'MDA FGD'!$M$34</f>
        <v>0</v>
      </c>
      <c r="U15" s="669">
        <f>'MDA FGD'!$M$35</f>
        <v>0</v>
      </c>
      <c r="V15" s="669">
        <f>'MDA FGD'!$M$36</f>
        <v>346459</v>
      </c>
      <c r="W15" s="669">
        <f>'MDA FGD'!$M$37</f>
        <v>0</v>
      </c>
      <c r="X15" s="669">
        <f>'MDA FGD'!$M$38</f>
        <v>0</v>
      </c>
      <c r="Y15" s="669">
        <f>'MDA FGD'!$M$39</f>
        <v>0</v>
      </c>
      <c r="Z15" s="669">
        <f>'MDA FGD'!$M$40</f>
        <v>-838</v>
      </c>
      <c r="AA15" s="669">
        <f>'MDA FGD'!$M$41</f>
        <v>0</v>
      </c>
      <c r="AB15" s="708">
        <f>'MDA FGD'!$M$42</f>
        <v>345621</v>
      </c>
      <c r="AC15" s="709">
        <f>'MDA FGD'!$M$44</f>
        <v>1833860</v>
      </c>
      <c r="AD15" s="705" t="str">
        <f>'MDA FGD'!$P$103</f>
        <v>Duy</v>
      </c>
      <c r="AE15" s="275" t="str">
        <f>'MDA FGD'!$R$103</f>
        <v>713-745-8630</v>
      </c>
      <c r="AF15" s="706" t="str">
        <f>'MDA FGD'!$U$103</f>
        <v>ddtran2@mdanderson.org</v>
      </c>
      <c r="AG15" s="589" t="str">
        <f t="shared" si="1"/>
        <v>Balanced</v>
      </c>
      <c r="AH15" s="589" t="str">
        <f t="shared" si="2"/>
        <v>Balanced</v>
      </c>
      <c r="AI15" s="589" t="str">
        <f t="shared" si="3"/>
        <v>Balanced</v>
      </c>
      <c r="AJ15" s="589" t="str">
        <f t="shared" si="4"/>
        <v>Balanced</v>
      </c>
      <c r="AK15" s="589" t="str">
        <f t="shared" si="5"/>
        <v>Balanced</v>
      </c>
    </row>
    <row r="16" spans="1:37">
      <c r="A16" s="282">
        <v>440</v>
      </c>
      <c r="B16" s="562">
        <v>42439</v>
      </c>
      <c r="C16" s="563" t="str">
        <f t="shared" si="0"/>
        <v>FY 22</v>
      </c>
      <c r="D16" s="384" t="s">
        <v>120</v>
      </c>
      <c r="E16" s="707">
        <f>'THC FGD'!$M$18</f>
        <v>548210</v>
      </c>
      <c r="F16" s="669">
        <f>'THC FGD'!$M$19</f>
        <v>0</v>
      </c>
      <c r="G16" s="669">
        <f>'THC FGD'!$M$20</f>
        <v>0</v>
      </c>
      <c r="H16" s="669">
        <f>'THC FGD'!$M$21</f>
        <v>0</v>
      </c>
      <c r="I16" s="669">
        <f>'THC FGD'!$M$22</f>
        <v>0</v>
      </c>
      <c r="J16" s="669">
        <f>'THC FGD'!$M$23</f>
        <v>548210</v>
      </c>
      <c r="K16" s="669">
        <f>'THC FGD'!$M$24</f>
        <v>0</v>
      </c>
      <c r="L16" s="669">
        <f>'THC FGD'!$M$25</f>
        <v>0</v>
      </c>
      <c r="M16" s="669">
        <f>'THC FGD'!$M$26</f>
        <v>0</v>
      </c>
      <c r="N16" s="669">
        <f>'THC FGD'!$M$27</f>
        <v>0</v>
      </c>
      <c r="O16" s="669">
        <f>'THC FGD'!$M$28</f>
        <v>0</v>
      </c>
      <c r="P16" s="669">
        <f>'THC FGD'!$M$29</f>
        <v>548210</v>
      </c>
      <c r="Q16" s="707">
        <f>'THC FGD'!$M$31</f>
        <v>97102</v>
      </c>
      <c r="R16" s="669">
        <f>'THC FGD'!$M$32</f>
        <v>0</v>
      </c>
      <c r="S16" s="669">
        <f>'THC FGD'!$M$33</f>
        <v>0</v>
      </c>
      <c r="T16" s="669">
        <f>'THC FGD'!$M$34</f>
        <v>0</v>
      </c>
      <c r="U16" s="669">
        <f>'THC FGD'!$M$35</f>
        <v>0</v>
      </c>
      <c r="V16" s="669">
        <f>'THC FGD'!$M$36</f>
        <v>97102</v>
      </c>
      <c r="W16" s="669">
        <f>'THC FGD'!$M$37</f>
        <v>0</v>
      </c>
      <c r="X16" s="669">
        <f>'THC FGD'!$M$38</f>
        <v>0</v>
      </c>
      <c r="Y16" s="669">
        <f>'THC FGD'!$M$39</f>
        <v>0</v>
      </c>
      <c r="Z16" s="669">
        <f>'THC FGD'!$M$40</f>
        <v>0</v>
      </c>
      <c r="AA16" s="669">
        <f>'THC FGD'!$M$41</f>
        <v>0</v>
      </c>
      <c r="AB16" s="708">
        <f>'THC FGD'!$M$42</f>
        <v>97102</v>
      </c>
      <c r="AC16" s="709">
        <f>'THC FGD'!$M$44</f>
        <v>645312</v>
      </c>
      <c r="AD16" s="705" t="str">
        <f>'THC FGD'!$P$103</f>
        <v>Bob Armstrong</v>
      </c>
      <c r="AE16" s="275" t="str">
        <f>'THC FGD'!$R$103</f>
        <v>903-877-7710</v>
      </c>
      <c r="AF16" s="706" t="str">
        <f>'THC FGD'!$U$103</f>
        <v>bob.armstrong@uthct.edu</v>
      </c>
      <c r="AG16" s="589" t="str">
        <f t="shared" si="1"/>
        <v>Balanced</v>
      </c>
      <c r="AH16" s="589" t="str">
        <f t="shared" si="2"/>
        <v>Balanced</v>
      </c>
      <c r="AI16" s="589" t="str">
        <f t="shared" si="3"/>
        <v>Balanced</v>
      </c>
      <c r="AJ16" s="589" t="str">
        <f t="shared" si="4"/>
        <v>Balanced</v>
      </c>
      <c r="AK16" s="589" t="str">
        <f t="shared" si="5"/>
        <v>Balanced</v>
      </c>
    </row>
    <row r="17" spans="1:37">
      <c r="A17" s="282">
        <v>450</v>
      </c>
      <c r="B17" s="692" t="s">
        <v>115</v>
      </c>
      <c r="C17" s="563" t="str">
        <f t="shared" si="0"/>
        <v>FY 22</v>
      </c>
      <c r="D17" s="384" t="s">
        <v>116</v>
      </c>
      <c r="E17" s="707">
        <f>'TAMHSC FGD'!$M$18</f>
        <v>41709536</v>
      </c>
      <c r="F17" s="669">
        <f>'TAMHSC FGD'!$M$19</f>
        <v>-2560450</v>
      </c>
      <c r="G17" s="669">
        <f>'TAMHSC FGD'!$M$20</f>
        <v>0</v>
      </c>
      <c r="H17" s="669">
        <f>'TAMHSC FGD'!$M$21</f>
        <v>0</v>
      </c>
      <c r="I17" s="669">
        <f>'TAMHSC FGD'!$M$22</f>
        <v>0</v>
      </c>
      <c r="J17" s="669">
        <f>'TAMHSC FGD'!$M$23</f>
        <v>39149086</v>
      </c>
      <c r="K17" s="669">
        <f>'TAMHSC FGD'!$M$24</f>
        <v>0</v>
      </c>
      <c r="L17" s="669">
        <f>'TAMHSC FGD'!$M$25</f>
        <v>0</v>
      </c>
      <c r="M17" s="669">
        <f>'TAMHSC FGD'!$M$26</f>
        <v>-1165135</v>
      </c>
      <c r="N17" s="669">
        <f>'TAMHSC FGD'!$M$27</f>
        <v>0</v>
      </c>
      <c r="O17" s="669">
        <f>'TAMHSC FGD'!$M$28</f>
        <v>-2211786</v>
      </c>
      <c r="P17" s="669">
        <f>'TAMHSC FGD'!$M$29</f>
        <v>35772165</v>
      </c>
      <c r="Q17" s="707">
        <f>'TAMHSC FGD'!$M$31</f>
        <v>20009607</v>
      </c>
      <c r="R17" s="669">
        <f>'TAMHSC FGD'!$M$32</f>
        <v>0</v>
      </c>
      <c r="S17" s="669">
        <f>'TAMHSC FGD'!$M$33</f>
        <v>0</v>
      </c>
      <c r="T17" s="669">
        <f>'TAMHSC FGD'!$M$34</f>
        <v>0</v>
      </c>
      <c r="U17" s="669">
        <f>'TAMHSC FGD'!$M$35</f>
        <v>0</v>
      </c>
      <c r="V17" s="669">
        <f>'TAMHSC FGD'!$M$36</f>
        <v>20009607</v>
      </c>
      <c r="W17" s="669">
        <f>'TAMHSC FGD'!$M$37</f>
        <v>0</v>
      </c>
      <c r="X17" s="669">
        <f>'TAMHSC FGD'!$M$38</f>
        <v>0</v>
      </c>
      <c r="Y17" s="669">
        <f>'TAMHSC FGD'!$M$39</f>
        <v>-419820</v>
      </c>
      <c r="Z17" s="669">
        <f>'TAMHSC FGD'!$M$40</f>
        <v>0</v>
      </c>
      <c r="AA17" s="669">
        <f>'TAMHSC FGD'!$M$41</f>
        <v>-1306169</v>
      </c>
      <c r="AB17" s="708">
        <f>'TAMHSC FGD'!$M$42</f>
        <v>18283618</v>
      </c>
      <c r="AC17" s="709">
        <f>'TAMHSC FGD'!$M$44</f>
        <v>54055783</v>
      </c>
      <c r="AD17" s="705" t="str">
        <f>'TAMHSC FGD'!$P$103</f>
        <v>Tracy Crowley</v>
      </c>
      <c r="AE17" s="275" t="str">
        <f>'TAMHSC FGD'!$R$103</f>
        <v>979-458-6077</v>
      </c>
      <c r="AF17" s="706" t="str">
        <f>'TAMHSC FGD'!$U$103</f>
        <v>tcrowley@tamus.edu</v>
      </c>
      <c r="AG17" s="589" t="str">
        <f t="shared" si="1"/>
        <v>Balanced</v>
      </c>
      <c r="AH17" s="589" t="str">
        <f t="shared" si="2"/>
        <v>Balanced</v>
      </c>
      <c r="AI17" s="589" t="str">
        <f t="shared" si="3"/>
        <v>Balanced</v>
      </c>
      <c r="AJ17" s="589" t="str">
        <f t="shared" si="4"/>
        <v>Balanced</v>
      </c>
      <c r="AK17" s="589" t="str">
        <f t="shared" si="5"/>
        <v>Balanced</v>
      </c>
    </row>
    <row r="18" spans="1:37">
      <c r="A18" s="282">
        <v>460</v>
      </c>
      <c r="B18" s="692" t="s">
        <v>117</v>
      </c>
      <c r="C18" s="563" t="str">
        <f t="shared" si="0"/>
        <v>FY 22</v>
      </c>
      <c r="D18" s="384" t="s">
        <v>118</v>
      </c>
      <c r="E18" s="707">
        <f>'UNTHSC1 FGD'!$M$18</f>
        <v>27643073</v>
      </c>
      <c r="F18" s="669">
        <f>'UNTHSC1 FGD'!$M$19</f>
        <v>0</v>
      </c>
      <c r="G18" s="669">
        <f>'UNTHSC1 FGD'!$M$20</f>
        <v>-2204182</v>
      </c>
      <c r="H18" s="669">
        <f>'UNTHSC1 FGD'!$M$21</f>
        <v>0</v>
      </c>
      <c r="I18" s="669">
        <f>'UNTHSC1 FGD'!$M$22</f>
        <v>0</v>
      </c>
      <c r="J18" s="669">
        <f>'UNTHSC1 FGD'!$M$23</f>
        <v>25438891</v>
      </c>
      <c r="K18" s="669">
        <f>'UNTHSC1 FGD'!$M$24</f>
        <v>0</v>
      </c>
      <c r="L18" s="669">
        <f>'UNTHSC1 FGD'!$M$25</f>
        <v>0</v>
      </c>
      <c r="M18" s="669">
        <f>'UNTHSC1 FGD'!$M$26</f>
        <v>0</v>
      </c>
      <c r="N18" s="669">
        <f>'UNTHSC1 FGD'!$M$27</f>
        <v>0</v>
      </c>
      <c r="O18" s="669">
        <f>'UNTHSC1 FGD'!$M$28</f>
        <v>-2268454</v>
      </c>
      <c r="P18" s="669">
        <f>'UNTHSC1 FGD'!$M$29</f>
        <v>23170437</v>
      </c>
      <c r="Q18" s="707">
        <f>'UNTHSC1 FGD'!$M$31</f>
        <v>11896207</v>
      </c>
      <c r="R18" s="669">
        <f>'UNTHSC1 FGD'!$M$32</f>
        <v>0</v>
      </c>
      <c r="S18" s="669">
        <f>'UNTHSC1 FGD'!$M$33</f>
        <v>0</v>
      </c>
      <c r="T18" s="669">
        <f>'UNTHSC1 FGD'!$M$34</f>
        <v>0</v>
      </c>
      <c r="U18" s="669">
        <f>'UNTHSC1 FGD'!$M$35</f>
        <v>0</v>
      </c>
      <c r="V18" s="669">
        <f>'UNTHSC1 FGD'!$M$36</f>
        <v>11896207</v>
      </c>
      <c r="W18" s="669">
        <f>'UNTHSC1 FGD'!$M$37</f>
        <v>0</v>
      </c>
      <c r="X18" s="669">
        <f>'UNTHSC1 FGD'!$M$38</f>
        <v>0</v>
      </c>
      <c r="Y18" s="669">
        <f>'UNTHSC1 FGD'!$M$39</f>
        <v>0</v>
      </c>
      <c r="Z18" s="669">
        <f>'UNTHSC1 FGD'!$M$40</f>
        <v>0</v>
      </c>
      <c r="AA18" s="669">
        <f>'UNTHSC1 FGD'!$M$41</f>
        <v>-588832</v>
      </c>
      <c r="AB18" s="708">
        <f>'UNTHSC1 FGD'!$M$42</f>
        <v>11307375</v>
      </c>
      <c r="AC18" s="709">
        <f>'UNTHSC1 FGD'!$M$44</f>
        <v>34477812</v>
      </c>
      <c r="AD18" s="705" t="str">
        <f>'UNTHSC1 FGD'!$P$103</f>
        <v>Julie Meisinger</v>
      </c>
      <c r="AE18" s="275" t="str">
        <f>'UNTHSC1 FGD'!$R$103</f>
        <v>817-735-2609</v>
      </c>
      <c r="AF18" s="706" t="str">
        <f>'UNTHSC1 FGD'!$U$103</f>
        <v>julie.meisinger@unthsc.edu</v>
      </c>
      <c r="AG18" s="589" t="str">
        <f t="shared" si="1"/>
        <v>Balanced</v>
      </c>
      <c r="AH18" s="589" t="str">
        <f t="shared" si="2"/>
        <v>Balanced</v>
      </c>
      <c r="AI18" s="589" t="str">
        <f t="shared" si="3"/>
        <v>Balanced</v>
      </c>
      <c r="AJ18" s="589" t="str">
        <f t="shared" si="4"/>
        <v>Balanced</v>
      </c>
      <c r="AK18" s="589" t="str">
        <f t="shared" si="5"/>
        <v>Balanced</v>
      </c>
    </row>
    <row r="19" spans="1:37">
      <c r="A19" s="282">
        <v>470</v>
      </c>
      <c r="B19" s="562">
        <v>412</v>
      </c>
      <c r="C19" s="563" t="str">
        <f t="shared" si="0"/>
        <v>FY 22</v>
      </c>
      <c r="D19" s="384" t="s">
        <v>123</v>
      </c>
      <c r="E19" s="707">
        <f>'TTUHSC FGD'!$M$18</f>
        <v>56534052</v>
      </c>
      <c r="F19" s="669">
        <f>'TTUHSC FGD'!$M$19</f>
        <v>-3793657</v>
      </c>
      <c r="G19" s="669">
        <f>'TTUHSC FGD'!$M$20</f>
        <v>0</v>
      </c>
      <c r="H19" s="669">
        <f>'TTUHSC FGD'!$M$21</f>
        <v>0</v>
      </c>
      <c r="I19" s="669">
        <f>'TTUHSC FGD'!$M$22</f>
        <v>0</v>
      </c>
      <c r="J19" s="669">
        <f>'TTUHSC FGD'!$M$23</f>
        <v>52740395</v>
      </c>
      <c r="K19" s="669">
        <f>'TTUHSC FGD'!$M$24</f>
        <v>0</v>
      </c>
      <c r="L19" s="669">
        <f>'TTUHSC FGD'!$M$25</f>
        <v>0</v>
      </c>
      <c r="M19" s="669">
        <f>'TTUHSC FGD'!$M$26</f>
        <v>-1501907</v>
      </c>
      <c r="N19" s="669">
        <f>'TTUHSC FGD'!$M$27</f>
        <v>0</v>
      </c>
      <c r="O19" s="669">
        <f>'TTUHSC FGD'!$M$28</f>
        <v>-6785070</v>
      </c>
      <c r="P19" s="669">
        <f>'TTUHSC FGD'!$M$29</f>
        <v>44453418</v>
      </c>
      <c r="Q19" s="707">
        <f>'TTUHSC FGD'!$M$31</f>
        <v>29107003</v>
      </c>
      <c r="R19" s="669">
        <f>'TTUHSC FGD'!$M$32</f>
        <v>0</v>
      </c>
      <c r="S19" s="669">
        <f>'TTUHSC FGD'!$M$33</f>
        <v>0</v>
      </c>
      <c r="T19" s="669">
        <f>'TTUHSC FGD'!$M$34</f>
        <v>0</v>
      </c>
      <c r="U19" s="669">
        <f>'TTUHSC FGD'!$M$35</f>
        <v>0</v>
      </c>
      <c r="V19" s="669">
        <f>'TTUHSC FGD'!$M$36</f>
        <v>29107003</v>
      </c>
      <c r="W19" s="669">
        <f>'TTUHSC FGD'!$M$37</f>
        <v>0</v>
      </c>
      <c r="X19" s="669">
        <f>'TTUHSC FGD'!$M$38</f>
        <v>0</v>
      </c>
      <c r="Y19" s="669">
        <f>'TTUHSC FGD'!$M$39</f>
        <v>-2040556</v>
      </c>
      <c r="Z19" s="669">
        <f>'TTUHSC FGD'!$M$40</f>
        <v>0</v>
      </c>
      <c r="AA19" s="669">
        <f>'TTUHSC FGD'!$M$41</f>
        <v>0</v>
      </c>
      <c r="AB19" s="708">
        <f>'TTUHSC FGD'!$M$42</f>
        <v>27066447</v>
      </c>
      <c r="AC19" s="709">
        <f>'TTUHSC FGD'!$M$44</f>
        <v>71519865</v>
      </c>
      <c r="AD19" s="705" t="str">
        <f>'TTUHSC FGD'!$P$103</f>
        <v>Rebecca Aguilar</v>
      </c>
      <c r="AE19" s="275" t="str">
        <f>'TTUHSC FGD'!$R$103</f>
        <v>806-743-7381</v>
      </c>
      <c r="AF19" s="706" t="str">
        <f>'TTUHSC FGD'!$U$103</f>
        <v>rebecca.aguilar@ttuhsc.edu</v>
      </c>
      <c r="AG19" s="589" t="str">
        <f t="shared" si="1"/>
        <v>Balanced</v>
      </c>
      <c r="AH19" s="589" t="str">
        <f t="shared" si="2"/>
        <v>Balanced</v>
      </c>
      <c r="AI19" s="589" t="str">
        <f t="shared" si="3"/>
        <v>Balanced</v>
      </c>
      <c r="AJ19" s="589" t="str">
        <f t="shared" si="4"/>
        <v>Balanced</v>
      </c>
      <c r="AK19" s="589" t="str">
        <f t="shared" si="5"/>
        <v>Balanced</v>
      </c>
    </row>
    <row r="20" spans="1:37">
      <c r="A20" s="282">
        <v>480</v>
      </c>
      <c r="B20" s="562">
        <v>862</v>
      </c>
      <c r="C20" s="563" t="str">
        <f t="shared" si="0"/>
        <v>FY 22</v>
      </c>
      <c r="D20" s="384" t="s">
        <v>243</v>
      </c>
      <c r="E20" s="707">
        <f>'TTUHSCEP FGD'!$M$18</f>
        <v>11495550</v>
      </c>
      <c r="F20" s="669">
        <f>'TTUHSCEP FGD'!$M$19</f>
        <v>-238280</v>
      </c>
      <c r="G20" s="669">
        <f>'TTUHSCEP FGD'!$M$20</f>
        <v>0</v>
      </c>
      <c r="H20" s="669">
        <f>'TTUHSCEP FGD'!$M$21</f>
        <v>0</v>
      </c>
      <c r="I20" s="669">
        <f>'TTUHSCEP FGD'!$M$22</f>
        <v>0</v>
      </c>
      <c r="J20" s="669">
        <f>'TTUHSCEP FGD'!$M$23</f>
        <v>11257270</v>
      </c>
      <c r="K20" s="669">
        <f>'TTUHSCEP FGD'!$M$24</f>
        <v>0</v>
      </c>
      <c r="L20" s="669">
        <f>'TTUHSCEP FGD'!$M$25</f>
        <v>0</v>
      </c>
      <c r="M20" s="669">
        <f>'TTUHSCEP FGD'!$M$26</f>
        <v>-208434</v>
      </c>
      <c r="N20" s="669">
        <f>'TTUHSCEP FGD'!$M$27</f>
        <v>0</v>
      </c>
      <c r="O20" s="669">
        <f>'TTUHSCEP FGD'!$M$28</f>
        <v>-2617805</v>
      </c>
      <c r="P20" s="669">
        <f>'TTUHSCEP FGD'!$M$29</f>
        <v>8431031</v>
      </c>
      <c r="Q20" s="707">
        <f>'TTUHSCEP FGD'!$M$31</f>
        <v>4954136</v>
      </c>
      <c r="R20" s="669">
        <f>'TTUHSCEP FGD'!$M$32</f>
        <v>0</v>
      </c>
      <c r="S20" s="669">
        <f>'TTUHSCEP FGD'!$M$33</f>
        <v>0</v>
      </c>
      <c r="T20" s="669">
        <f>'TTUHSCEP FGD'!$M$34</f>
        <v>0</v>
      </c>
      <c r="U20" s="669">
        <f>'TTUHSCEP FGD'!$M$35</f>
        <v>0</v>
      </c>
      <c r="V20" s="669">
        <f>'TTUHSCEP FGD'!$M$36</f>
        <v>4954136</v>
      </c>
      <c r="W20" s="669">
        <f>'TTUHSCEP FGD'!$M$37</f>
        <v>0</v>
      </c>
      <c r="X20" s="669">
        <f>'TTUHSCEP FGD'!$M$38</f>
        <v>0</v>
      </c>
      <c r="Y20" s="669">
        <f>'TTUHSCEP FGD'!$M$39</f>
        <v>-128175</v>
      </c>
      <c r="Z20" s="669">
        <f>'TTUHSCEP FGD'!$M$40</f>
        <v>0</v>
      </c>
      <c r="AA20" s="669">
        <f>'TTUHSCEP FGD'!$M$41</f>
        <v>0</v>
      </c>
      <c r="AB20" s="708">
        <f>'TTUHSCEP FGD'!$M$42</f>
        <v>4825961</v>
      </c>
      <c r="AC20" s="709">
        <f>'TTUHSCEP FGD'!$M$44</f>
        <v>13256992</v>
      </c>
      <c r="AD20" s="705" t="str">
        <f>'TTUHSCEP FGD'!$P$103</f>
        <v xml:space="preserve">Robert Ortega </v>
      </c>
      <c r="AE20" s="275" t="str">
        <f>'TTUHSCEP FGD'!$R$103</f>
        <v>(915) 215 - 4378</v>
      </c>
      <c r="AF20" s="706" t="str">
        <f>'TTUHSCEP FGD'!$U$103</f>
        <v>Robert.ortega@ttuhsc.edu</v>
      </c>
      <c r="AG20" s="589" t="str">
        <f t="shared" si="1"/>
        <v>Balanced</v>
      </c>
      <c r="AH20" s="589" t="str">
        <f t="shared" si="2"/>
        <v>Balanced</v>
      </c>
      <c r="AI20" s="589" t="str">
        <f t="shared" si="3"/>
        <v>Balanced</v>
      </c>
      <c r="AJ20" s="589" t="str">
        <f t="shared" si="4"/>
        <v>Balanced</v>
      </c>
      <c r="AK20" s="589" t="str">
        <f t="shared" si="5"/>
        <v>Balanced</v>
      </c>
    </row>
    <row r="21" spans="1:37">
      <c r="A21" s="282">
        <v>500</v>
      </c>
      <c r="B21" s="562">
        <v>203658</v>
      </c>
      <c r="C21" s="563" t="str">
        <f t="shared" si="0"/>
        <v>FY 22</v>
      </c>
      <c r="D21" s="384" t="s">
        <v>244</v>
      </c>
      <c r="E21" s="707">
        <f>'AUSM FGD'!$M$18</f>
        <v>3803301</v>
      </c>
      <c r="F21" s="669">
        <f>'AUSM FGD'!$M$19</f>
        <v>0</v>
      </c>
      <c r="G21" s="669">
        <f>'AUSM FGD'!$M$20</f>
        <v>0</v>
      </c>
      <c r="H21" s="669">
        <f>'AUSM FGD'!$M$21</f>
        <v>0</v>
      </c>
      <c r="I21" s="669">
        <f>'AUSM FGD'!$M$22</f>
        <v>0</v>
      </c>
      <c r="J21" s="669">
        <f>'AUSM FGD'!$M$23</f>
        <v>3803301</v>
      </c>
      <c r="K21" s="669">
        <f>'AUSM FGD'!$M$24</f>
        <v>0</v>
      </c>
      <c r="L21" s="669">
        <f>'AUSM FGD'!$M$25</f>
        <v>0</v>
      </c>
      <c r="M21" s="669">
        <f>'AUSM FGD'!$M$26</f>
        <v>0</v>
      </c>
      <c r="N21" s="669">
        <f>'AUSM FGD'!$M$27</f>
        <v>0</v>
      </c>
      <c r="O21" s="669">
        <f>'AUSM FGD'!$M$28</f>
        <v>-380153</v>
      </c>
      <c r="P21" s="669">
        <f>'AUSM FGD'!$M$29</f>
        <v>3423148</v>
      </c>
      <c r="Q21" s="707">
        <f>'AUSM FGD'!$M$31</f>
        <v>1157497</v>
      </c>
      <c r="R21" s="669">
        <f>'AUSM FGD'!$M$32</f>
        <v>0</v>
      </c>
      <c r="S21" s="669">
        <f>'AUSM FGD'!$M$33</f>
        <v>0</v>
      </c>
      <c r="T21" s="669">
        <f>'AUSM FGD'!$M$34</f>
        <v>0</v>
      </c>
      <c r="U21" s="669">
        <f>'AUSM FGD'!$M$35</f>
        <v>0</v>
      </c>
      <c r="V21" s="669">
        <f>'AUSM FGD'!$M$36</f>
        <v>1157497</v>
      </c>
      <c r="W21" s="669">
        <f>'AUSM FGD'!$M$37</f>
        <v>0</v>
      </c>
      <c r="X21" s="669">
        <f>'AUSM FGD'!$M$38</f>
        <v>0</v>
      </c>
      <c r="Y21" s="669">
        <f>'AUSM FGD'!$M$39</f>
        <v>0</v>
      </c>
      <c r="Z21" s="669">
        <f>'AUSM FGD'!$M$40</f>
        <v>0</v>
      </c>
      <c r="AA21" s="669">
        <f>'AUSM FGD'!$M$41</f>
        <v>-1091432</v>
      </c>
      <c r="AB21" s="708">
        <f>'AUSM FGD'!$M$42</f>
        <v>66065</v>
      </c>
      <c r="AC21" s="709">
        <f>'AUSM FGD'!$M$44</f>
        <v>3489213</v>
      </c>
      <c r="AD21" s="710" t="str">
        <f>'AUSM FGD'!$P$103</f>
        <v>Marcy Lowther</v>
      </c>
      <c r="AE21" s="275" t="str">
        <f>'AUSM FGD'!$R$103</f>
        <v>512-471-28008</v>
      </c>
      <c r="AF21" s="706" t="str">
        <f>'AUSM FGD'!$U$103</f>
        <v>mlowther@austin.utexas.edu</v>
      </c>
      <c r="AG21" s="589" t="str">
        <f t="shared" si="1"/>
        <v>Balanced</v>
      </c>
      <c r="AH21" s="589" t="str">
        <f t="shared" si="2"/>
        <v>Balanced</v>
      </c>
      <c r="AI21" s="589" t="str">
        <f t="shared" si="3"/>
        <v>Balanced</v>
      </c>
      <c r="AJ21" s="589" t="str">
        <f t="shared" si="4"/>
        <v>Balanced</v>
      </c>
      <c r="AK21" s="589" t="str">
        <f t="shared" si="5"/>
        <v>Balanced</v>
      </c>
    </row>
    <row r="22" spans="1:37">
      <c r="A22" s="282">
        <v>510</v>
      </c>
      <c r="B22" s="562">
        <v>203599</v>
      </c>
      <c r="C22" s="563" t="str">
        <f t="shared" si="0"/>
        <v>FY 22</v>
      </c>
      <c r="D22" s="384" t="s">
        <v>245</v>
      </c>
      <c r="E22" s="707">
        <f>'RGVM FGD'!$M$18</f>
        <v>3964966</v>
      </c>
      <c r="F22" s="669">
        <f>'RGVM FGD'!$M$19</f>
        <v>-64059</v>
      </c>
      <c r="G22" s="669">
        <f>'RGVM FGD'!$M$20</f>
        <v>0</v>
      </c>
      <c r="H22" s="669">
        <f>'RGVM FGD'!$M$21</f>
        <v>0</v>
      </c>
      <c r="I22" s="669">
        <f>'RGVM FGD'!$M$22</f>
        <v>0</v>
      </c>
      <c r="J22" s="669">
        <f>'RGVM FGD'!$M$23</f>
        <v>3900907</v>
      </c>
      <c r="K22" s="669">
        <f>'RGVM FGD'!$M$24</f>
        <v>0</v>
      </c>
      <c r="L22" s="669">
        <f>'RGVM FGD'!$M$25</f>
        <v>0</v>
      </c>
      <c r="M22" s="669">
        <f>'RGVM FGD'!$M$26</f>
        <v>-77417</v>
      </c>
      <c r="N22" s="669">
        <f>'RGVM FGD'!$M$27</f>
        <v>0</v>
      </c>
      <c r="O22" s="669">
        <f>'RGVM FGD'!$M$28</f>
        <v>-19685</v>
      </c>
      <c r="P22" s="669">
        <f>'RGVM FGD'!$M$29</f>
        <v>3803805</v>
      </c>
      <c r="Q22" s="707">
        <f>'RGVM FGD'!$M$31</f>
        <v>1044013</v>
      </c>
      <c r="R22" s="669">
        <f>'RGVM FGD'!$M$32</f>
        <v>0</v>
      </c>
      <c r="S22" s="669">
        <f>'RGVM FGD'!$M$33</f>
        <v>0</v>
      </c>
      <c r="T22" s="669">
        <f>'RGVM FGD'!$M$34</f>
        <v>0</v>
      </c>
      <c r="U22" s="669">
        <f>'RGVM FGD'!$M$35</f>
        <v>0</v>
      </c>
      <c r="V22" s="669">
        <f>'RGVM FGD'!$M$36</f>
        <v>1044013</v>
      </c>
      <c r="W22" s="669">
        <f>'RGVM FGD'!$M$37</f>
        <v>0</v>
      </c>
      <c r="X22" s="669">
        <f>'RGVM FGD'!$M$38</f>
        <v>0</v>
      </c>
      <c r="Y22" s="669">
        <f>'RGVM FGD'!$M$39</f>
        <v>0</v>
      </c>
      <c r="Z22" s="669">
        <f>'RGVM FGD'!$M$40</f>
        <v>0</v>
      </c>
      <c r="AA22" s="669">
        <f>'RGVM FGD'!$M$41</f>
        <v>-4133</v>
      </c>
      <c r="AB22" s="708">
        <f>'RGVM FGD'!$M$42</f>
        <v>1039880</v>
      </c>
      <c r="AC22" s="709">
        <f>'RGVM FGD'!$M$44</f>
        <v>4843685</v>
      </c>
      <c r="AD22" s="710" t="str">
        <f>'RGVM FGD'!$P$103</f>
        <v>Lilia M. St. Clair</v>
      </c>
      <c r="AE22" s="275" t="str">
        <f>'RGVM FGD'!$R$103</f>
        <v>956-665-7906</v>
      </c>
      <c r="AF22" s="706" t="str">
        <f>'RGVM FGD'!$U$103</f>
        <v>lilia.stclair@utrgv.edu</v>
      </c>
      <c r="AG22" s="589" t="str">
        <f t="shared" si="1"/>
        <v>Balanced</v>
      </c>
      <c r="AH22" s="589" t="str">
        <f t="shared" si="2"/>
        <v>Balanced</v>
      </c>
      <c r="AI22" s="589" t="str">
        <f t="shared" si="3"/>
        <v>Balanced</v>
      </c>
      <c r="AJ22" s="589" t="str">
        <f t="shared" si="4"/>
        <v>Balanced</v>
      </c>
      <c r="AK22" s="589" t="str">
        <f t="shared" si="5"/>
        <v>Balanced</v>
      </c>
    </row>
    <row r="23" spans="1:37">
      <c r="A23" s="282">
        <v>520</v>
      </c>
      <c r="B23" s="562">
        <v>203652</v>
      </c>
      <c r="C23" s="563" t="str">
        <f t="shared" si="0"/>
        <v>FY 22</v>
      </c>
      <c r="D23" s="384" t="s">
        <v>31</v>
      </c>
      <c r="E23" s="707">
        <f>'UHM FGD'!$M$18</f>
        <v>1159477</v>
      </c>
      <c r="F23" s="669">
        <f>'UHM FGD'!$M$19</f>
        <v>0</v>
      </c>
      <c r="G23" s="669">
        <f>'UHM FGD'!$M$20</f>
        <v>0</v>
      </c>
      <c r="H23" s="669">
        <f>'UHM FGD'!$M$21</f>
        <v>0</v>
      </c>
      <c r="I23" s="669">
        <f>'UHM FGD'!$M$22</f>
        <v>0</v>
      </c>
      <c r="J23" s="669">
        <f>'UHM FGD'!$M$23</f>
        <v>1159477</v>
      </c>
      <c r="K23" s="669">
        <f>'UHM FGD'!$M$24</f>
        <v>0</v>
      </c>
      <c r="L23" s="669">
        <f>'UHM FGD'!$M$25</f>
        <v>0</v>
      </c>
      <c r="M23" s="669">
        <f>'UHM FGD'!$M$26</f>
        <v>0</v>
      </c>
      <c r="N23" s="669">
        <f>'UHM FGD'!$M$27</f>
        <v>0</v>
      </c>
      <c r="O23" s="669">
        <f>'UHM FGD'!$M$28</f>
        <v>-375794</v>
      </c>
      <c r="P23" s="669">
        <f>'UHM FGD'!$M$29</f>
        <v>783683</v>
      </c>
      <c r="Q23" s="707">
        <f>'UHM FGD'!$M$31</f>
        <v>457162</v>
      </c>
      <c r="R23" s="669">
        <f>'UHM FGD'!$M$32</f>
        <v>0</v>
      </c>
      <c r="S23" s="669">
        <f>'UHM FGD'!$M$33</f>
        <v>0</v>
      </c>
      <c r="T23" s="669">
        <f>'UHM FGD'!$M$34</f>
        <v>0</v>
      </c>
      <c r="U23" s="669">
        <f>'UHM FGD'!$M$35</f>
        <v>0</v>
      </c>
      <c r="V23" s="669">
        <f>'UHM FGD'!$M$36</f>
        <v>457162</v>
      </c>
      <c r="W23" s="669">
        <f>'UHM FGD'!$M$37</f>
        <v>0</v>
      </c>
      <c r="X23" s="669">
        <f>'UHM FGD'!$M$38</f>
        <v>0</v>
      </c>
      <c r="Y23" s="669">
        <f>'UHM FGD'!$M$39</f>
        <v>0</v>
      </c>
      <c r="Z23" s="669">
        <f>'UHM FGD'!$M$40</f>
        <v>0</v>
      </c>
      <c r="AA23" s="669">
        <f>'UHM FGD'!$M$41</f>
        <v>-148170</v>
      </c>
      <c r="AB23" s="708">
        <f>'UHM FGD'!$M$42</f>
        <v>308992</v>
      </c>
      <c r="AC23" s="709">
        <f>'UHM FGD'!$M$44</f>
        <v>1092675</v>
      </c>
      <c r="AD23" s="710" t="str">
        <f>'UHM FGD'!$P$103</f>
        <v>Charlotte Hotz</v>
      </c>
      <c r="AE23" s="275" t="str">
        <f>'UHM FGD'!$R$103</f>
        <v>(713) 743.5296</v>
      </c>
      <c r="AF23" s="706" t="str">
        <f>'UHM FGD'!$U$103</f>
        <v>cahotz@uh.edu</v>
      </c>
      <c r="AG23" s="589" t="str">
        <f t="shared" ref="AG23" si="6">IF(SUM(E23:I23)&lt;&gt;J23,"Error","Balanced")</f>
        <v>Balanced</v>
      </c>
      <c r="AH23" s="589" t="str">
        <f t="shared" ref="AH23" si="7">IF(SUM(J23:O23)&lt;&gt;P23,"Error","Balanced")</f>
        <v>Balanced</v>
      </c>
      <c r="AI23" s="589" t="str">
        <f t="shared" ref="AI23" si="8">IF(SUM(Q23:U23)&lt;&gt;V23,"Error","Balanced")</f>
        <v>Balanced</v>
      </c>
      <c r="AJ23" s="589" t="str">
        <f t="shared" ref="AJ23" si="9">IF(SUM(V23:AA23)&lt;&gt;AB23,"Error","Balanced")</f>
        <v>Balanced</v>
      </c>
      <c r="AK23" s="589" t="str">
        <f t="shared" ref="AK23" si="10">IF(P23+AB23&lt;&gt;AC23,"Error","Balanced")</f>
        <v>Balanced</v>
      </c>
    </row>
    <row r="24" spans="1:37" ht="13.8" thickBot="1">
      <c r="B24" s="647"/>
      <c r="C24" s="282"/>
      <c r="E24" s="707"/>
      <c r="F24" s="669"/>
      <c r="G24" s="669"/>
      <c r="H24" s="669"/>
      <c r="I24" s="669"/>
      <c r="J24" s="669"/>
      <c r="K24" s="669"/>
      <c r="L24" s="669"/>
      <c r="M24" s="669"/>
      <c r="N24" s="669"/>
      <c r="O24" s="669"/>
      <c r="P24" s="669"/>
      <c r="Q24" s="707"/>
      <c r="R24" s="669"/>
      <c r="S24" s="669"/>
      <c r="T24" s="669"/>
      <c r="U24" s="669"/>
      <c r="V24" s="669"/>
      <c r="W24" s="669"/>
      <c r="X24" s="669"/>
      <c r="Y24" s="669"/>
      <c r="Z24" s="669"/>
      <c r="AA24" s="669"/>
      <c r="AB24" s="708"/>
      <c r="AC24" s="711"/>
      <c r="AD24" s="712"/>
      <c r="AE24" s="713"/>
      <c r="AF24" s="714"/>
      <c r="AG24" s="589"/>
      <c r="AH24" s="589"/>
      <c r="AI24" s="589"/>
      <c r="AJ24" s="589"/>
      <c r="AK24" s="589"/>
    </row>
    <row r="25" spans="1:37" ht="13.8" thickBot="1">
      <c r="A25" s="572"/>
      <c r="B25" s="574"/>
      <c r="C25" s="572">
        <f>COUNTA(C11:C24)</f>
        <v>13</v>
      </c>
      <c r="D25" s="573" t="s">
        <v>129</v>
      </c>
      <c r="E25" s="715">
        <f t="shared" ref="E25:AC25" si="11">SUM(E11:E24)</f>
        <v>351142003</v>
      </c>
      <c r="F25" s="715">
        <f t="shared" si="11"/>
        <v>-25206679</v>
      </c>
      <c r="G25" s="715">
        <f t="shared" si="11"/>
        <v>-2204182</v>
      </c>
      <c r="H25" s="715">
        <f t="shared" si="11"/>
        <v>0</v>
      </c>
      <c r="I25" s="715">
        <f t="shared" si="11"/>
        <v>0</v>
      </c>
      <c r="J25" s="715">
        <f t="shared" si="11"/>
        <v>323731142</v>
      </c>
      <c r="K25" s="715">
        <f t="shared" si="11"/>
        <v>0</v>
      </c>
      <c r="L25" s="715">
        <f t="shared" si="11"/>
        <v>0</v>
      </c>
      <c r="M25" s="715">
        <f t="shared" si="11"/>
        <v>-6289859</v>
      </c>
      <c r="N25" s="715">
        <f t="shared" si="11"/>
        <v>-1507</v>
      </c>
      <c r="O25" s="715">
        <f t="shared" si="11"/>
        <v>-22213045</v>
      </c>
      <c r="P25" s="715">
        <f t="shared" si="11"/>
        <v>295226731</v>
      </c>
      <c r="Q25" s="715">
        <f t="shared" si="11"/>
        <v>104944431</v>
      </c>
      <c r="R25" s="715">
        <f t="shared" si="11"/>
        <v>0</v>
      </c>
      <c r="S25" s="715">
        <f t="shared" si="11"/>
        <v>0</v>
      </c>
      <c r="T25" s="715">
        <f t="shared" si="11"/>
        <v>0</v>
      </c>
      <c r="U25" s="715">
        <f t="shared" si="11"/>
        <v>0</v>
      </c>
      <c r="V25" s="715">
        <f t="shared" si="11"/>
        <v>104944431</v>
      </c>
      <c r="W25" s="715">
        <f t="shared" si="11"/>
        <v>0</v>
      </c>
      <c r="X25" s="715">
        <f t="shared" si="11"/>
        <v>0</v>
      </c>
      <c r="Y25" s="715">
        <f t="shared" si="11"/>
        <v>-3009059</v>
      </c>
      <c r="Z25" s="715">
        <f t="shared" si="11"/>
        <v>-838</v>
      </c>
      <c r="AA25" s="715">
        <f t="shared" si="11"/>
        <v>-5059312</v>
      </c>
      <c r="AB25" s="715">
        <f t="shared" si="11"/>
        <v>96875222</v>
      </c>
      <c r="AC25" s="716">
        <f t="shared" si="11"/>
        <v>392101953</v>
      </c>
    </row>
    <row r="26" spans="1:37" s="275" customFormat="1" ht="13.8" thickTop="1">
      <c r="A26" s="548"/>
      <c r="AG26" s="548"/>
    </row>
    <row r="27" spans="1:37" s="275" customFormat="1">
      <c r="A27" s="548"/>
      <c r="B27" s="717"/>
      <c r="C27" s="275" t="s">
        <v>246</v>
      </c>
      <c r="AG27" s="548"/>
    </row>
    <row r="28" spans="1:37" s="275" customFormat="1">
      <c r="A28" s="548"/>
      <c r="AG28" s="548"/>
    </row>
    <row r="29" spans="1:37" s="275" customFormat="1">
      <c r="A29" s="548"/>
      <c r="B29" s="717"/>
      <c r="AC29" s="548" t="str">
        <f>IF(AC25&lt;&gt;'Smmy FGD'!$M$447,"Error","Balanced")</f>
        <v>Balanced</v>
      </c>
      <c r="AG29" s="548"/>
    </row>
    <row r="30" spans="1:37" s="275" customFormat="1">
      <c r="A30" s="548"/>
      <c r="AG30" s="548"/>
    </row>
    <row r="31" spans="1:37" s="275" customFormat="1">
      <c r="A31" s="548"/>
      <c r="AG31" s="548"/>
    </row>
    <row r="32" spans="1:37" s="275" customFormat="1">
      <c r="A32" s="548"/>
      <c r="AG32" s="548"/>
    </row>
    <row r="33" spans="1:33" s="275" customFormat="1">
      <c r="A33" s="548"/>
      <c r="AG33" s="548"/>
    </row>
    <row r="34" spans="1:33" s="275" customFormat="1">
      <c r="A34" s="548"/>
      <c r="AG34" s="548"/>
    </row>
    <row r="35" spans="1:33" s="275" customFormat="1">
      <c r="A35" s="548"/>
      <c r="AG35" s="548"/>
    </row>
    <row r="36" spans="1:33" s="275" customFormat="1">
      <c r="A36" s="548"/>
      <c r="AG36" s="548"/>
    </row>
    <row r="37" spans="1:33" s="275" customFormat="1">
      <c r="A37" s="548"/>
      <c r="AG37" s="548"/>
    </row>
    <row r="38" spans="1:33" s="275" customFormat="1">
      <c r="A38" s="548"/>
      <c r="AG38" s="548"/>
    </row>
    <row r="39" spans="1:33" s="275" customFormat="1">
      <c r="A39" s="548"/>
      <c r="B39" s="548"/>
      <c r="C39" s="294"/>
      <c r="AG39" s="548"/>
    </row>
    <row r="40" spans="1:33" s="275" customFormat="1">
      <c r="A40" s="548"/>
      <c r="B40" s="548"/>
      <c r="F40" s="294"/>
      <c r="AG40" s="548"/>
    </row>
    <row r="41" spans="1:33" s="275" customFormat="1">
      <c r="A41" s="548"/>
      <c r="B41" s="277"/>
      <c r="C41" s="277"/>
      <c r="D41" s="277"/>
      <c r="E41" s="300"/>
      <c r="F41" s="300"/>
      <c r="AG41" s="548"/>
    </row>
    <row r="42" spans="1:33" s="275" customFormat="1">
      <c r="A42" s="548"/>
      <c r="B42" s="277"/>
      <c r="C42" s="277"/>
      <c r="D42" s="277"/>
      <c r="E42" s="300"/>
      <c r="F42" s="300"/>
      <c r="AG42" s="548"/>
    </row>
    <row r="43" spans="1:33" s="275" customFormat="1">
      <c r="A43" s="548"/>
      <c r="B43" s="277"/>
      <c r="C43" s="277"/>
      <c r="D43" s="277"/>
      <c r="E43" s="300"/>
      <c r="F43" s="300"/>
      <c r="AG43" s="548"/>
    </row>
    <row r="44" spans="1:33" s="275" customFormat="1">
      <c r="A44" s="548"/>
      <c r="AG44" s="548"/>
    </row>
    <row r="45" spans="1:33" s="275" customFormat="1">
      <c r="A45" s="548"/>
      <c r="AG45" s="548"/>
    </row>
    <row r="46" spans="1:33" s="275" customFormat="1">
      <c r="A46" s="548"/>
      <c r="AG46" s="548"/>
    </row>
    <row r="47" spans="1:33" s="275" customFormat="1">
      <c r="A47" s="548"/>
      <c r="AG47" s="548"/>
    </row>
    <row r="48" spans="1:33" s="275" customFormat="1">
      <c r="A48" s="548"/>
      <c r="AG48" s="548"/>
    </row>
    <row r="49" spans="1:33" s="275" customFormat="1">
      <c r="A49" s="548"/>
      <c r="AG49" s="548"/>
    </row>
    <row r="50" spans="1:33" s="275" customFormat="1">
      <c r="A50" s="548"/>
      <c r="AG50" s="548"/>
    </row>
    <row r="51" spans="1:33" s="275" customFormat="1">
      <c r="A51" s="548"/>
      <c r="AG51" s="548"/>
    </row>
    <row r="52" spans="1:33" s="275" customFormat="1">
      <c r="A52" s="548"/>
      <c r="AG52" s="548"/>
    </row>
    <row r="53" spans="1:33" s="275" customFormat="1">
      <c r="A53" s="548"/>
      <c r="AG53" s="548"/>
    </row>
    <row r="54" spans="1:33" s="275" customFormat="1">
      <c r="A54" s="548"/>
      <c r="AG54" s="548"/>
    </row>
    <row r="55" spans="1:33" s="275" customFormat="1">
      <c r="A55" s="548"/>
      <c r="AG55" s="548"/>
    </row>
    <row r="56" spans="1:33" s="275" customFormat="1">
      <c r="A56" s="548"/>
      <c r="AG56" s="548"/>
    </row>
    <row r="57" spans="1:33" s="275" customFormat="1">
      <c r="A57" s="548"/>
      <c r="AG57" s="548"/>
    </row>
    <row r="58" spans="1:33" s="275" customFormat="1">
      <c r="A58" s="548"/>
      <c r="AG58" s="548"/>
    </row>
    <row r="59" spans="1:33" s="275" customFormat="1">
      <c r="A59" s="548"/>
      <c r="AG59" s="548"/>
    </row>
    <row r="60" spans="1:33" s="275" customFormat="1">
      <c r="A60" s="548"/>
      <c r="AG60" s="548"/>
    </row>
    <row r="61" spans="1:33" s="275" customFormat="1">
      <c r="A61" s="548"/>
      <c r="AG61" s="548"/>
    </row>
    <row r="62" spans="1:33" s="275" customFormat="1">
      <c r="A62" s="548"/>
      <c r="AG62" s="548"/>
    </row>
    <row r="63" spans="1:33" s="275" customFormat="1">
      <c r="A63" s="548"/>
      <c r="AG63" s="548"/>
    </row>
    <row r="64" spans="1:33" s="275" customFormat="1">
      <c r="A64" s="548"/>
      <c r="AG64" s="548"/>
    </row>
    <row r="65" spans="1:33" s="275" customFormat="1">
      <c r="A65" s="548"/>
      <c r="AG65" s="548"/>
    </row>
    <row r="66" spans="1:33" s="275" customFormat="1">
      <c r="A66" s="548"/>
      <c r="AG66" s="548"/>
    </row>
    <row r="67" spans="1:33" s="275" customFormat="1">
      <c r="A67" s="548"/>
      <c r="AG67" s="548"/>
    </row>
    <row r="68" spans="1:33" s="275" customFormat="1">
      <c r="A68" s="548"/>
      <c r="AG68" s="548"/>
    </row>
    <row r="69" spans="1:33" s="275" customFormat="1">
      <c r="A69" s="548"/>
      <c r="AG69" s="548"/>
    </row>
    <row r="70" spans="1:33" s="275" customFormat="1">
      <c r="A70" s="548"/>
      <c r="AG70" s="548"/>
    </row>
    <row r="71" spans="1:33" s="275" customFormat="1">
      <c r="A71" s="548"/>
      <c r="AG71" s="548"/>
    </row>
    <row r="72" spans="1:33" s="275" customFormat="1">
      <c r="A72" s="548"/>
      <c r="AG72" s="548"/>
    </row>
    <row r="73" spans="1:33" s="275" customFormat="1">
      <c r="A73" s="548"/>
      <c r="AG73" s="548"/>
    </row>
    <row r="74" spans="1:33" s="275" customFormat="1">
      <c r="A74" s="548"/>
      <c r="AG74" s="548"/>
    </row>
    <row r="75" spans="1:33" s="275" customFormat="1">
      <c r="A75" s="548"/>
      <c r="AG75" s="548"/>
    </row>
    <row r="76" spans="1:33" s="275" customFormat="1">
      <c r="A76" s="548"/>
      <c r="AG76" s="548"/>
    </row>
    <row r="77" spans="1:33" s="275" customFormat="1">
      <c r="A77" s="548"/>
      <c r="AG77" s="548"/>
    </row>
    <row r="78" spans="1:33" s="275" customFormat="1">
      <c r="A78" s="548"/>
      <c r="AG78" s="548"/>
    </row>
    <row r="79" spans="1:33" s="275" customFormat="1">
      <c r="A79" s="548"/>
      <c r="AG79" s="548"/>
    </row>
    <row r="80" spans="1:33" s="275" customFormat="1">
      <c r="A80" s="548"/>
      <c r="AG80" s="548"/>
    </row>
    <row r="81" spans="1:33" s="275" customFormat="1">
      <c r="A81" s="548"/>
      <c r="AG81" s="548"/>
    </row>
    <row r="82" spans="1:33" s="275" customFormat="1">
      <c r="A82" s="548"/>
      <c r="AG82" s="548"/>
    </row>
    <row r="83" spans="1:33" s="275" customFormat="1">
      <c r="A83" s="548"/>
      <c r="AG83" s="548"/>
    </row>
    <row r="84" spans="1:33" s="275" customFormat="1">
      <c r="A84" s="548"/>
      <c r="AG84" s="548"/>
    </row>
    <row r="85" spans="1:33" s="275" customFormat="1">
      <c r="A85" s="548"/>
      <c r="AG85" s="548"/>
    </row>
    <row r="86" spans="1:33" s="275" customFormat="1">
      <c r="A86" s="548"/>
      <c r="AG86" s="548"/>
    </row>
    <row r="87" spans="1:33" s="275" customFormat="1">
      <c r="A87" s="548"/>
      <c r="AG87" s="548"/>
    </row>
    <row r="88" spans="1:33" s="275" customFormat="1">
      <c r="A88" s="548"/>
      <c r="AG88" s="548"/>
    </row>
    <row r="89" spans="1:33" s="275" customFormat="1">
      <c r="A89" s="548"/>
      <c r="AG89" s="548"/>
    </row>
    <row r="90" spans="1:33" s="275" customFormat="1">
      <c r="A90" s="548"/>
      <c r="AG90" s="548"/>
    </row>
    <row r="91" spans="1:33" s="275" customFormat="1">
      <c r="A91" s="548"/>
      <c r="AG91" s="548"/>
    </row>
    <row r="92" spans="1:33" s="275" customFormat="1">
      <c r="A92" s="548"/>
      <c r="AG92" s="548"/>
    </row>
    <row r="93" spans="1:33" s="275" customFormat="1">
      <c r="A93" s="548"/>
      <c r="AG93" s="548"/>
    </row>
    <row r="94" spans="1:33" s="275" customFormat="1">
      <c r="A94" s="548"/>
      <c r="AG94" s="548"/>
    </row>
    <row r="95" spans="1:33" s="275" customFormat="1">
      <c r="A95" s="548"/>
      <c r="AG95" s="548"/>
    </row>
    <row r="96" spans="1:33" s="275" customFormat="1">
      <c r="A96" s="548"/>
      <c r="AG96" s="548"/>
    </row>
    <row r="97" spans="1:33" s="275" customFormat="1">
      <c r="A97" s="548"/>
      <c r="AG97" s="548"/>
    </row>
    <row r="98" spans="1:33" s="275" customFormat="1">
      <c r="A98" s="548"/>
      <c r="AG98" s="548"/>
    </row>
    <row r="99" spans="1:33" s="275" customFormat="1">
      <c r="A99" s="548"/>
      <c r="AG99" s="548"/>
    </row>
    <row r="100" spans="1:33" s="275" customFormat="1">
      <c r="A100" s="548"/>
      <c r="AG100" s="548"/>
    </row>
    <row r="101" spans="1:33" s="275" customFormat="1">
      <c r="A101" s="548"/>
      <c r="AG101" s="548"/>
    </row>
    <row r="102" spans="1:33" s="275" customFormat="1">
      <c r="A102" s="548"/>
      <c r="AG102" s="548"/>
    </row>
    <row r="103" spans="1:33" s="275" customFormat="1">
      <c r="A103" s="548"/>
      <c r="AG103" s="548"/>
    </row>
    <row r="104" spans="1:33" s="275" customFormat="1">
      <c r="A104" s="548"/>
      <c r="AG104" s="548"/>
    </row>
    <row r="105" spans="1:33" s="275" customFormat="1">
      <c r="A105" s="548"/>
      <c r="AG105" s="548"/>
    </row>
    <row r="106" spans="1:33" s="275" customFormat="1">
      <c r="A106" s="548"/>
      <c r="AG106" s="548"/>
    </row>
    <row r="107" spans="1:33" s="275" customFormat="1">
      <c r="A107" s="548"/>
      <c r="AG107" s="548"/>
    </row>
    <row r="108" spans="1:33" s="275" customFormat="1">
      <c r="A108" s="548"/>
      <c r="AG108" s="548"/>
    </row>
    <row r="109" spans="1:33" s="275" customFormat="1">
      <c r="A109" s="548"/>
      <c r="AG109" s="548"/>
    </row>
    <row r="110" spans="1:33" s="275" customFormat="1">
      <c r="A110" s="548"/>
      <c r="AG110" s="548"/>
    </row>
    <row r="111" spans="1:33" s="275" customFormat="1">
      <c r="A111" s="548"/>
      <c r="AG111" s="548"/>
    </row>
    <row r="112" spans="1:33" s="275" customFormat="1">
      <c r="A112" s="548"/>
      <c r="AG112" s="548"/>
    </row>
    <row r="113" spans="1:33" s="275" customFormat="1">
      <c r="A113" s="548"/>
      <c r="AG113" s="548"/>
    </row>
    <row r="114" spans="1:33" s="275" customFormat="1">
      <c r="A114" s="548"/>
      <c r="AG114" s="548"/>
    </row>
    <row r="115" spans="1:33" s="275" customFormat="1">
      <c r="A115" s="548"/>
      <c r="AG115" s="548"/>
    </row>
    <row r="116" spans="1:33" s="275" customFormat="1">
      <c r="A116" s="548"/>
      <c r="AG116" s="548"/>
    </row>
    <row r="117" spans="1:33" s="275" customFormat="1">
      <c r="A117" s="548"/>
      <c r="AG117" s="548"/>
    </row>
    <row r="118" spans="1:33" s="275" customFormat="1">
      <c r="A118" s="548"/>
      <c r="AG118" s="548"/>
    </row>
    <row r="119" spans="1:33" s="275" customFormat="1">
      <c r="A119" s="548"/>
      <c r="AG119" s="548"/>
    </row>
    <row r="120" spans="1:33" s="275" customFormat="1">
      <c r="A120" s="548"/>
      <c r="AG120" s="548"/>
    </row>
    <row r="121" spans="1:33" s="275" customFormat="1">
      <c r="A121" s="548"/>
      <c r="AG121" s="548"/>
    </row>
    <row r="122" spans="1:33" s="275" customFormat="1">
      <c r="A122" s="548"/>
      <c r="AG122" s="548"/>
    </row>
    <row r="123" spans="1:33" s="275" customFormat="1">
      <c r="A123" s="548"/>
      <c r="AG123" s="548"/>
    </row>
    <row r="124" spans="1:33" s="275" customFormat="1">
      <c r="A124" s="548"/>
      <c r="AG124" s="548"/>
    </row>
    <row r="125" spans="1:33" s="275" customFormat="1">
      <c r="A125" s="548"/>
      <c r="AG125" s="548"/>
    </row>
    <row r="126" spans="1:33" s="275" customFormat="1">
      <c r="A126" s="548"/>
      <c r="AG126" s="548"/>
    </row>
    <row r="127" spans="1:33" s="275" customFormat="1">
      <c r="A127" s="548"/>
      <c r="AG127" s="548"/>
    </row>
    <row r="128" spans="1:33" s="275" customFormat="1">
      <c r="A128" s="548"/>
      <c r="AG128" s="548"/>
    </row>
    <row r="129" spans="1:33" s="275" customFormat="1">
      <c r="A129" s="548"/>
      <c r="AG129" s="548"/>
    </row>
    <row r="130" spans="1:33" s="275" customFormat="1">
      <c r="A130" s="548"/>
      <c r="AG130" s="548"/>
    </row>
    <row r="131" spans="1:33" s="275" customFormat="1">
      <c r="A131" s="548"/>
      <c r="AG131" s="548"/>
    </row>
    <row r="132" spans="1:33" s="275" customFormat="1">
      <c r="A132" s="548"/>
      <c r="AG132" s="548"/>
    </row>
    <row r="133" spans="1:33" s="275" customFormat="1">
      <c r="A133" s="548"/>
      <c r="AG133" s="548"/>
    </row>
    <row r="134" spans="1:33" s="275" customFormat="1">
      <c r="A134" s="548"/>
      <c r="AG134" s="548"/>
    </row>
    <row r="135" spans="1:33" s="275" customFormat="1">
      <c r="A135" s="548"/>
      <c r="AG135" s="548"/>
    </row>
    <row r="136" spans="1:33" s="275" customFormat="1">
      <c r="A136" s="548"/>
      <c r="AG136" s="548"/>
    </row>
    <row r="137" spans="1:33" s="275" customFormat="1">
      <c r="A137" s="548"/>
      <c r="AG137" s="548"/>
    </row>
    <row r="138" spans="1:33" s="275" customFormat="1">
      <c r="A138" s="548"/>
      <c r="AG138" s="548"/>
    </row>
    <row r="139" spans="1:33" s="275" customFormat="1">
      <c r="A139" s="548"/>
      <c r="AG139" s="548"/>
    </row>
    <row r="140" spans="1:33" s="275" customFormat="1">
      <c r="A140" s="548"/>
      <c r="AG140" s="548"/>
    </row>
    <row r="141" spans="1:33" s="275" customFormat="1">
      <c r="A141" s="548"/>
      <c r="AG141" s="548"/>
    </row>
    <row r="142" spans="1:33" s="275" customFormat="1">
      <c r="A142" s="548"/>
      <c r="AG142" s="548"/>
    </row>
    <row r="143" spans="1:33" s="275" customFormat="1">
      <c r="A143" s="548"/>
      <c r="AG143" s="548"/>
    </row>
    <row r="144" spans="1:33" s="275" customFormat="1">
      <c r="A144" s="548"/>
      <c r="AG144" s="548"/>
    </row>
    <row r="145" spans="1:33" s="275" customFormat="1">
      <c r="A145" s="548"/>
      <c r="AG145" s="548"/>
    </row>
    <row r="146" spans="1:33" s="275" customFormat="1">
      <c r="A146" s="548"/>
      <c r="AG146" s="548"/>
    </row>
    <row r="147" spans="1:33" s="275" customFormat="1">
      <c r="A147" s="548"/>
      <c r="AG147" s="548"/>
    </row>
    <row r="148" spans="1:33" s="275" customFormat="1">
      <c r="A148" s="548"/>
      <c r="AG148" s="548"/>
    </row>
    <row r="149" spans="1:33" s="275" customFormat="1">
      <c r="A149" s="548"/>
      <c r="AG149" s="548"/>
    </row>
    <row r="150" spans="1:33" s="275" customFormat="1">
      <c r="A150" s="548"/>
      <c r="AG150" s="548"/>
    </row>
    <row r="151" spans="1:33" s="275" customFormat="1">
      <c r="A151" s="548"/>
      <c r="AG151" s="548"/>
    </row>
    <row r="152" spans="1:33" s="275" customFormat="1">
      <c r="A152" s="548"/>
      <c r="AG152" s="548"/>
    </row>
    <row r="153" spans="1:33" s="275" customFormat="1">
      <c r="A153" s="548"/>
      <c r="AG153" s="548"/>
    </row>
    <row r="154" spans="1:33" s="275" customFormat="1">
      <c r="A154" s="548"/>
      <c r="AG154" s="548"/>
    </row>
    <row r="155" spans="1:33" s="275" customFormat="1">
      <c r="A155" s="548"/>
      <c r="AG155" s="548"/>
    </row>
    <row r="156" spans="1:33" s="275" customFormat="1">
      <c r="A156" s="548"/>
      <c r="AG156" s="548"/>
    </row>
    <row r="157" spans="1:33" s="275" customFormat="1">
      <c r="A157" s="548"/>
      <c r="AG157" s="548"/>
    </row>
    <row r="158" spans="1:33" s="275" customFormat="1">
      <c r="A158" s="548"/>
      <c r="AG158" s="548"/>
    </row>
    <row r="159" spans="1:33" s="275" customFormat="1">
      <c r="A159" s="548"/>
      <c r="AG159" s="548"/>
    </row>
    <row r="160" spans="1:33" s="275" customFormat="1">
      <c r="A160" s="548"/>
      <c r="AG160" s="548"/>
    </row>
    <row r="161" spans="1:33" s="275" customFormat="1">
      <c r="A161" s="548"/>
      <c r="AG161" s="548"/>
    </row>
    <row r="162" spans="1:33" s="275" customFormat="1">
      <c r="A162" s="548"/>
      <c r="AG162" s="548"/>
    </row>
    <row r="163" spans="1:33" s="275" customFormat="1">
      <c r="A163" s="548"/>
      <c r="AG163" s="548"/>
    </row>
    <row r="164" spans="1:33" s="275" customFormat="1">
      <c r="A164" s="548"/>
      <c r="AG164" s="548"/>
    </row>
    <row r="165" spans="1:33" s="275" customFormat="1">
      <c r="A165" s="548"/>
      <c r="AG165" s="548"/>
    </row>
    <row r="166" spans="1:33" s="275" customFormat="1">
      <c r="A166" s="548"/>
      <c r="AG166" s="548"/>
    </row>
    <row r="167" spans="1:33" s="275" customFormat="1">
      <c r="A167" s="548"/>
      <c r="AG167" s="548"/>
    </row>
    <row r="168" spans="1:33" s="275" customFormat="1">
      <c r="A168" s="548"/>
      <c r="AG168" s="548"/>
    </row>
    <row r="169" spans="1:33" s="275" customFormat="1">
      <c r="A169" s="548"/>
      <c r="AG169" s="548"/>
    </row>
    <row r="170" spans="1:33" s="275" customFormat="1">
      <c r="A170" s="548"/>
      <c r="AG170" s="548"/>
    </row>
    <row r="171" spans="1:33" s="275" customFormat="1">
      <c r="A171" s="548"/>
      <c r="AG171" s="548"/>
    </row>
    <row r="172" spans="1:33" s="275" customFormat="1">
      <c r="A172" s="548"/>
      <c r="AG172" s="548"/>
    </row>
    <row r="173" spans="1:33" s="275" customFormat="1">
      <c r="A173" s="548"/>
      <c r="AG173" s="548"/>
    </row>
    <row r="174" spans="1:33" s="275" customFormat="1">
      <c r="A174" s="548"/>
      <c r="AG174" s="548"/>
    </row>
    <row r="175" spans="1:33" s="275" customFormat="1">
      <c r="A175" s="548"/>
      <c r="AG175" s="548"/>
    </row>
    <row r="176" spans="1:33" s="275" customFormat="1">
      <c r="A176" s="548"/>
      <c r="AG176" s="548"/>
    </row>
    <row r="177" spans="1:33" s="275" customFormat="1">
      <c r="A177" s="548"/>
      <c r="AG177" s="548"/>
    </row>
    <row r="178" spans="1:33" s="275" customFormat="1">
      <c r="A178" s="548"/>
      <c r="AG178" s="548"/>
    </row>
    <row r="179" spans="1:33" s="275" customFormat="1">
      <c r="A179" s="548"/>
      <c r="AG179" s="548"/>
    </row>
    <row r="180" spans="1:33" s="275" customFormat="1">
      <c r="A180" s="548"/>
      <c r="AG180" s="548"/>
    </row>
    <row r="181" spans="1:33" s="275" customFormat="1">
      <c r="A181" s="548"/>
      <c r="AG181" s="548"/>
    </row>
    <row r="182" spans="1:33" s="275" customFormat="1">
      <c r="A182" s="548"/>
      <c r="AG182" s="548"/>
    </row>
    <row r="183" spans="1:33" s="275" customFormat="1">
      <c r="A183" s="548"/>
      <c r="AG183" s="548"/>
    </row>
    <row r="184" spans="1:33" s="275" customFormat="1">
      <c r="A184" s="548"/>
      <c r="AG184" s="548"/>
    </row>
    <row r="185" spans="1:33" s="275" customFormat="1">
      <c r="A185" s="548"/>
      <c r="AG185" s="548"/>
    </row>
    <row r="186" spans="1:33" s="275" customFormat="1">
      <c r="A186" s="548"/>
      <c r="AG186" s="548"/>
    </row>
    <row r="187" spans="1:33" s="275" customFormat="1">
      <c r="A187" s="548"/>
      <c r="AG187" s="548"/>
    </row>
    <row r="188" spans="1:33" s="275" customFormat="1">
      <c r="A188" s="548"/>
      <c r="AG188" s="548"/>
    </row>
    <row r="189" spans="1:33" s="275" customFormat="1">
      <c r="A189" s="548"/>
      <c r="AG189" s="548"/>
    </row>
    <row r="190" spans="1:33" s="275" customFormat="1">
      <c r="A190" s="548"/>
      <c r="AG190" s="548"/>
    </row>
    <row r="191" spans="1:33" s="275" customFormat="1">
      <c r="A191" s="548"/>
      <c r="AG191" s="548"/>
    </row>
    <row r="192" spans="1:33" s="275" customFormat="1">
      <c r="A192" s="548"/>
      <c r="AG192" s="548"/>
    </row>
    <row r="193" spans="1:33" s="275" customFormat="1">
      <c r="A193" s="548"/>
      <c r="AG193" s="548"/>
    </row>
    <row r="194" spans="1:33" s="275" customFormat="1">
      <c r="A194" s="548"/>
      <c r="AG194" s="548"/>
    </row>
    <row r="195" spans="1:33" s="275" customFormat="1">
      <c r="A195" s="548"/>
      <c r="AG195" s="548"/>
    </row>
    <row r="196" spans="1:33" s="275" customFormat="1">
      <c r="A196" s="548"/>
      <c r="AG196" s="548"/>
    </row>
    <row r="197" spans="1:33" s="275" customFormat="1">
      <c r="A197" s="548"/>
      <c r="AG197" s="548"/>
    </row>
    <row r="198" spans="1:33" s="275" customFormat="1">
      <c r="A198" s="548"/>
      <c r="AG198" s="548"/>
    </row>
    <row r="199" spans="1:33" s="275" customFormat="1">
      <c r="A199" s="548"/>
      <c r="AG199" s="548"/>
    </row>
    <row r="200" spans="1:33" s="275" customFormat="1">
      <c r="A200" s="548"/>
      <c r="AG200" s="548"/>
    </row>
    <row r="201" spans="1:33" s="275" customFormat="1">
      <c r="A201" s="548"/>
      <c r="AG201" s="548"/>
    </row>
    <row r="202" spans="1:33" s="275" customFormat="1">
      <c r="A202" s="548"/>
      <c r="AG202" s="548"/>
    </row>
    <row r="203" spans="1:33" s="275" customFormat="1">
      <c r="A203" s="548"/>
      <c r="AG203" s="548"/>
    </row>
    <row r="204" spans="1:33" s="275" customFormat="1">
      <c r="A204" s="548"/>
      <c r="AG204" s="548"/>
    </row>
    <row r="205" spans="1:33" s="275" customFormat="1">
      <c r="A205" s="548"/>
      <c r="AG205" s="548"/>
    </row>
    <row r="206" spans="1:33" s="275" customFormat="1">
      <c r="A206" s="548"/>
      <c r="AG206" s="548"/>
    </row>
    <row r="207" spans="1:33" s="275" customFormat="1">
      <c r="A207" s="548"/>
      <c r="AG207" s="548"/>
    </row>
    <row r="208" spans="1:33" s="275" customFormat="1">
      <c r="A208" s="548"/>
      <c r="AG208" s="548"/>
    </row>
    <row r="209" spans="1:33" s="275" customFormat="1">
      <c r="A209" s="548"/>
      <c r="AG209" s="548"/>
    </row>
    <row r="210" spans="1:33" s="275" customFormat="1">
      <c r="A210" s="548"/>
      <c r="AG210" s="548"/>
    </row>
    <row r="211" spans="1:33" s="275" customFormat="1">
      <c r="A211" s="548"/>
      <c r="AG211" s="548"/>
    </row>
    <row r="212" spans="1:33" s="275" customFormat="1">
      <c r="A212" s="548"/>
      <c r="AG212" s="548"/>
    </row>
    <row r="213" spans="1:33" s="275" customFormat="1">
      <c r="A213" s="548"/>
      <c r="AG213" s="548"/>
    </row>
    <row r="214" spans="1:33" s="275" customFormat="1">
      <c r="A214" s="548"/>
      <c r="AG214" s="548"/>
    </row>
    <row r="215" spans="1:33" s="275" customFormat="1">
      <c r="A215" s="548"/>
      <c r="AG215" s="548"/>
    </row>
    <row r="216" spans="1:33" s="275" customFormat="1">
      <c r="A216" s="548"/>
      <c r="AG216" s="548"/>
    </row>
    <row r="217" spans="1:33" s="275" customFormat="1">
      <c r="A217" s="548"/>
      <c r="AG217" s="548"/>
    </row>
    <row r="218" spans="1:33" s="275" customFormat="1">
      <c r="A218" s="548"/>
      <c r="AG218" s="548"/>
    </row>
    <row r="219" spans="1:33" s="275" customFormat="1">
      <c r="A219" s="548"/>
      <c r="AG219" s="548"/>
    </row>
    <row r="220" spans="1:33" s="275" customFormat="1">
      <c r="A220" s="548"/>
      <c r="AG220" s="548"/>
    </row>
    <row r="221" spans="1:33" s="275" customFormat="1">
      <c r="A221" s="548"/>
      <c r="AG221" s="548"/>
    </row>
    <row r="222" spans="1:33" s="275" customFormat="1">
      <c r="A222" s="548"/>
      <c r="AG222" s="548"/>
    </row>
    <row r="223" spans="1:33" s="275" customFormat="1">
      <c r="A223" s="548"/>
      <c r="AG223" s="548"/>
    </row>
    <row r="224" spans="1:33" s="275" customFormat="1">
      <c r="A224" s="548"/>
      <c r="AG224" s="548"/>
    </row>
    <row r="225" spans="1:33" s="275" customFormat="1">
      <c r="A225" s="548"/>
      <c r="AG225" s="548"/>
    </row>
    <row r="226" spans="1:33" s="275" customFormat="1">
      <c r="A226" s="548"/>
      <c r="AG226" s="548"/>
    </row>
    <row r="227" spans="1:33" s="275" customFormat="1">
      <c r="A227" s="548"/>
      <c r="AG227" s="548"/>
    </row>
    <row r="228" spans="1:33" s="275" customFormat="1">
      <c r="A228" s="548"/>
      <c r="AG228" s="548"/>
    </row>
    <row r="229" spans="1:33" s="275" customFormat="1">
      <c r="A229" s="548"/>
      <c r="AG229" s="548"/>
    </row>
    <row r="230" spans="1:33" s="275" customFormat="1">
      <c r="A230" s="548"/>
      <c r="AG230" s="548"/>
    </row>
    <row r="231" spans="1:33" s="275" customFormat="1">
      <c r="A231" s="548"/>
      <c r="AG231" s="548"/>
    </row>
    <row r="232" spans="1:33" s="275" customFormat="1">
      <c r="A232" s="548"/>
      <c r="AG232" s="548"/>
    </row>
    <row r="233" spans="1:33" s="275" customFormat="1">
      <c r="A233" s="548"/>
      <c r="AG233" s="548"/>
    </row>
    <row r="234" spans="1:33" s="275" customFormat="1">
      <c r="A234" s="548"/>
      <c r="AG234" s="548"/>
    </row>
    <row r="235" spans="1:33" s="275" customFormat="1">
      <c r="A235" s="548"/>
      <c r="AG235" s="548"/>
    </row>
    <row r="236" spans="1:33" s="275" customFormat="1">
      <c r="A236" s="548"/>
      <c r="AG236" s="548"/>
    </row>
    <row r="237" spans="1:33" s="275" customFormat="1">
      <c r="A237" s="548"/>
      <c r="AG237" s="548"/>
    </row>
    <row r="238" spans="1:33" s="275" customFormat="1">
      <c r="A238" s="548"/>
      <c r="AG238" s="548"/>
    </row>
    <row r="239" spans="1:33" s="275" customFormat="1">
      <c r="A239" s="548"/>
      <c r="AG239" s="548"/>
    </row>
    <row r="240" spans="1:33" s="275" customFormat="1">
      <c r="A240" s="548"/>
      <c r="AG240" s="548"/>
    </row>
    <row r="241" spans="1:33" s="275" customFormat="1">
      <c r="A241" s="548"/>
      <c r="AG241" s="548"/>
    </row>
    <row r="242" spans="1:33" s="275" customFormat="1">
      <c r="A242" s="548"/>
      <c r="AG242" s="548"/>
    </row>
    <row r="243" spans="1:33" s="275" customFormat="1">
      <c r="A243" s="548"/>
      <c r="AG243" s="548"/>
    </row>
    <row r="244" spans="1:33" s="275" customFormat="1">
      <c r="A244" s="548"/>
      <c r="AG244" s="548"/>
    </row>
    <row r="245" spans="1:33" s="275" customFormat="1">
      <c r="A245" s="548"/>
      <c r="AG245" s="548"/>
    </row>
    <row r="246" spans="1:33" s="275" customFormat="1">
      <c r="A246" s="548"/>
      <c r="AG246" s="548"/>
    </row>
    <row r="247" spans="1:33" s="275" customFormat="1">
      <c r="A247" s="548"/>
      <c r="AG247" s="548"/>
    </row>
    <row r="248" spans="1:33" s="275" customFormat="1">
      <c r="A248" s="548"/>
      <c r="AG248" s="548"/>
    </row>
    <row r="249" spans="1:33" s="275" customFormat="1">
      <c r="A249" s="548"/>
      <c r="AG249" s="548"/>
    </row>
    <row r="250" spans="1:33" s="275" customFormat="1">
      <c r="A250" s="548"/>
      <c r="AG250" s="548"/>
    </row>
    <row r="251" spans="1:33" s="275" customFormat="1">
      <c r="A251" s="548"/>
      <c r="AG251" s="548"/>
    </row>
    <row r="252" spans="1:33" s="275" customFormat="1">
      <c r="A252" s="548"/>
      <c r="AG252" s="548"/>
    </row>
    <row r="253" spans="1:33" s="275" customFormat="1">
      <c r="A253" s="548"/>
      <c r="AG253" s="548"/>
    </row>
    <row r="254" spans="1:33" s="275" customFormat="1">
      <c r="A254" s="548"/>
      <c r="AG254" s="548"/>
    </row>
    <row r="255" spans="1:33" s="275" customFormat="1">
      <c r="A255" s="548"/>
      <c r="AG255" s="548"/>
    </row>
    <row r="256" spans="1:33" s="275" customFormat="1">
      <c r="A256" s="548"/>
      <c r="AG256" s="548"/>
    </row>
    <row r="257" spans="1:33" s="275" customFormat="1">
      <c r="A257" s="548"/>
      <c r="AG257" s="548"/>
    </row>
    <row r="258" spans="1:33" s="275" customFormat="1">
      <c r="A258" s="548"/>
      <c r="AG258" s="548"/>
    </row>
    <row r="259" spans="1:33" s="275" customFormat="1">
      <c r="A259" s="548"/>
      <c r="AG259" s="548"/>
    </row>
    <row r="260" spans="1:33" s="275" customFormat="1">
      <c r="A260" s="548"/>
      <c r="AG260" s="548"/>
    </row>
    <row r="261" spans="1:33" s="275" customFormat="1">
      <c r="A261" s="548"/>
      <c r="AG261" s="548"/>
    </row>
    <row r="262" spans="1:33" s="275" customFormat="1">
      <c r="A262" s="548"/>
      <c r="AG262" s="548"/>
    </row>
    <row r="263" spans="1:33" s="275" customFormat="1">
      <c r="A263" s="548"/>
      <c r="AG263" s="548"/>
    </row>
    <row r="264" spans="1:33" s="275" customFormat="1">
      <c r="A264" s="548"/>
      <c r="AG264" s="548"/>
    </row>
    <row r="265" spans="1:33" s="275" customFormat="1">
      <c r="A265" s="548"/>
      <c r="AG265" s="548"/>
    </row>
    <row r="266" spans="1:33" s="275" customFormat="1">
      <c r="A266" s="548"/>
      <c r="AG266" s="548"/>
    </row>
    <row r="267" spans="1:33" s="275" customFormat="1">
      <c r="A267" s="548"/>
      <c r="AG267" s="548"/>
    </row>
    <row r="268" spans="1:33" s="275" customFormat="1">
      <c r="A268" s="548"/>
      <c r="AG268" s="548"/>
    </row>
    <row r="269" spans="1:33" s="275" customFormat="1">
      <c r="A269" s="548"/>
      <c r="AG269" s="548"/>
    </row>
    <row r="270" spans="1:33" s="275" customFormat="1">
      <c r="A270" s="548"/>
      <c r="AG270" s="548"/>
    </row>
    <row r="271" spans="1:33" s="275" customFormat="1">
      <c r="A271" s="548"/>
      <c r="AG271" s="548"/>
    </row>
    <row r="272" spans="1:33" s="275" customFormat="1">
      <c r="A272" s="548"/>
      <c r="AG272" s="548"/>
    </row>
    <row r="273" spans="1:33" s="275" customFormat="1">
      <c r="A273" s="548"/>
      <c r="AG273" s="548"/>
    </row>
    <row r="274" spans="1:33" s="275" customFormat="1">
      <c r="A274" s="548"/>
      <c r="AG274" s="548"/>
    </row>
    <row r="275" spans="1:33" s="275" customFormat="1">
      <c r="A275" s="548"/>
      <c r="AG275" s="548"/>
    </row>
    <row r="276" spans="1:33" s="275" customFormat="1">
      <c r="A276" s="548"/>
      <c r="AG276" s="548"/>
    </row>
    <row r="277" spans="1:33" s="275" customFormat="1">
      <c r="A277" s="548"/>
      <c r="AG277" s="548"/>
    </row>
    <row r="278" spans="1:33" s="275" customFormat="1">
      <c r="A278" s="548"/>
      <c r="AG278" s="548"/>
    </row>
    <row r="279" spans="1:33" s="275" customFormat="1">
      <c r="A279" s="548"/>
      <c r="AG279" s="548"/>
    </row>
    <row r="280" spans="1:33" s="275" customFormat="1">
      <c r="A280" s="548"/>
      <c r="AG280" s="548"/>
    </row>
    <row r="281" spans="1:33" s="275" customFormat="1">
      <c r="A281" s="548"/>
      <c r="AG281" s="548"/>
    </row>
    <row r="282" spans="1:33" s="275" customFormat="1">
      <c r="A282" s="548"/>
      <c r="AG282" s="548"/>
    </row>
    <row r="283" spans="1:33" s="275" customFormat="1">
      <c r="A283" s="548"/>
      <c r="AG283" s="548"/>
    </row>
    <row r="284" spans="1:33" s="275" customFormat="1">
      <c r="A284" s="548"/>
      <c r="AG284" s="548"/>
    </row>
    <row r="285" spans="1:33" s="275" customFormat="1">
      <c r="A285" s="548"/>
      <c r="AG285" s="548"/>
    </row>
    <row r="286" spans="1:33" s="275" customFormat="1">
      <c r="A286" s="548"/>
      <c r="AG286" s="548"/>
    </row>
    <row r="287" spans="1:33" s="275" customFormat="1">
      <c r="A287" s="548"/>
      <c r="AG287" s="548"/>
    </row>
    <row r="288" spans="1:33" s="275" customFormat="1">
      <c r="A288" s="548"/>
      <c r="AG288" s="548"/>
    </row>
    <row r="289" spans="1:33" s="275" customFormat="1">
      <c r="A289" s="548"/>
      <c r="AG289" s="548"/>
    </row>
    <row r="290" spans="1:33" s="275" customFormat="1">
      <c r="A290" s="548"/>
      <c r="AG290" s="548"/>
    </row>
    <row r="291" spans="1:33" s="275" customFormat="1">
      <c r="A291" s="548"/>
      <c r="AG291" s="548"/>
    </row>
    <row r="292" spans="1:33" s="275" customFormat="1">
      <c r="A292" s="548"/>
      <c r="AG292" s="548"/>
    </row>
    <row r="293" spans="1:33" s="275" customFormat="1">
      <c r="A293" s="548"/>
      <c r="AG293" s="548"/>
    </row>
    <row r="294" spans="1:33" s="275" customFormat="1">
      <c r="A294" s="548"/>
      <c r="AG294" s="548"/>
    </row>
    <row r="295" spans="1:33" s="275" customFormat="1">
      <c r="A295" s="548"/>
      <c r="AG295" s="548"/>
    </row>
    <row r="296" spans="1:33" s="275" customFormat="1">
      <c r="A296" s="548"/>
      <c r="AG296" s="548"/>
    </row>
    <row r="297" spans="1:33" s="275" customFormat="1">
      <c r="A297" s="548"/>
      <c r="AG297" s="548"/>
    </row>
    <row r="298" spans="1:33" s="275" customFormat="1">
      <c r="A298" s="548"/>
      <c r="AG298" s="548"/>
    </row>
    <row r="299" spans="1:33" s="275" customFormat="1">
      <c r="A299" s="548"/>
      <c r="AG299" s="548"/>
    </row>
    <row r="300" spans="1:33" s="275" customFormat="1">
      <c r="A300" s="548"/>
      <c r="AG300" s="548"/>
    </row>
    <row r="301" spans="1:33" s="275" customFormat="1">
      <c r="A301" s="548"/>
      <c r="AG301" s="548"/>
    </row>
    <row r="302" spans="1:33" s="275" customFormat="1">
      <c r="A302" s="548"/>
      <c r="AG302" s="548"/>
    </row>
    <row r="303" spans="1:33" s="275" customFormat="1">
      <c r="A303" s="548"/>
      <c r="AG303" s="548"/>
    </row>
    <row r="304" spans="1:33" s="275" customFormat="1">
      <c r="A304" s="548"/>
      <c r="AG304" s="548"/>
    </row>
    <row r="305" spans="1:33" s="275" customFormat="1">
      <c r="A305" s="548"/>
      <c r="AG305" s="548"/>
    </row>
    <row r="306" spans="1:33" s="275" customFormat="1">
      <c r="A306" s="548"/>
      <c r="AG306" s="548"/>
    </row>
    <row r="307" spans="1:33" s="275" customFormat="1">
      <c r="A307" s="548"/>
      <c r="AG307" s="548"/>
    </row>
    <row r="308" spans="1:33" s="275" customFormat="1">
      <c r="A308" s="548"/>
      <c r="AG308" s="548"/>
    </row>
    <row r="309" spans="1:33" s="275" customFormat="1">
      <c r="A309" s="548"/>
      <c r="AG309" s="548"/>
    </row>
    <row r="310" spans="1:33" s="275" customFormat="1">
      <c r="A310" s="548"/>
      <c r="AG310" s="548"/>
    </row>
    <row r="311" spans="1:33" s="275" customFormat="1">
      <c r="A311" s="548"/>
      <c r="AG311" s="548"/>
    </row>
    <row r="312" spans="1:33" s="275" customFormat="1">
      <c r="A312" s="548"/>
      <c r="AG312" s="548"/>
    </row>
    <row r="313" spans="1:33" s="275" customFormat="1">
      <c r="A313" s="548"/>
      <c r="AG313" s="548"/>
    </row>
    <row r="314" spans="1:33" s="275" customFormat="1">
      <c r="A314" s="548"/>
      <c r="AG314" s="548"/>
    </row>
    <row r="315" spans="1:33" s="275" customFormat="1">
      <c r="A315" s="548"/>
      <c r="AG315" s="548"/>
    </row>
    <row r="316" spans="1:33" s="275" customFormat="1">
      <c r="A316" s="548"/>
      <c r="AG316" s="548"/>
    </row>
    <row r="317" spans="1:33" s="275" customFormat="1">
      <c r="A317" s="548"/>
      <c r="AG317" s="548"/>
    </row>
    <row r="318" spans="1:33" s="275" customFormat="1">
      <c r="A318" s="548"/>
      <c r="AG318" s="548"/>
    </row>
    <row r="319" spans="1:33" s="275" customFormat="1">
      <c r="A319" s="548"/>
      <c r="AG319" s="548"/>
    </row>
    <row r="320" spans="1:33" s="275" customFormat="1">
      <c r="A320" s="548"/>
      <c r="AG320" s="548"/>
    </row>
    <row r="321" spans="1:33" s="275" customFormat="1">
      <c r="A321" s="548"/>
      <c r="AG321" s="548"/>
    </row>
    <row r="322" spans="1:33" s="275" customFormat="1">
      <c r="A322" s="548"/>
      <c r="AG322" s="548"/>
    </row>
    <row r="323" spans="1:33" s="275" customFormat="1">
      <c r="A323" s="548"/>
      <c r="AG323" s="548"/>
    </row>
    <row r="324" spans="1:33" s="275" customFormat="1">
      <c r="A324" s="548"/>
      <c r="AG324" s="548"/>
    </row>
    <row r="325" spans="1:33" s="275" customFormat="1">
      <c r="A325" s="548"/>
      <c r="AG325" s="548"/>
    </row>
    <row r="326" spans="1:33" s="275" customFormat="1">
      <c r="A326" s="548"/>
      <c r="AG326" s="548"/>
    </row>
    <row r="327" spans="1:33" s="275" customFormat="1">
      <c r="A327" s="548"/>
      <c r="AG327" s="548"/>
    </row>
    <row r="328" spans="1:33" s="275" customFormat="1">
      <c r="A328" s="548"/>
      <c r="AG328" s="548"/>
    </row>
    <row r="329" spans="1:33" s="275" customFormat="1">
      <c r="A329" s="548"/>
      <c r="AG329" s="548"/>
    </row>
    <row r="330" spans="1:33" s="275" customFormat="1">
      <c r="A330" s="548"/>
      <c r="AG330" s="548"/>
    </row>
    <row r="331" spans="1:33" s="275" customFormat="1">
      <c r="A331" s="548"/>
      <c r="AG331" s="548"/>
    </row>
    <row r="332" spans="1:33" s="275" customFormat="1">
      <c r="A332" s="548"/>
      <c r="AG332" s="548"/>
    </row>
    <row r="333" spans="1:33" s="275" customFormat="1">
      <c r="A333" s="548"/>
      <c r="AG333" s="548"/>
    </row>
    <row r="334" spans="1:33" s="275" customFormat="1">
      <c r="A334" s="548"/>
      <c r="AG334" s="548"/>
    </row>
    <row r="335" spans="1:33" s="275" customFormat="1">
      <c r="A335" s="548"/>
      <c r="AG335" s="548"/>
    </row>
    <row r="336" spans="1:33" s="275" customFormat="1">
      <c r="A336" s="548"/>
      <c r="AG336" s="548"/>
    </row>
    <row r="337" spans="1:33" s="275" customFormat="1">
      <c r="A337" s="548"/>
      <c r="AG337" s="548"/>
    </row>
    <row r="338" spans="1:33" s="275" customFormat="1">
      <c r="A338" s="548"/>
      <c r="AG338" s="548"/>
    </row>
    <row r="339" spans="1:33" s="275" customFormat="1">
      <c r="A339" s="548"/>
      <c r="AG339" s="548"/>
    </row>
    <row r="340" spans="1:33" s="275" customFormat="1">
      <c r="A340" s="548"/>
      <c r="AG340" s="548"/>
    </row>
    <row r="341" spans="1:33" s="275" customFormat="1">
      <c r="A341" s="548"/>
      <c r="AG341" s="548"/>
    </row>
    <row r="342" spans="1:33" s="275" customFormat="1">
      <c r="A342" s="548"/>
      <c r="AG342" s="548"/>
    </row>
    <row r="343" spans="1:33" s="275" customFormat="1">
      <c r="A343" s="548"/>
      <c r="AG343" s="548"/>
    </row>
    <row r="344" spans="1:33" s="275" customFormat="1">
      <c r="A344" s="548"/>
      <c r="AG344" s="548"/>
    </row>
    <row r="345" spans="1:33" s="275" customFormat="1">
      <c r="A345" s="548"/>
      <c r="AG345" s="548"/>
    </row>
    <row r="346" spans="1:33" s="275" customFormat="1">
      <c r="A346" s="548"/>
      <c r="AG346" s="548"/>
    </row>
    <row r="347" spans="1:33" s="275" customFormat="1">
      <c r="A347" s="548"/>
      <c r="AG347" s="548"/>
    </row>
    <row r="348" spans="1:33" s="275" customFormat="1">
      <c r="A348" s="548"/>
      <c r="AG348" s="548"/>
    </row>
    <row r="349" spans="1:33" s="275" customFormat="1">
      <c r="A349" s="548"/>
      <c r="AG349" s="548"/>
    </row>
    <row r="350" spans="1:33" s="275" customFormat="1">
      <c r="A350" s="548"/>
      <c r="AG350" s="548"/>
    </row>
    <row r="351" spans="1:33" s="275" customFormat="1">
      <c r="A351" s="548"/>
      <c r="AG351" s="548"/>
    </row>
    <row r="352" spans="1:33" s="275" customFormat="1">
      <c r="A352" s="548"/>
      <c r="AG352" s="548"/>
    </row>
    <row r="353" spans="1:33" s="275" customFormat="1">
      <c r="A353" s="548"/>
      <c r="AG353" s="548"/>
    </row>
    <row r="354" spans="1:33" s="275" customFormat="1">
      <c r="A354" s="548"/>
      <c r="AG354" s="548"/>
    </row>
    <row r="355" spans="1:33" s="275" customFormat="1">
      <c r="A355" s="548"/>
      <c r="AG355" s="548"/>
    </row>
    <row r="356" spans="1:33" s="275" customFormat="1">
      <c r="A356" s="548"/>
      <c r="AG356" s="548"/>
    </row>
    <row r="357" spans="1:33" s="275" customFormat="1">
      <c r="A357" s="548"/>
      <c r="AG357" s="548"/>
    </row>
    <row r="358" spans="1:33" s="275" customFormat="1">
      <c r="A358" s="548"/>
      <c r="AG358" s="548"/>
    </row>
    <row r="359" spans="1:33" s="275" customFormat="1">
      <c r="A359" s="548"/>
      <c r="AG359" s="548"/>
    </row>
    <row r="360" spans="1:33" s="275" customFormat="1">
      <c r="A360" s="548"/>
      <c r="AG360" s="548"/>
    </row>
    <row r="361" spans="1:33" s="275" customFormat="1">
      <c r="A361" s="548"/>
      <c r="AG361" s="548"/>
    </row>
    <row r="362" spans="1:33" s="275" customFormat="1">
      <c r="A362" s="548"/>
      <c r="AG362" s="548"/>
    </row>
    <row r="363" spans="1:33" s="275" customFormat="1">
      <c r="A363" s="548"/>
      <c r="AG363" s="548"/>
    </row>
    <row r="364" spans="1:33" s="275" customFormat="1">
      <c r="A364" s="548"/>
      <c r="AG364" s="548"/>
    </row>
    <row r="365" spans="1:33" s="275" customFormat="1">
      <c r="A365" s="548"/>
      <c r="AG365" s="548"/>
    </row>
    <row r="366" spans="1:33" s="275" customFormat="1">
      <c r="A366" s="548"/>
      <c r="AG366" s="548"/>
    </row>
    <row r="367" spans="1:33" s="275" customFormat="1">
      <c r="A367" s="548"/>
      <c r="AG367" s="548"/>
    </row>
    <row r="368" spans="1:33" s="275" customFormat="1">
      <c r="A368" s="548"/>
      <c r="AG368" s="548"/>
    </row>
    <row r="369" spans="1:33" s="275" customFormat="1">
      <c r="A369" s="548"/>
      <c r="AG369" s="548"/>
    </row>
    <row r="370" spans="1:33" s="275" customFormat="1">
      <c r="A370" s="548"/>
      <c r="AG370" s="548"/>
    </row>
    <row r="371" spans="1:33" s="275" customFormat="1">
      <c r="A371" s="548"/>
      <c r="AG371" s="548"/>
    </row>
    <row r="372" spans="1:33" s="275" customFormat="1">
      <c r="A372" s="548"/>
      <c r="AG372" s="548"/>
    </row>
    <row r="373" spans="1:33" s="275" customFormat="1">
      <c r="A373" s="548"/>
      <c r="AG373" s="548"/>
    </row>
    <row r="374" spans="1:33" s="275" customFormat="1">
      <c r="A374" s="548"/>
      <c r="AG374" s="548"/>
    </row>
    <row r="375" spans="1:33" s="275" customFormat="1">
      <c r="A375" s="548"/>
      <c r="AG375" s="548"/>
    </row>
    <row r="376" spans="1:33" s="275" customFormat="1">
      <c r="A376" s="548"/>
      <c r="AG376" s="548"/>
    </row>
    <row r="377" spans="1:33" s="275" customFormat="1">
      <c r="A377" s="548"/>
      <c r="AG377" s="548"/>
    </row>
    <row r="378" spans="1:33" s="275" customFormat="1">
      <c r="A378" s="548"/>
      <c r="AG378" s="548"/>
    </row>
    <row r="379" spans="1:33" s="275" customFormat="1">
      <c r="A379" s="548"/>
      <c r="AG379" s="548"/>
    </row>
    <row r="380" spans="1:33" s="275" customFormat="1">
      <c r="A380" s="548"/>
      <c r="AG380" s="548"/>
    </row>
    <row r="381" spans="1:33" s="275" customFormat="1">
      <c r="A381" s="548"/>
      <c r="AG381" s="548"/>
    </row>
    <row r="382" spans="1:33" s="275" customFormat="1">
      <c r="A382" s="548"/>
      <c r="AG382" s="548"/>
    </row>
    <row r="383" spans="1:33" s="275" customFormat="1">
      <c r="A383" s="548"/>
      <c r="AG383" s="548"/>
    </row>
    <row r="384" spans="1:33" s="275" customFormat="1">
      <c r="A384" s="548"/>
      <c r="AG384" s="548"/>
    </row>
    <row r="385" spans="1:33" s="275" customFormat="1">
      <c r="A385" s="548"/>
      <c r="AG385" s="548"/>
    </row>
    <row r="386" spans="1:33" s="275" customFormat="1">
      <c r="A386" s="548"/>
      <c r="AG386" s="548"/>
    </row>
    <row r="387" spans="1:33" s="275" customFormat="1">
      <c r="A387" s="548"/>
      <c r="AG387" s="548"/>
    </row>
    <row r="388" spans="1:33" s="275" customFormat="1">
      <c r="A388" s="548"/>
      <c r="AG388" s="548"/>
    </row>
    <row r="389" spans="1:33" s="275" customFormat="1">
      <c r="A389" s="548"/>
      <c r="AG389" s="548"/>
    </row>
    <row r="390" spans="1:33" s="275" customFormat="1">
      <c r="A390" s="548"/>
      <c r="AG390" s="548"/>
    </row>
    <row r="391" spans="1:33" s="275" customFormat="1">
      <c r="A391" s="548"/>
      <c r="AG391" s="548"/>
    </row>
    <row r="392" spans="1:33" s="275" customFormat="1">
      <c r="A392" s="548"/>
      <c r="AG392" s="548"/>
    </row>
    <row r="393" spans="1:33" s="275" customFormat="1">
      <c r="A393" s="548"/>
      <c r="AG393" s="548"/>
    </row>
    <row r="394" spans="1:33" s="275" customFormat="1">
      <c r="A394" s="548"/>
      <c r="AG394" s="548"/>
    </row>
    <row r="395" spans="1:33" s="275" customFormat="1">
      <c r="A395" s="548"/>
      <c r="AG395" s="548"/>
    </row>
    <row r="396" spans="1:33" s="275" customFormat="1">
      <c r="A396" s="548"/>
      <c r="AG396" s="548"/>
    </row>
    <row r="397" spans="1:33" s="275" customFormat="1">
      <c r="A397" s="548"/>
      <c r="AG397" s="548"/>
    </row>
    <row r="398" spans="1:33" s="275" customFormat="1">
      <c r="A398" s="548"/>
      <c r="AG398" s="548"/>
    </row>
    <row r="399" spans="1:33" s="275" customFormat="1">
      <c r="A399" s="548"/>
      <c r="AG399" s="548"/>
    </row>
    <row r="400" spans="1:33" s="275" customFormat="1">
      <c r="A400" s="548"/>
      <c r="AG400" s="548"/>
    </row>
    <row r="401" spans="1:33" s="275" customFormat="1">
      <c r="A401" s="548"/>
      <c r="AG401" s="548"/>
    </row>
    <row r="402" spans="1:33" s="275" customFormat="1">
      <c r="A402" s="548"/>
      <c r="AG402" s="548"/>
    </row>
    <row r="403" spans="1:33" s="275" customFormat="1">
      <c r="A403" s="548"/>
      <c r="AG403" s="548"/>
    </row>
    <row r="404" spans="1:33" s="275" customFormat="1">
      <c r="A404" s="548"/>
      <c r="AG404" s="548"/>
    </row>
    <row r="405" spans="1:33" s="275" customFormat="1">
      <c r="A405" s="548"/>
      <c r="AG405" s="548"/>
    </row>
    <row r="406" spans="1:33" s="275" customFormat="1">
      <c r="A406" s="548"/>
      <c r="AG406" s="548"/>
    </row>
    <row r="407" spans="1:33" s="275" customFormat="1">
      <c r="A407" s="548"/>
      <c r="AG407" s="548"/>
    </row>
    <row r="408" spans="1:33" s="275" customFormat="1">
      <c r="A408" s="548"/>
      <c r="AG408" s="548"/>
    </row>
    <row r="409" spans="1:33" s="275" customFormat="1">
      <c r="A409" s="548"/>
      <c r="AG409" s="548"/>
    </row>
    <row r="410" spans="1:33" s="275" customFormat="1">
      <c r="A410" s="548"/>
      <c r="AG410" s="548"/>
    </row>
    <row r="411" spans="1:33" s="275" customFormat="1">
      <c r="A411" s="548"/>
      <c r="AG411" s="548"/>
    </row>
    <row r="412" spans="1:33" s="275" customFormat="1">
      <c r="A412" s="548"/>
      <c r="AG412" s="548"/>
    </row>
    <row r="413" spans="1:33" s="275" customFormat="1">
      <c r="A413" s="548"/>
      <c r="AG413" s="548"/>
    </row>
    <row r="414" spans="1:33" s="275" customFormat="1">
      <c r="A414" s="548"/>
      <c r="AG414" s="548"/>
    </row>
    <row r="415" spans="1:33" s="275" customFormat="1">
      <c r="A415" s="548"/>
      <c r="AG415" s="548"/>
    </row>
    <row r="416" spans="1:33" s="275" customFormat="1">
      <c r="A416" s="548"/>
      <c r="AG416" s="548"/>
    </row>
    <row r="417" spans="1:33" s="275" customFormat="1">
      <c r="A417" s="548"/>
      <c r="AG417" s="548"/>
    </row>
    <row r="418" spans="1:33" s="275" customFormat="1">
      <c r="A418" s="548"/>
      <c r="AG418" s="548"/>
    </row>
    <row r="419" spans="1:33" s="275" customFormat="1">
      <c r="A419" s="548"/>
      <c r="AG419" s="548"/>
    </row>
    <row r="420" spans="1:33" s="275" customFormat="1">
      <c r="A420" s="548"/>
      <c r="AG420" s="548"/>
    </row>
    <row r="421" spans="1:33" s="275" customFormat="1">
      <c r="A421" s="548"/>
      <c r="AG421" s="548"/>
    </row>
    <row r="422" spans="1:33" s="275" customFormat="1">
      <c r="A422" s="548"/>
      <c r="AG422" s="548"/>
    </row>
    <row r="423" spans="1:33" s="275" customFormat="1">
      <c r="A423" s="548"/>
      <c r="AG423" s="548"/>
    </row>
    <row r="424" spans="1:33" s="275" customFormat="1">
      <c r="A424" s="548"/>
      <c r="AG424" s="548"/>
    </row>
    <row r="425" spans="1:33" s="275" customFormat="1">
      <c r="A425" s="548"/>
      <c r="AG425" s="548"/>
    </row>
    <row r="426" spans="1:33" s="275" customFormat="1">
      <c r="A426" s="548"/>
      <c r="AG426" s="548"/>
    </row>
    <row r="427" spans="1:33" s="275" customFormat="1">
      <c r="A427" s="548"/>
      <c r="AG427" s="548"/>
    </row>
    <row r="428" spans="1:33" s="275" customFormat="1">
      <c r="A428" s="548"/>
      <c r="AG428" s="548"/>
    </row>
    <row r="429" spans="1:33" s="275" customFormat="1">
      <c r="A429" s="548"/>
      <c r="AG429" s="548"/>
    </row>
    <row r="430" spans="1:33" s="275" customFormat="1">
      <c r="A430" s="548"/>
      <c r="AG430" s="548"/>
    </row>
    <row r="431" spans="1:33" s="275" customFormat="1">
      <c r="A431" s="548"/>
      <c r="AG431" s="548"/>
    </row>
    <row r="432" spans="1:33" s="275" customFormat="1">
      <c r="A432" s="548"/>
      <c r="AG432" s="548"/>
    </row>
    <row r="433" spans="1:33" s="275" customFormat="1">
      <c r="A433" s="548"/>
      <c r="AG433" s="548"/>
    </row>
    <row r="434" spans="1:33" s="275" customFormat="1">
      <c r="A434" s="548"/>
      <c r="AG434" s="548"/>
    </row>
    <row r="435" spans="1:33" s="275" customFormat="1">
      <c r="A435" s="548"/>
      <c r="AG435" s="548"/>
    </row>
    <row r="436" spans="1:33" s="275" customFormat="1">
      <c r="A436" s="548"/>
      <c r="AG436" s="548"/>
    </row>
    <row r="437" spans="1:33" s="275" customFormat="1">
      <c r="A437" s="548"/>
      <c r="AG437" s="548"/>
    </row>
    <row r="438" spans="1:33" s="275" customFormat="1">
      <c r="A438" s="548"/>
      <c r="AG438" s="548"/>
    </row>
    <row r="439" spans="1:33" s="275" customFormat="1">
      <c r="A439" s="548"/>
      <c r="AG439" s="548"/>
    </row>
    <row r="440" spans="1:33" s="275" customFormat="1">
      <c r="A440" s="548"/>
      <c r="AG440" s="548"/>
    </row>
    <row r="441" spans="1:33" s="275" customFormat="1">
      <c r="A441" s="548"/>
      <c r="AG441" s="548"/>
    </row>
    <row r="442" spans="1:33" s="275" customFormat="1">
      <c r="A442" s="548"/>
      <c r="AG442" s="548"/>
    </row>
    <row r="443" spans="1:33" s="275" customFormat="1">
      <c r="A443" s="548"/>
      <c r="AG443" s="548"/>
    </row>
    <row r="444" spans="1:33" s="275" customFormat="1">
      <c r="A444" s="548"/>
      <c r="AG444" s="548"/>
    </row>
    <row r="445" spans="1:33" s="275" customFormat="1">
      <c r="A445" s="548"/>
      <c r="AG445" s="548"/>
    </row>
    <row r="446" spans="1:33" s="275" customFormat="1">
      <c r="A446" s="548"/>
      <c r="AG446" s="548"/>
    </row>
    <row r="447" spans="1:33" s="275" customFormat="1">
      <c r="A447" s="548"/>
      <c r="AG447" s="548"/>
    </row>
    <row r="448" spans="1:33" s="275" customFormat="1">
      <c r="A448" s="548"/>
      <c r="AG448" s="548"/>
    </row>
    <row r="449" spans="1:33" s="275" customFormat="1">
      <c r="A449" s="548"/>
      <c r="AG449" s="548"/>
    </row>
    <row r="450" spans="1:33" s="275" customFormat="1">
      <c r="A450" s="548"/>
      <c r="AG450" s="548"/>
    </row>
    <row r="451" spans="1:33" s="275" customFormat="1">
      <c r="A451" s="548"/>
      <c r="AG451" s="548"/>
    </row>
    <row r="452" spans="1:33" s="275" customFormat="1">
      <c r="A452" s="548"/>
      <c r="AG452" s="548"/>
    </row>
    <row r="453" spans="1:33" s="275" customFormat="1">
      <c r="A453" s="548"/>
      <c r="AG453" s="548"/>
    </row>
    <row r="454" spans="1:33" s="275" customFormat="1">
      <c r="A454" s="548"/>
      <c r="AG454" s="548"/>
    </row>
    <row r="455" spans="1:33" s="275" customFormat="1">
      <c r="A455" s="548"/>
      <c r="AG455" s="548"/>
    </row>
    <row r="456" spans="1:33" s="275" customFormat="1">
      <c r="A456" s="548"/>
      <c r="AG456" s="548"/>
    </row>
    <row r="457" spans="1:33" s="275" customFormat="1">
      <c r="A457" s="548"/>
      <c r="AG457" s="548"/>
    </row>
    <row r="458" spans="1:33" s="275" customFormat="1">
      <c r="A458" s="548"/>
      <c r="AG458" s="548"/>
    </row>
    <row r="459" spans="1:33" s="275" customFormat="1">
      <c r="A459" s="548"/>
      <c r="AG459" s="548"/>
    </row>
    <row r="460" spans="1:33" s="275" customFormat="1">
      <c r="A460" s="548"/>
      <c r="AG460" s="548"/>
    </row>
    <row r="461" spans="1:33" s="275" customFormat="1">
      <c r="A461" s="548"/>
      <c r="AG461" s="548"/>
    </row>
    <row r="462" spans="1:33" s="275" customFormat="1">
      <c r="A462" s="548"/>
      <c r="AG462" s="548"/>
    </row>
    <row r="463" spans="1:33" s="275" customFormat="1">
      <c r="A463" s="548"/>
      <c r="AG463" s="548"/>
    </row>
    <row r="464" spans="1:33" s="275" customFormat="1">
      <c r="A464" s="548"/>
      <c r="AG464" s="548"/>
    </row>
    <row r="465" spans="1:33" s="275" customFormat="1">
      <c r="A465" s="548"/>
      <c r="AG465" s="548"/>
    </row>
    <row r="466" spans="1:33" s="275" customFormat="1">
      <c r="A466" s="548"/>
      <c r="AG466" s="548"/>
    </row>
    <row r="467" spans="1:33" s="275" customFormat="1">
      <c r="A467" s="548"/>
      <c r="AG467" s="548"/>
    </row>
    <row r="468" spans="1:33" s="275" customFormat="1">
      <c r="A468" s="548"/>
      <c r="AG468" s="548"/>
    </row>
    <row r="469" spans="1:33" s="275" customFormat="1">
      <c r="A469" s="548"/>
      <c r="AG469" s="548"/>
    </row>
    <row r="470" spans="1:33" s="275" customFormat="1">
      <c r="A470" s="548"/>
      <c r="AG470" s="548"/>
    </row>
    <row r="471" spans="1:33" s="275" customFormat="1">
      <c r="A471" s="548"/>
      <c r="AG471" s="548"/>
    </row>
    <row r="472" spans="1:33" s="275" customFormat="1">
      <c r="A472" s="548"/>
      <c r="AG472" s="548"/>
    </row>
    <row r="473" spans="1:33" s="275" customFormat="1">
      <c r="A473" s="548"/>
      <c r="AG473" s="548"/>
    </row>
    <row r="474" spans="1:33" s="275" customFormat="1">
      <c r="A474" s="548"/>
      <c r="AG474" s="548"/>
    </row>
    <row r="475" spans="1:33" s="275" customFormat="1">
      <c r="A475" s="548"/>
      <c r="AG475" s="548"/>
    </row>
    <row r="476" spans="1:33" s="275" customFormat="1">
      <c r="A476" s="548"/>
      <c r="AG476" s="548"/>
    </row>
    <row r="477" spans="1:33" s="275" customFormat="1">
      <c r="A477" s="548"/>
      <c r="AG477" s="548"/>
    </row>
    <row r="478" spans="1:33" s="275" customFormat="1">
      <c r="A478" s="548"/>
      <c r="AG478" s="548"/>
    </row>
    <row r="479" spans="1:33" s="275" customFormat="1">
      <c r="A479" s="548"/>
      <c r="AG479" s="548"/>
    </row>
    <row r="480" spans="1:33" s="275" customFormat="1">
      <c r="A480" s="548"/>
      <c r="AG480" s="548"/>
    </row>
    <row r="481" spans="1:33" s="275" customFormat="1">
      <c r="A481" s="548"/>
      <c r="AG481" s="548"/>
    </row>
    <row r="482" spans="1:33" s="275" customFormat="1">
      <c r="A482" s="548"/>
      <c r="AG482" s="548"/>
    </row>
    <row r="483" spans="1:33" s="275" customFormat="1">
      <c r="A483" s="548"/>
      <c r="AG483" s="548"/>
    </row>
    <row r="484" spans="1:33" s="275" customFormat="1">
      <c r="A484" s="548"/>
      <c r="AG484" s="548"/>
    </row>
    <row r="485" spans="1:33" s="275" customFormat="1">
      <c r="A485" s="548"/>
      <c r="AG485" s="548"/>
    </row>
    <row r="486" spans="1:33" s="275" customFormat="1">
      <c r="A486" s="548"/>
      <c r="AG486" s="548"/>
    </row>
    <row r="487" spans="1:33" s="275" customFormat="1">
      <c r="A487" s="548"/>
      <c r="AG487" s="548"/>
    </row>
    <row r="488" spans="1:33" s="275" customFormat="1">
      <c r="A488" s="548"/>
      <c r="AG488" s="548"/>
    </row>
    <row r="489" spans="1:33" s="275" customFormat="1">
      <c r="A489" s="548"/>
      <c r="AG489" s="548"/>
    </row>
    <row r="490" spans="1:33" s="275" customFormat="1">
      <c r="A490" s="548"/>
      <c r="AG490" s="548"/>
    </row>
    <row r="491" spans="1:33" s="275" customFormat="1">
      <c r="A491" s="548"/>
      <c r="AG491" s="548"/>
    </row>
    <row r="492" spans="1:33" s="275" customFormat="1">
      <c r="A492" s="548"/>
      <c r="AG492" s="548"/>
    </row>
    <row r="493" spans="1:33" s="275" customFormat="1">
      <c r="A493" s="548"/>
      <c r="AG493" s="548"/>
    </row>
    <row r="494" spans="1:33" s="275" customFormat="1">
      <c r="A494" s="548"/>
      <c r="AG494" s="548"/>
    </row>
    <row r="495" spans="1:33" s="275" customFormat="1">
      <c r="A495" s="548"/>
      <c r="AG495" s="548"/>
    </row>
    <row r="496" spans="1:33" s="275" customFormat="1">
      <c r="A496" s="548"/>
      <c r="AG496" s="548"/>
    </row>
    <row r="497" spans="1:33" s="275" customFormat="1">
      <c r="A497" s="548"/>
      <c r="AG497" s="548"/>
    </row>
    <row r="498" spans="1:33" s="275" customFormat="1">
      <c r="A498" s="548"/>
      <c r="AG498" s="548"/>
    </row>
    <row r="499" spans="1:33" s="275" customFormat="1">
      <c r="A499" s="548"/>
      <c r="AG499" s="548"/>
    </row>
    <row r="500" spans="1:33" s="275" customFormat="1">
      <c r="A500" s="548"/>
      <c r="AG500" s="548"/>
    </row>
    <row r="501" spans="1:33" s="275" customFormat="1">
      <c r="A501" s="548"/>
      <c r="AG501" s="548"/>
    </row>
    <row r="502" spans="1:33" s="275" customFormat="1">
      <c r="A502" s="548"/>
      <c r="AG502" s="548"/>
    </row>
    <row r="503" spans="1:33" s="275" customFormat="1">
      <c r="A503" s="548"/>
      <c r="AG503" s="548"/>
    </row>
    <row r="504" spans="1:33" s="275" customFormat="1">
      <c r="A504" s="548"/>
      <c r="AG504" s="548"/>
    </row>
    <row r="505" spans="1:33" s="275" customFormat="1">
      <c r="A505" s="548"/>
      <c r="AG505" s="548"/>
    </row>
    <row r="506" spans="1:33" s="275" customFormat="1">
      <c r="A506" s="548"/>
      <c r="AG506" s="548"/>
    </row>
    <row r="507" spans="1:33" s="275" customFormat="1">
      <c r="A507" s="548"/>
      <c r="AG507" s="548"/>
    </row>
    <row r="508" spans="1:33" s="275" customFormat="1">
      <c r="A508" s="548"/>
      <c r="AG508" s="548"/>
    </row>
    <row r="509" spans="1:33" s="275" customFormat="1">
      <c r="A509" s="548"/>
      <c r="AG509" s="548"/>
    </row>
    <row r="510" spans="1:33" s="275" customFormat="1">
      <c r="A510" s="548"/>
      <c r="AG510" s="548"/>
    </row>
    <row r="511" spans="1:33" s="275" customFormat="1">
      <c r="A511" s="548"/>
      <c r="AG511" s="548"/>
    </row>
    <row r="512" spans="1:33" s="275" customFormat="1">
      <c r="A512" s="548"/>
      <c r="AG512" s="548"/>
    </row>
    <row r="513" spans="1:33" s="275" customFormat="1">
      <c r="A513" s="548"/>
      <c r="AG513" s="548"/>
    </row>
    <row r="514" spans="1:33" s="275" customFormat="1">
      <c r="A514" s="548"/>
      <c r="AG514" s="548"/>
    </row>
    <row r="515" spans="1:33" s="275" customFormat="1">
      <c r="A515" s="548"/>
      <c r="AG515" s="548"/>
    </row>
    <row r="516" spans="1:33" s="275" customFormat="1">
      <c r="A516" s="548"/>
      <c r="AG516" s="548"/>
    </row>
    <row r="517" spans="1:33" s="275" customFormat="1">
      <c r="A517" s="548"/>
      <c r="AG517" s="548"/>
    </row>
    <row r="518" spans="1:33" s="275" customFormat="1">
      <c r="A518" s="548"/>
      <c r="AG518" s="548"/>
    </row>
    <row r="519" spans="1:33" s="275" customFormat="1">
      <c r="A519" s="548"/>
      <c r="AG519" s="548"/>
    </row>
    <row r="520" spans="1:33" s="275" customFormat="1">
      <c r="A520" s="548"/>
      <c r="AG520" s="548"/>
    </row>
    <row r="521" spans="1:33" s="275" customFormat="1">
      <c r="A521" s="548"/>
      <c r="AG521" s="548"/>
    </row>
    <row r="522" spans="1:33" s="275" customFormat="1">
      <c r="A522" s="548"/>
      <c r="AG522" s="548"/>
    </row>
    <row r="523" spans="1:33" s="275" customFormat="1">
      <c r="A523" s="548"/>
      <c r="AG523" s="548"/>
    </row>
    <row r="524" spans="1:33" s="275" customFormat="1">
      <c r="A524" s="548"/>
      <c r="AG524" s="548"/>
    </row>
    <row r="525" spans="1:33" s="275" customFormat="1">
      <c r="A525" s="548"/>
      <c r="AG525" s="548"/>
    </row>
    <row r="526" spans="1:33" s="275" customFormat="1">
      <c r="A526" s="548"/>
      <c r="AG526" s="548"/>
    </row>
    <row r="527" spans="1:33" s="275" customFormat="1">
      <c r="A527" s="548"/>
      <c r="AG527" s="548"/>
    </row>
    <row r="528" spans="1:33" s="275" customFormat="1">
      <c r="A528" s="548"/>
      <c r="AG528" s="548"/>
    </row>
    <row r="529" spans="1:33" s="275" customFormat="1">
      <c r="A529" s="548"/>
      <c r="AG529" s="548"/>
    </row>
    <row r="530" spans="1:33" s="275" customFormat="1">
      <c r="A530" s="548"/>
      <c r="AG530" s="548"/>
    </row>
    <row r="531" spans="1:33" s="275" customFormat="1">
      <c r="A531" s="548"/>
      <c r="AG531" s="548"/>
    </row>
    <row r="532" spans="1:33" s="275" customFormat="1">
      <c r="A532" s="548"/>
      <c r="AG532" s="548"/>
    </row>
    <row r="533" spans="1:33" s="275" customFormat="1">
      <c r="A533" s="548"/>
      <c r="AG533" s="548"/>
    </row>
    <row r="534" spans="1:33" s="275" customFormat="1">
      <c r="A534" s="548"/>
      <c r="AG534" s="548"/>
    </row>
    <row r="535" spans="1:33" s="275" customFormat="1">
      <c r="A535" s="548"/>
      <c r="AG535" s="548"/>
    </row>
    <row r="536" spans="1:33" s="275" customFormat="1">
      <c r="A536" s="548"/>
      <c r="AG536" s="548"/>
    </row>
    <row r="537" spans="1:33" s="275" customFormat="1">
      <c r="A537" s="548"/>
      <c r="AG537" s="548"/>
    </row>
    <row r="538" spans="1:33" s="275" customFormat="1">
      <c r="A538" s="548"/>
      <c r="AG538" s="548"/>
    </row>
    <row r="539" spans="1:33" s="275" customFormat="1">
      <c r="A539" s="548"/>
      <c r="AG539" s="548"/>
    </row>
    <row r="540" spans="1:33" s="275" customFormat="1">
      <c r="A540" s="548"/>
      <c r="AG540" s="548"/>
    </row>
    <row r="541" spans="1:33" s="275" customFormat="1">
      <c r="A541" s="548"/>
      <c r="AG541" s="548"/>
    </row>
    <row r="542" spans="1:33" s="275" customFormat="1">
      <c r="A542" s="548"/>
      <c r="AG542" s="548"/>
    </row>
    <row r="543" spans="1:33" s="275" customFormat="1">
      <c r="A543" s="548"/>
      <c r="AG543" s="548"/>
    </row>
    <row r="544" spans="1:33" s="275" customFormat="1">
      <c r="A544" s="548"/>
      <c r="AG544" s="548"/>
    </row>
    <row r="545" spans="1:33" s="275" customFormat="1">
      <c r="A545" s="548"/>
      <c r="AG545" s="548"/>
    </row>
    <row r="546" spans="1:33" s="275" customFormat="1">
      <c r="A546" s="548"/>
      <c r="AG546" s="548"/>
    </row>
    <row r="547" spans="1:33" s="275" customFormat="1">
      <c r="A547" s="548"/>
      <c r="AG547" s="548"/>
    </row>
    <row r="548" spans="1:33" s="275" customFormat="1">
      <c r="A548" s="548"/>
      <c r="AG548" s="548"/>
    </row>
    <row r="549" spans="1:33" s="275" customFormat="1">
      <c r="A549" s="548"/>
      <c r="AG549" s="548"/>
    </row>
    <row r="550" spans="1:33" s="275" customFormat="1">
      <c r="A550" s="548"/>
      <c r="AG550" s="548"/>
    </row>
    <row r="551" spans="1:33" s="275" customFormat="1">
      <c r="A551" s="548"/>
      <c r="AG551" s="548"/>
    </row>
    <row r="552" spans="1:33" s="275" customFormat="1">
      <c r="A552" s="548"/>
      <c r="AG552" s="548"/>
    </row>
    <row r="553" spans="1:33" s="275" customFormat="1">
      <c r="A553" s="548"/>
      <c r="AG553" s="548"/>
    </row>
    <row r="554" spans="1:33" s="275" customFormat="1">
      <c r="A554" s="548"/>
      <c r="AG554" s="548"/>
    </row>
    <row r="555" spans="1:33" s="275" customFormat="1">
      <c r="A555" s="548"/>
      <c r="AG555" s="548"/>
    </row>
    <row r="556" spans="1:33" s="275" customFormat="1">
      <c r="A556" s="548"/>
      <c r="AG556" s="548"/>
    </row>
    <row r="557" spans="1:33" s="275" customFormat="1">
      <c r="A557" s="548"/>
      <c r="AG557" s="548"/>
    </row>
    <row r="558" spans="1:33" s="275" customFormat="1">
      <c r="A558" s="548"/>
      <c r="AG558" s="548"/>
    </row>
    <row r="559" spans="1:33" s="275" customFormat="1">
      <c r="A559" s="548"/>
      <c r="AG559" s="548"/>
    </row>
    <row r="560" spans="1:33" s="275" customFormat="1">
      <c r="A560" s="548"/>
      <c r="AG560" s="548"/>
    </row>
    <row r="561" spans="1:33" s="275" customFormat="1">
      <c r="A561" s="548"/>
      <c r="AG561" s="548"/>
    </row>
    <row r="562" spans="1:33" s="275" customFormat="1">
      <c r="A562" s="548"/>
      <c r="AG562" s="548"/>
    </row>
    <row r="563" spans="1:33" s="275" customFormat="1">
      <c r="A563" s="548"/>
      <c r="AG563" s="548"/>
    </row>
    <row r="564" spans="1:33" s="275" customFormat="1">
      <c r="A564" s="548"/>
      <c r="AG564" s="548"/>
    </row>
    <row r="565" spans="1:33" s="275" customFormat="1">
      <c r="A565" s="548"/>
      <c r="AG565" s="548"/>
    </row>
    <row r="566" spans="1:33" s="275" customFormat="1">
      <c r="A566" s="548"/>
      <c r="AG566" s="548"/>
    </row>
    <row r="567" spans="1:33" s="275" customFormat="1">
      <c r="A567" s="548"/>
      <c r="AG567" s="548"/>
    </row>
    <row r="568" spans="1:33" s="275" customFormat="1">
      <c r="A568" s="548"/>
      <c r="AG568" s="548"/>
    </row>
    <row r="569" spans="1:33" s="275" customFormat="1">
      <c r="A569" s="548"/>
      <c r="AG569" s="548"/>
    </row>
    <row r="570" spans="1:33" s="275" customFormat="1">
      <c r="A570" s="548"/>
      <c r="AG570" s="548"/>
    </row>
    <row r="571" spans="1:33" s="275" customFormat="1">
      <c r="A571" s="548"/>
      <c r="AG571" s="548"/>
    </row>
    <row r="572" spans="1:33" s="275" customFormat="1">
      <c r="A572" s="548"/>
      <c r="AG572" s="548"/>
    </row>
    <row r="573" spans="1:33" s="275" customFormat="1">
      <c r="A573" s="548"/>
      <c r="AG573" s="548"/>
    </row>
    <row r="574" spans="1:33" s="275" customFormat="1">
      <c r="A574" s="548"/>
      <c r="AG574" s="548"/>
    </row>
    <row r="575" spans="1:33" s="275" customFormat="1">
      <c r="A575" s="548"/>
      <c r="AG575" s="548"/>
    </row>
    <row r="576" spans="1:33" s="275" customFormat="1">
      <c r="A576" s="548"/>
      <c r="AG576" s="548"/>
    </row>
    <row r="577" spans="1:33" s="275" customFormat="1">
      <c r="A577" s="548"/>
      <c r="AG577" s="548"/>
    </row>
    <row r="578" spans="1:33" s="275" customFormat="1">
      <c r="A578" s="548"/>
      <c r="AG578" s="548"/>
    </row>
    <row r="579" spans="1:33" s="275" customFormat="1">
      <c r="A579" s="548"/>
      <c r="AG579" s="548"/>
    </row>
    <row r="580" spans="1:33" s="275" customFormat="1">
      <c r="A580" s="548"/>
      <c r="AG580" s="548"/>
    </row>
    <row r="581" spans="1:33" s="275" customFormat="1">
      <c r="A581" s="548"/>
      <c r="AG581" s="548"/>
    </row>
    <row r="582" spans="1:33" s="275" customFormat="1">
      <c r="A582" s="548"/>
      <c r="AG582" s="548"/>
    </row>
    <row r="583" spans="1:33" s="275" customFormat="1">
      <c r="A583" s="548"/>
      <c r="AG583" s="548"/>
    </row>
    <row r="584" spans="1:33" s="275" customFormat="1">
      <c r="A584" s="548"/>
      <c r="AG584" s="548"/>
    </row>
    <row r="585" spans="1:33" s="275" customFormat="1">
      <c r="A585" s="548"/>
      <c r="AG585" s="548"/>
    </row>
    <row r="586" spans="1:33" s="275" customFormat="1">
      <c r="A586" s="548"/>
      <c r="AG586" s="548"/>
    </row>
    <row r="587" spans="1:33" s="275" customFormat="1">
      <c r="A587" s="548"/>
      <c r="AG587" s="548"/>
    </row>
    <row r="588" spans="1:33" s="275" customFormat="1">
      <c r="A588" s="548"/>
      <c r="AG588" s="548"/>
    </row>
    <row r="589" spans="1:33" s="275" customFormat="1">
      <c r="A589" s="548"/>
      <c r="AG589" s="548"/>
    </row>
    <row r="590" spans="1:33" s="275" customFormat="1">
      <c r="A590" s="548"/>
      <c r="AG590" s="548"/>
    </row>
    <row r="591" spans="1:33" s="275" customFormat="1">
      <c r="A591" s="548"/>
      <c r="AG591" s="548"/>
    </row>
    <row r="592" spans="1:33" s="275" customFormat="1">
      <c r="A592" s="548"/>
      <c r="AG592" s="548"/>
    </row>
    <row r="593" spans="1:33" s="275" customFormat="1">
      <c r="A593" s="548"/>
      <c r="AG593" s="548"/>
    </row>
    <row r="594" spans="1:33" s="275" customFormat="1">
      <c r="A594" s="548"/>
      <c r="AG594" s="548"/>
    </row>
    <row r="595" spans="1:33" s="275" customFormat="1">
      <c r="A595" s="548"/>
      <c r="AG595" s="548"/>
    </row>
    <row r="596" spans="1:33" s="275" customFormat="1">
      <c r="A596" s="548"/>
      <c r="AG596" s="548"/>
    </row>
    <row r="597" spans="1:33" s="275" customFormat="1">
      <c r="A597" s="548"/>
      <c r="AG597" s="548"/>
    </row>
    <row r="598" spans="1:33" s="275" customFormat="1">
      <c r="A598" s="548"/>
      <c r="AG598" s="548"/>
    </row>
    <row r="599" spans="1:33" s="275" customFormat="1">
      <c r="A599" s="548"/>
      <c r="AG599" s="548"/>
    </row>
    <row r="600" spans="1:33" s="275" customFormat="1">
      <c r="A600" s="548"/>
      <c r="AG600" s="548"/>
    </row>
    <row r="601" spans="1:33" s="275" customFormat="1">
      <c r="A601" s="548"/>
      <c r="AG601" s="548"/>
    </row>
    <row r="602" spans="1:33" s="275" customFormat="1">
      <c r="A602" s="548"/>
      <c r="AG602" s="548"/>
    </row>
    <row r="603" spans="1:33" s="275" customFormat="1">
      <c r="A603" s="548"/>
      <c r="AG603" s="548"/>
    </row>
    <row r="604" spans="1:33" s="275" customFormat="1">
      <c r="A604" s="548"/>
      <c r="AG604" s="548"/>
    </row>
    <row r="605" spans="1:33" s="275" customFormat="1">
      <c r="A605" s="548"/>
      <c r="AG605" s="548"/>
    </row>
    <row r="606" spans="1:33" s="275" customFormat="1">
      <c r="A606" s="548"/>
      <c r="AG606" s="548"/>
    </row>
    <row r="607" spans="1:33" s="275" customFormat="1">
      <c r="A607" s="548"/>
      <c r="AG607" s="548"/>
    </row>
    <row r="608" spans="1:33" s="275" customFormat="1">
      <c r="A608" s="548"/>
      <c r="AG608" s="548"/>
    </row>
    <row r="609" spans="1:33" s="275" customFormat="1">
      <c r="A609" s="548"/>
      <c r="AG609" s="548"/>
    </row>
    <row r="610" spans="1:33" s="275" customFormat="1">
      <c r="A610" s="548"/>
      <c r="AG610" s="548"/>
    </row>
    <row r="611" spans="1:33" s="275" customFormat="1">
      <c r="A611" s="548"/>
      <c r="AG611" s="548"/>
    </row>
    <row r="612" spans="1:33" s="275" customFormat="1">
      <c r="A612" s="548"/>
      <c r="AG612" s="548"/>
    </row>
    <row r="613" spans="1:33" s="275" customFormat="1">
      <c r="A613" s="548"/>
      <c r="AG613" s="548"/>
    </row>
    <row r="614" spans="1:33" s="275" customFormat="1">
      <c r="A614" s="548"/>
      <c r="AG614" s="548"/>
    </row>
    <row r="615" spans="1:33" s="275" customFormat="1">
      <c r="A615" s="548"/>
      <c r="AG615" s="548"/>
    </row>
    <row r="616" spans="1:33" s="275" customFormat="1">
      <c r="A616" s="548"/>
      <c r="AG616" s="548"/>
    </row>
    <row r="617" spans="1:33" s="275" customFormat="1">
      <c r="A617" s="548"/>
      <c r="AG617" s="548"/>
    </row>
    <row r="618" spans="1:33" s="275" customFormat="1">
      <c r="A618" s="548"/>
      <c r="AG618" s="548"/>
    </row>
    <row r="619" spans="1:33" s="275" customFormat="1">
      <c r="A619" s="548"/>
      <c r="AG619" s="548"/>
    </row>
    <row r="620" spans="1:33" s="275" customFormat="1">
      <c r="A620" s="548"/>
      <c r="AG620" s="548"/>
    </row>
    <row r="621" spans="1:33" s="275" customFormat="1">
      <c r="A621" s="548"/>
      <c r="AG621" s="548"/>
    </row>
    <row r="622" spans="1:33" s="275" customFormat="1">
      <c r="A622" s="548"/>
      <c r="AG622" s="548"/>
    </row>
    <row r="623" spans="1:33" s="275" customFormat="1">
      <c r="A623" s="548"/>
      <c r="AG623" s="548"/>
    </row>
    <row r="624" spans="1:33" s="275" customFormat="1">
      <c r="A624" s="548"/>
      <c r="AG624" s="548"/>
    </row>
    <row r="625" spans="1:33" s="275" customFormat="1">
      <c r="A625" s="548"/>
      <c r="AG625" s="548"/>
    </row>
    <row r="626" spans="1:33" s="275" customFormat="1">
      <c r="A626" s="548"/>
      <c r="AG626" s="548"/>
    </row>
    <row r="627" spans="1:33" s="275" customFormat="1">
      <c r="A627" s="548"/>
      <c r="AG627" s="548"/>
    </row>
    <row r="628" spans="1:33" s="275" customFormat="1">
      <c r="A628" s="548"/>
      <c r="AG628" s="548"/>
    </row>
    <row r="629" spans="1:33" s="275" customFormat="1">
      <c r="A629" s="548"/>
      <c r="AG629" s="548"/>
    </row>
    <row r="630" spans="1:33" s="275" customFormat="1">
      <c r="A630" s="548"/>
      <c r="AG630" s="548"/>
    </row>
    <row r="631" spans="1:33" s="275" customFormat="1">
      <c r="A631" s="548"/>
      <c r="AG631" s="548"/>
    </row>
    <row r="632" spans="1:33" s="275" customFormat="1">
      <c r="A632" s="548"/>
      <c r="AG632" s="548"/>
    </row>
    <row r="633" spans="1:33" s="275" customFormat="1">
      <c r="A633" s="548"/>
      <c r="AG633" s="548"/>
    </row>
    <row r="634" spans="1:33" s="275" customFormat="1">
      <c r="A634" s="548"/>
      <c r="AG634" s="548"/>
    </row>
    <row r="635" spans="1:33" s="275" customFormat="1">
      <c r="A635" s="548"/>
      <c r="AG635" s="548"/>
    </row>
    <row r="636" spans="1:33" s="275" customFormat="1">
      <c r="A636" s="548"/>
      <c r="AG636" s="548"/>
    </row>
    <row r="637" spans="1:33" s="275" customFormat="1">
      <c r="A637" s="548"/>
      <c r="AG637" s="548"/>
    </row>
    <row r="638" spans="1:33" s="275" customFormat="1">
      <c r="A638" s="548"/>
      <c r="AG638" s="548"/>
    </row>
    <row r="639" spans="1:33" s="275" customFormat="1">
      <c r="A639" s="548"/>
      <c r="AG639" s="548"/>
    </row>
    <row r="640" spans="1:33" s="275" customFormat="1">
      <c r="A640" s="548"/>
      <c r="AG640" s="548"/>
    </row>
    <row r="641" spans="1:33" s="275" customFormat="1">
      <c r="A641" s="548"/>
      <c r="AG641" s="548"/>
    </row>
    <row r="642" spans="1:33" s="275" customFormat="1">
      <c r="A642" s="548"/>
      <c r="AG642" s="548"/>
    </row>
    <row r="643" spans="1:33" s="275" customFormat="1">
      <c r="A643" s="548"/>
      <c r="AG643" s="548"/>
    </row>
    <row r="644" spans="1:33" s="275" customFormat="1">
      <c r="A644" s="548"/>
      <c r="AG644" s="548"/>
    </row>
    <row r="645" spans="1:33" s="275" customFormat="1">
      <c r="A645" s="548"/>
      <c r="AG645" s="548"/>
    </row>
    <row r="646" spans="1:33" s="275" customFormat="1">
      <c r="A646" s="548"/>
      <c r="AG646" s="548"/>
    </row>
    <row r="647" spans="1:33" s="275" customFormat="1">
      <c r="A647" s="548"/>
      <c r="AG647" s="548"/>
    </row>
    <row r="648" spans="1:33" s="275" customFormat="1">
      <c r="A648" s="548"/>
      <c r="AG648" s="548"/>
    </row>
    <row r="649" spans="1:33" s="275" customFormat="1">
      <c r="A649" s="548"/>
      <c r="AG649" s="548"/>
    </row>
    <row r="650" spans="1:33" s="275" customFormat="1">
      <c r="A650" s="548"/>
      <c r="AG650" s="548"/>
    </row>
    <row r="651" spans="1:33" s="275" customFormat="1">
      <c r="A651" s="548"/>
      <c r="AG651" s="548"/>
    </row>
    <row r="652" spans="1:33" s="275" customFormat="1">
      <c r="A652" s="548"/>
      <c r="AG652" s="548"/>
    </row>
    <row r="653" spans="1:33" s="275" customFormat="1">
      <c r="A653" s="548"/>
      <c r="AG653" s="548"/>
    </row>
    <row r="654" spans="1:33" s="275" customFormat="1">
      <c r="A654" s="548"/>
      <c r="AG654" s="548"/>
    </row>
    <row r="655" spans="1:33" s="275" customFormat="1">
      <c r="A655" s="548"/>
      <c r="AG655" s="548"/>
    </row>
    <row r="656" spans="1:33" s="275" customFormat="1">
      <c r="A656" s="548"/>
      <c r="AG656" s="548"/>
    </row>
    <row r="657" spans="1:33" s="275" customFormat="1">
      <c r="A657" s="548"/>
      <c r="AG657" s="548"/>
    </row>
    <row r="658" spans="1:33" s="275" customFormat="1">
      <c r="A658" s="548"/>
      <c r="AG658" s="548"/>
    </row>
    <row r="659" spans="1:33" s="275" customFormat="1">
      <c r="A659" s="548"/>
      <c r="AG659" s="548"/>
    </row>
    <row r="660" spans="1:33" s="275" customFormat="1">
      <c r="A660" s="548"/>
      <c r="AG660" s="548"/>
    </row>
    <row r="661" spans="1:33" s="275" customFormat="1">
      <c r="A661" s="548"/>
      <c r="AG661" s="548"/>
    </row>
    <row r="662" spans="1:33" s="275" customFormat="1">
      <c r="A662" s="548"/>
      <c r="AG662" s="548"/>
    </row>
    <row r="663" spans="1:33" s="275" customFormat="1">
      <c r="A663" s="548"/>
      <c r="AG663" s="548"/>
    </row>
    <row r="664" spans="1:33" s="275" customFormat="1">
      <c r="A664" s="548"/>
      <c r="AG664" s="548"/>
    </row>
    <row r="665" spans="1:33" s="275" customFormat="1">
      <c r="A665" s="548"/>
      <c r="AG665" s="548"/>
    </row>
    <row r="666" spans="1:33" s="275" customFormat="1">
      <c r="A666" s="548"/>
      <c r="AG666" s="548"/>
    </row>
    <row r="667" spans="1:33" s="275" customFormat="1">
      <c r="A667" s="548"/>
      <c r="AG667" s="548"/>
    </row>
    <row r="668" spans="1:33" s="275" customFormat="1">
      <c r="A668" s="548"/>
      <c r="AG668" s="548"/>
    </row>
    <row r="669" spans="1:33" s="275" customFormat="1">
      <c r="A669" s="548"/>
      <c r="AG669" s="548"/>
    </row>
    <row r="670" spans="1:33" s="275" customFormat="1">
      <c r="A670" s="548"/>
      <c r="AG670" s="548"/>
    </row>
    <row r="671" spans="1:33" s="275" customFormat="1">
      <c r="A671" s="548"/>
      <c r="AG671" s="548"/>
    </row>
    <row r="672" spans="1:33" s="275" customFormat="1">
      <c r="A672" s="548"/>
      <c r="AG672" s="548"/>
    </row>
    <row r="673" spans="1:33" s="275" customFormat="1">
      <c r="A673" s="548"/>
      <c r="AG673" s="548"/>
    </row>
    <row r="674" spans="1:33" s="275" customFormat="1">
      <c r="A674" s="548"/>
      <c r="AG674" s="548"/>
    </row>
    <row r="675" spans="1:33" s="275" customFormat="1">
      <c r="A675" s="548"/>
      <c r="AG675" s="548"/>
    </row>
    <row r="676" spans="1:33" s="275" customFormat="1">
      <c r="A676" s="548"/>
      <c r="AG676" s="548"/>
    </row>
    <row r="677" spans="1:33" s="275" customFormat="1">
      <c r="A677" s="548"/>
      <c r="AG677" s="548"/>
    </row>
    <row r="678" spans="1:33" s="275" customFormat="1">
      <c r="A678" s="548"/>
      <c r="AG678" s="548"/>
    </row>
    <row r="679" spans="1:33" s="275" customFormat="1">
      <c r="A679" s="548"/>
      <c r="AG679" s="548"/>
    </row>
    <row r="680" spans="1:33" s="275" customFormat="1">
      <c r="A680" s="548"/>
      <c r="AG680" s="548"/>
    </row>
    <row r="681" spans="1:33" s="275" customFormat="1">
      <c r="A681" s="548"/>
      <c r="AG681" s="548"/>
    </row>
    <row r="682" spans="1:33" s="275" customFormat="1">
      <c r="A682" s="548"/>
      <c r="AG682" s="548"/>
    </row>
    <row r="683" spans="1:33" s="275" customFormat="1">
      <c r="A683" s="548"/>
      <c r="AG683" s="548"/>
    </row>
    <row r="684" spans="1:33" s="275" customFormat="1">
      <c r="A684" s="548"/>
      <c r="AG684" s="548"/>
    </row>
    <row r="685" spans="1:33" s="275" customFormat="1">
      <c r="A685" s="548"/>
      <c r="AG685" s="548"/>
    </row>
    <row r="686" spans="1:33" s="275" customFormat="1">
      <c r="A686" s="548"/>
      <c r="AG686" s="548"/>
    </row>
    <row r="687" spans="1:33" s="275" customFormat="1">
      <c r="A687" s="548"/>
      <c r="AG687" s="548"/>
    </row>
    <row r="688" spans="1:33" s="275" customFormat="1">
      <c r="A688" s="548"/>
      <c r="AG688" s="548"/>
    </row>
    <row r="689" spans="1:33" s="275" customFormat="1">
      <c r="A689" s="548"/>
      <c r="AG689" s="548"/>
    </row>
    <row r="690" spans="1:33" s="275" customFormat="1">
      <c r="A690" s="548"/>
      <c r="AG690" s="548"/>
    </row>
    <row r="691" spans="1:33" s="275" customFormat="1">
      <c r="A691" s="548"/>
      <c r="AG691" s="548"/>
    </row>
    <row r="692" spans="1:33" s="275" customFormat="1">
      <c r="A692" s="548"/>
      <c r="AG692" s="548"/>
    </row>
    <row r="693" spans="1:33" s="275" customFormat="1">
      <c r="A693" s="548"/>
      <c r="AG693" s="548"/>
    </row>
    <row r="694" spans="1:33" s="275" customFormat="1">
      <c r="A694" s="548"/>
      <c r="AG694" s="548"/>
    </row>
    <row r="695" spans="1:33" s="275" customFormat="1">
      <c r="A695" s="548"/>
      <c r="AG695" s="548"/>
    </row>
    <row r="696" spans="1:33" s="275" customFormat="1">
      <c r="A696" s="548"/>
      <c r="AG696" s="548"/>
    </row>
    <row r="697" spans="1:33" s="275" customFormat="1">
      <c r="A697" s="548"/>
      <c r="AG697" s="548"/>
    </row>
    <row r="698" spans="1:33" s="275" customFormat="1">
      <c r="A698" s="548"/>
      <c r="AG698" s="548"/>
    </row>
    <row r="699" spans="1:33" s="275" customFormat="1">
      <c r="A699" s="548"/>
      <c r="AG699" s="548"/>
    </row>
    <row r="700" spans="1:33" s="275" customFormat="1">
      <c r="A700" s="548"/>
      <c r="AG700" s="548"/>
    </row>
    <row r="701" spans="1:33" s="275" customFormat="1">
      <c r="A701" s="548"/>
      <c r="AG701" s="548"/>
    </row>
    <row r="702" spans="1:33" s="275" customFormat="1">
      <c r="A702" s="548"/>
      <c r="AG702" s="548"/>
    </row>
    <row r="703" spans="1:33" s="275" customFormat="1">
      <c r="A703" s="548"/>
      <c r="AG703" s="548"/>
    </row>
    <row r="704" spans="1:33" s="275" customFormat="1">
      <c r="A704" s="548"/>
      <c r="AG704" s="548"/>
    </row>
    <row r="705" spans="1:33" s="275" customFormat="1">
      <c r="A705" s="548"/>
      <c r="AG705" s="548"/>
    </row>
    <row r="706" spans="1:33" s="275" customFormat="1">
      <c r="A706" s="548"/>
      <c r="AG706" s="548"/>
    </row>
    <row r="707" spans="1:33" s="275" customFormat="1">
      <c r="A707" s="548"/>
      <c r="AG707" s="548"/>
    </row>
    <row r="708" spans="1:33" s="275" customFormat="1">
      <c r="A708" s="548"/>
      <c r="AG708" s="548"/>
    </row>
    <row r="709" spans="1:33" s="275" customFormat="1">
      <c r="A709" s="548"/>
      <c r="AG709" s="548"/>
    </row>
    <row r="710" spans="1:33" s="275" customFormat="1">
      <c r="A710" s="548"/>
      <c r="AG710" s="548"/>
    </row>
    <row r="711" spans="1:33" s="275" customFormat="1">
      <c r="A711" s="548"/>
      <c r="AG711" s="548"/>
    </row>
    <row r="712" spans="1:33" s="275" customFormat="1">
      <c r="A712" s="548"/>
      <c r="AG712" s="548"/>
    </row>
    <row r="713" spans="1:33" s="275" customFormat="1">
      <c r="A713" s="548"/>
      <c r="AG713" s="548"/>
    </row>
    <row r="714" spans="1:33" s="275" customFormat="1">
      <c r="A714" s="548"/>
      <c r="AG714" s="548"/>
    </row>
    <row r="715" spans="1:33" s="275" customFormat="1">
      <c r="A715" s="548"/>
      <c r="AG715" s="548"/>
    </row>
    <row r="716" spans="1:33" s="275" customFormat="1">
      <c r="A716" s="548"/>
      <c r="AG716" s="548"/>
    </row>
    <row r="717" spans="1:33" s="275" customFormat="1">
      <c r="A717" s="548"/>
      <c r="AG717" s="548"/>
    </row>
    <row r="718" spans="1:33" s="275" customFormat="1">
      <c r="A718" s="548"/>
      <c r="AG718" s="548"/>
    </row>
    <row r="719" spans="1:33" s="275" customFormat="1">
      <c r="A719" s="548"/>
      <c r="AG719" s="548"/>
    </row>
    <row r="720" spans="1:33" s="275" customFormat="1">
      <c r="A720" s="548"/>
      <c r="AG720" s="548"/>
    </row>
    <row r="721" spans="1:33" s="275" customFormat="1">
      <c r="A721" s="548"/>
      <c r="AG721" s="548"/>
    </row>
    <row r="722" spans="1:33" s="275" customFormat="1">
      <c r="A722" s="548"/>
      <c r="AG722" s="548"/>
    </row>
    <row r="723" spans="1:33" s="275" customFormat="1">
      <c r="A723" s="548"/>
      <c r="AG723" s="548"/>
    </row>
    <row r="724" spans="1:33" s="275" customFormat="1">
      <c r="A724" s="548"/>
      <c r="AG724" s="548"/>
    </row>
    <row r="725" spans="1:33" s="275" customFormat="1">
      <c r="A725" s="548"/>
      <c r="AG725" s="548"/>
    </row>
    <row r="726" spans="1:33" s="275" customFormat="1">
      <c r="A726" s="548"/>
      <c r="AG726" s="548"/>
    </row>
    <row r="727" spans="1:33" s="275" customFormat="1">
      <c r="A727" s="548"/>
      <c r="AG727" s="548"/>
    </row>
    <row r="728" spans="1:33" s="275" customFormat="1">
      <c r="A728" s="548"/>
      <c r="AG728" s="548"/>
    </row>
    <row r="729" spans="1:33" s="275" customFormat="1">
      <c r="A729" s="548"/>
      <c r="AG729" s="548"/>
    </row>
    <row r="730" spans="1:33" s="275" customFormat="1">
      <c r="A730" s="548"/>
      <c r="AG730" s="548"/>
    </row>
    <row r="731" spans="1:33" s="275" customFormat="1">
      <c r="A731" s="548"/>
      <c r="AG731" s="548"/>
    </row>
    <row r="732" spans="1:33" s="275" customFormat="1">
      <c r="A732" s="548"/>
      <c r="AG732" s="548"/>
    </row>
    <row r="733" spans="1:33" s="275" customFormat="1">
      <c r="A733" s="548"/>
      <c r="AG733" s="548"/>
    </row>
    <row r="734" spans="1:33" s="275" customFormat="1">
      <c r="A734" s="548"/>
      <c r="AG734" s="548"/>
    </row>
    <row r="735" spans="1:33" s="275" customFormat="1">
      <c r="A735" s="548"/>
      <c r="AG735" s="548"/>
    </row>
    <row r="736" spans="1:33" s="275" customFormat="1">
      <c r="A736" s="548"/>
      <c r="AG736" s="548"/>
    </row>
    <row r="737" spans="1:33" s="275" customFormat="1">
      <c r="A737" s="548"/>
      <c r="AG737" s="548"/>
    </row>
    <row r="738" spans="1:33" s="275" customFormat="1">
      <c r="A738" s="548"/>
      <c r="AG738" s="548"/>
    </row>
    <row r="739" spans="1:33" s="275" customFormat="1">
      <c r="A739" s="548"/>
      <c r="AG739" s="548"/>
    </row>
    <row r="740" spans="1:33" s="275" customFormat="1">
      <c r="A740" s="548"/>
      <c r="AG740" s="548"/>
    </row>
    <row r="741" spans="1:33" s="275" customFormat="1">
      <c r="A741" s="548"/>
      <c r="AG741" s="548"/>
    </row>
    <row r="742" spans="1:33" s="275" customFormat="1">
      <c r="A742" s="548"/>
      <c r="AG742" s="548"/>
    </row>
    <row r="743" spans="1:33" s="275" customFormat="1">
      <c r="A743" s="548"/>
      <c r="AG743" s="548"/>
    </row>
    <row r="744" spans="1:33" s="275" customFormat="1">
      <c r="A744" s="548"/>
      <c r="AG744" s="548"/>
    </row>
    <row r="745" spans="1:33" s="275" customFormat="1">
      <c r="A745" s="548"/>
      <c r="AG745" s="548"/>
    </row>
    <row r="746" spans="1:33" s="275" customFormat="1">
      <c r="A746" s="548"/>
      <c r="AG746" s="548"/>
    </row>
    <row r="747" spans="1:33" s="275" customFormat="1">
      <c r="A747" s="548"/>
      <c r="AG747" s="548"/>
    </row>
    <row r="748" spans="1:33" s="275" customFormat="1">
      <c r="A748" s="548"/>
      <c r="AG748" s="548"/>
    </row>
    <row r="749" spans="1:33" s="275" customFormat="1">
      <c r="A749" s="548"/>
      <c r="AG749" s="548"/>
    </row>
    <row r="750" spans="1:33" s="275" customFormat="1">
      <c r="A750" s="548"/>
      <c r="AG750" s="548"/>
    </row>
    <row r="751" spans="1:33" s="275" customFormat="1">
      <c r="A751" s="548"/>
      <c r="AG751" s="548"/>
    </row>
    <row r="752" spans="1:33" s="275" customFormat="1">
      <c r="A752" s="548"/>
      <c r="AG752" s="548"/>
    </row>
    <row r="753" spans="1:33" s="275" customFormat="1">
      <c r="A753" s="548"/>
      <c r="AG753" s="548"/>
    </row>
    <row r="754" spans="1:33" s="275" customFormat="1">
      <c r="A754" s="548"/>
      <c r="AG754" s="548"/>
    </row>
    <row r="755" spans="1:33" s="275" customFormat="1">
      <c r="A755" s="548"/>
      <c r="AG755" s="548"/>
    </row>
    <row r="756" spans="1:33" s="275" customFormat="1">
      <c r="A756" s="548"/>
      <c r="AG756" s="548"/>
    </row>
    <row r="757" spans="1:33" s="275" customFormat="1">
      <c r="A757" s="548"/>
      <c r="AG757" s="548"/>
    </row>
    <row r="758" spans="1:33" s="275" customFormat="1">
      <c r="A758" s="548"/>
      <c r="AG758" s="548"/>
    </row>
    <row r="759" spans="1:33" s="275" customFormat="1">
      <c r="A759" s="548"/>
      <c r="AG759" s="548"/>
    </row>
    <row r="760" spans="1:33" s="275" customFormat="1">
      <c r="A760" s="548"/>
      <c r="AG760" s="548"/>
    </row>
    <row r="761" spans="1:33" s="275" customFormat="1">
      <c r="A761" s="548"/>
      <c r="AG761" s="548"/>
    </row>
    <row r="762" spans="1:33" s="275" customFormat="1">
      <c r="A762" s="548"/>
      <c r="AG762" s="548"/>
    </row>
    <row r="763" spans="1:33" s="275" customFormat="1">
      <c r="A763" s="548"/>
      <c r="AG763" s="548"/>
    </row>
    <row r="764" spans="1:33" s="275" customFormat="1">
      <c r="A764" s="548"/>
      <c r="AG764" s="548"/>
    </row>
    <row r="765" spans="1:33" s="275" customFormat="1">
      <c r="A765" s="548"/>
      <c r="AG765" s="548"/>
    </row>
    <row r="766" spans="1:33" s="275" customFormat="1">
      <c r="A766" s="548"/>
      <c r="AG766" s="548"/>
    </row>
    <row r="767" spans="1:33" s="275" customFormat="1">
      <c r="A767" s="548"/>
      <c r="AG767" s="548"/>
    </row>
    <row r="768" spans="1:33" s="275" customFormat="1">
      <c r="A768" s="548"/>
      <c r="AG768" s="548"/>
    </row>
    <row r="769" spans="1:34" s="275" customFormat="1">
      <c r="A769" s="548"/>
      <c r="AG769" s="548"/>
    </row>
    <row r="770" spans="1:34" s="275" customFormat="1">
      <c r="A770" s="548"/>
      <c r="AG770" s="548"/>
    </row>
    <row r="771" spans="1:34" s="275" customFormat="1">
      <c r="A771" s="548"/>
      <c r="AG771" s="548"/>
    </row>
    <row r="772" spans="1:34" s="275" customFormat="1">
      <c r="A772" s="548"/>
      <c r="AG772" s="548"/>
    </row>
    <row r="773" spans="1:34" s="275" customFormat="1">
      <c r="A773" s="548"/>
      <c r="AG773" s="548"/>
    </row>
    <row r="774" spans="1:34" s="275" customFormat="1">
      <c r="A774" s="548"/>
      <c r="AG774" s="548"/>
    </row>
    <row r="775" spans="1:34" s="275" customFormat="1">
      <c r="A775" s="548"/>
      <c r="AG775" s="548"/>
    </row>
    <row r="776" spans="1:34" s="275" customFormat="1">
      <c r="A776" s="548"/>
      <c r="AG776" s="548"/>
    </row>
    <row r="777" spans="1:34" s="275" customFormat="1">
      <c r="A777" s="548"/>
      <c r="AG777" s="548"/>
    </row>
    <row r="778" spans="1:34" s="275" customFormat="1">
      <c r="A778" s="548"/>
      <c r="AG778" s="548"/>
    </row>
    <row r="779" spans="1:34" s="275" customFormat="1">
      <c r="A779" s="548"/>
      <c r="AG779" s="548"/>
    </row>
    <row r="780" spans="1:34" s="275" customFormat="1">
      <c r="A780" s="548"/>
      <c r="AG780" s="548"/>
    </row>
    <row r="781" spans="1:34" s="599" customFormat="1">
      <c r="A781" s="600"/>
      <c r="B781" s="277"/>
      <c r="C781" s="277"/>
      <c r="D781" s="275"/>
      <c r="E781" s="275"/>
      <c r="F781" s="275"/>
      <c r="M781" s="277"/>
      <c r="N781" s="277"/>
      <c r="O781" s="277"/>
      <c r="P781" s="277"/>
      <c r="Q781" s="277"/>
      <c r="R781" s="277"/>
      <c r="S781" s="277"/>
      <c r="T781" s="277"/>
      <c r="U781" s="277"/>
      <c r="V781" s="277"/>
      <c r="W781" s="277"/>
      <c r="X781" s="277"/>
      <c r="Y781" s="277"/>
      <c r="Z781" s="277"/>
      <c r="AA781" s="277"/>
      <c r="AB781" s="277"/>
      <c r="AC781" s="277"/>
      <c r="AD781" s="277"/>
      <c r="AE781" s="277"/>
      <c r="AF781" s="277"/>
      <c r="AG781" s="282"/>
      <c r="AH781" s="277"/>
    </row>
  </sheetData>
  <mergeCells count="3">
    <mergeCell ref="E9:P9"/>
    <mergeCell ref="Q9:AB9"/>
    <mergeCell ref="AD9:AF9"/>
  </mergeCells>
  <hyperlinks>
    <hyperlink ref="P1" location="Index!A1" display="Return to Index" xr:uid="{00000000-0004-0000-0600-000000000000}"/>
  </hyperlinks>
  <printOptions horizontalCentered="1"/>
  <pageMargins left="0.25" right="0.25" top="0.5" bottom="0.5" header="0.5" footer="0.5"/>
  <pageSetup scale="30" orientation="landscape" horizontalDpi="1200" verticalDpi="1200" r:id="rId1"/>
  <headerFooter alignWithMargins="0">
    <oddFooter>&amp;L&amp;8Planning &amp; Accountability&amp;R&amp;8&amp;D</oddFooter>
  </headerFooter>
  <rowBreaks count="1" manualBreakCount="1">
    <brk id="26" max="13" man="1"/>
  </rowBreaks>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Z782"/>
  <sheetViews>
    <sheetView showGridLines="0" zoomScale="85" zoomScaleNormal="85" workbookViewId="0">
      <pane xSplit="5" ySplit="10" topLeftCell="F11" activePane="bottomRight" state="frozen"/>
      <selection activeCell="B4" sqref="A1:XFD1048576"/>
      <selection pane="topRight" activeCell="B4" sqref="A1:XFD1048576"/>
      <selection pane="bottomLeft" activeCell="B4" sqref="A1:XFD1048576"/>
      <selection pane="bottomRight" activeCell="Q43" sqref="Q43"/>
    </sheetView>
  </sheetViews>
  <sheetFormatPr defaultColWidth="9.109375" defaultRowHeight="13.2"/>
  <cols>
    <col min="1" max="1" width="9.109375" style="277"/>
    <col min="2" max="2" width="8.5546875" style="282" customWidth="1"/>
    <col min="3" max="3" width="8.109375" style="277" customWidth="1"/>
    <col min="4" max="4" width="6.6640625" style="277" customWidth="1"/>
    <col min="5" max="5" width="25.109375" style="277" customWidth="1"/>
    <col min="6" max="6" width="9.5546875" style="277" customWidth="1"/>
    <col min="7" max="7" width="10.6640625" style="599" customWidth="1"/>
    <col min="8" max="8" width="11.109375" style="277" customWidth="1"/>
    <col min="9" max="9" width="10.5546875" style="599" customWidth="1"/>
    <col min="10" max="10" width="10.44140625" style="599" customWidth="1"/>
    <col min="11" max="11" width="12.33203125" style="599" customWidth="1"/>
    <col min="12" max="12" width="10.88671875" style="277" customWidth="1"/>
    <col min="13" max="13" width="12.33203125" style="599" customWidth="1"/>
    <col min="14" max="14" width="12.88671875" style="277" customWidth="1"/>
    <col min="15" max="15" width="11.109375" style="277" customWidth="1"/>
    <col min="16" max="16" width="10.33203125" style="277" customWidth="1"/>
    <col min="17" max="17" width="16" style="277" customWidth="1"/>
    <col min="18" max="18" width="15.5546875" style="277" customWidth="1"/>
    <col min="19" max="19" width="4.88671875" style="277" customWidth="1"/>
    <col min="20" max="20" width="20.109375" style="277" customWidth="1"/>
    <col min="21" max="21" width="16.44140625" style="277" customWidth="1"/>
    <col min="22" max="22" width="26" style="277" customWidth="1"/>
    <col min="23" max="23" width="9.109375" style="277"/>
    <col min="24" max="24" width="25.77734375" style="277" hidden="1" customWidth="1"/>
    <col min="25" max="25" width="23" style="277" hidden="1" customWidth="1"/>
    <col min="26" max="26" width="13.33203125" style="277" hidden="1" customWidth="1"/>
    <col min="27" max="16384" width="9.109375" style="277"/>
  </cols>
  <sheetData>
    <row r="1" spans="1:26" ht="13.8" thickBot="1">
      <c r="G1" s="275"/>
      <c r="H1" s="293" t="s">
        <v>248</v>
      </c>
      <c r="I1" s="275"/>
      <c r="J1" s="279"/>
      <c r="K1" s="656"/>
      <c r="M1" s="275"/>
      <c r="N1" s="275"/>
      <c r="O1" s="275"/>
      <c r="P1" s="275"/>
      <c r="Q1" s="545" t="s">
        <v>51</v>
      </c>
    </row>
    <row r="2" spans="1:26">
      <c r="G2" s="275"/>
      <c r="H2" s="293" t="s">
        <v>1716</v>
      </c>
      <c r="I2" s="275"/>
      <c r="J2" s="275"/>
      <c r="K2" s="275"/>
      <c r="L2" s="275"/>
      <c r="M2" s="275"/>
      <c r="N2" s="275"/>
      <c r="O2" s="275"/>
      <c r="P2" s="275"/>
    </row>
    <row r="3" spans="1:26">
      <c r="G3" s="275"/>
      <c r="H3" s="657">
        <v>45093</v>
      </c>
      <c r="I3" s="275"/>
      <c r="J3" s="275"/>
      <c r="K3" s="275"/>
      <c r="L3" s="275"/>
      <c r="M3" s="275"/>
      <c r="N3" s="275"/>
      <c r="O3" s="275"/>
      <c r="P3" s="275"/>
    </row>
    <row r="4" spans="1:26">
      <c r="B4" s="546"/>
      <c r="G4" s="275"/>
      <c r="I4" s="293"/>
      <c r="J4" s="275"/>
      <c r="K4" s="275"/>
      <c r="L4" s="275"/>
      <c r="M4" s="275"/>
      <c r="N4" s="275"/>
      <c r="O4" s="275"/>
      <c r="P4" s="275"/>
      <c r="Q4" s="658" t="s">
        <v>264</v>
      </c>
      <c r="R4" s="658" t="s">
        <v>264</v>
      </c>
    </row>
    <row r="5" spans="1:26">
      <c r="B5" s="277"/>
      <c r="C5" s="546"/>
      <c r="G5" s="275"/>
      <c r="I5" s="293"/>
      <c r="J5" s="275"/>
      <c r="K5" s="275"/>
      <c r="L5" s="275"/>
      <c r="M5" s="275"/>
      <c r="N5" s="275"/>
      <c r="O5" s="275"/>
      <c r="P5" s="275"/>
      <c r="Q5" s="659">
        <v>45055</v>
      </c>
      <c r="R5" s="659"/>
    </row>
    <row r="6" spans="1:26">
      <c r="B6" s="277"/>
      <c r="C6" s="546"/>
      <c r="G6" s="275"/>
      <c r="I6" s="293"/>
      <c r="J6" s="275"/>
      <c r="K6" s="275"/>
      <c r="L6" s="275"/>
      <c r="M6" s="275"/>
      <c r="N6" s="275"/>
      <c r="O6" s="275"/>
      <c r="P6" s="275"/>
    </row>
    <row r="7" spans="1:26">
      <c r="A7" s="277" t="s">
        <v>265</v>
      </c>
      <c r="C7" s="546"/>
      <c r="G7" s="275"/>
      <c r="I7" s="293"/>
      <c r="J7" s="275"/>
      <c r="K7" s="275"/>
      <c r="L7" s="275"/>
      <c r="M7" s="275"/>
      <c r="N7" s="275"/>
      <c r="O7" s="275"/>
      <c r="P7" s="275"/>
      <c r="Q7" s="1245" t="s">
        <v>266</v>
      </c>
      <c r="R7" s="1246"/>
    </row>
    <row r="8" spans="1:26">
      <c r="C8" s="546"/>
      <c r="G8" s="275"/>
      <c r="I8" s="293"/>
      <c r="J8" s="275"/>
      <c r="K8" s="275"/>
      <c r="L8" s="275"/>
      <c r="M8" s="275"/>
      <c r="N8" s="275"/>
      <c r="O8" s="275"/>
      <c r="P8" s="275"/>
    </row>
    <row r="9" spans="1:26" ht="15.75" customHeight="1">
      <c r="C9" s="546"/>
      <c r="D9" s="277" t="s">
        <v>224</v>
      </c>
      <c r="F9" s="1242" t="s">
        <v>267</v>
      </c>
      <c r="G9" s="1243"/>
      <c r="H9" s="1243"/>
      <c r="I9" s="1243"/>
      <c r="J9" s="1243"/>
      <c r="K9" s="1243"/>
      <c r="L9" s="1242" t="s">
        <v>268</v>
      </c>
      <c r="M9" s="1243"/>
      <c r="N9" s="1243"/>
      <c r="O9" s="1243"/>
      <c r="P9" s="1244"/>
      <c r="Q9" s="1242" t="s">
        <v>269</v>
      </c>
      <c r="R9" s="1244"/>
      <c r="T9" s="1242" t="s">
        <v>14</v>
      </c>
      <c r="U9" s="1243"/>
      <c r="V9" s="1244"/>
    </row>
    <row r="10" spans="1:26" s="555" customFormat="1" ht="51.75" customHeight="1">
      <c r="A10" s="549" t="s">
        <v>227</v>
      </c>
      <c r="B10" s="555" t="s">
        <v>270</v>
      </c>
      <c r="C10" s="550" t="s">
        <v>99</v>
      </c>
      <c r="D10" s="550" t="s">
        <v>100</v>
      </c>
      <c r="E10" s="550"/>
      <c r="F10" s="660" t="s">
        <v>105</v>
      </c>
      <c r="G10" s="660" t="s">
        <v>271</v>
      </c>
      <c r="H10" s="660" t="s">
        <v>272</v>
      </c>
      <c r="I10" s="660" t="s">
        <v>273</v>
      </c>
      <c r="J10" s="660" t="s">
        <v>274</v>
      </c>
      <c r="K10" s="660" t="s">
        <v>275</v>
      </c>
      <c r="L10" s="661" t="s">
        <v>276</v>
      </c>
      <c r="M10" s="662" t="s">
        <v>277</v>
      </c>
      <c r="N10" s="662" t="s">
        <v>278</v>
      </c>
      <c r="O10" s="663" t="s">
        <v>279</v>
      </c>
      <c r="P10" s="663" t="s">
        <v>280</v>
      </c>
      <c r="Q10" s="660" t="s">
        <v>281</v>
      </c>
      <c r="R10" s="664" t="s">
        <v>282</v>
      </c>
      <c r="T10" s="665" t="s">
        <v>16</v>
      </c>
      <c r="U10" s="666" t="s">
        <v>17</v>
      </c>
      <c r="V10" s="665" t="s">
        <v>18</v>
      </c>
    </row>
    <row r="11" spans="1:26" ht="12.75" customHeight="1">
      <c r="A11" s="282">
        <v>390</v>
      </c>
      <c r="C11" s="562">
        <v>30</v>
      </c>
      <c r="D11" s="563" t="str">
        <f t="shared" ref="D11:D23" si="0">$D$9</f>
        <v>FY 22</v>
      </c>
      <c r="E11" s="384" t="s">
        <v>112</v>
      </c>
      <c r="F11" s="667">
        <f>'SWM Sum'!$C$6</f>
        <v>2301.35</v>
      </c>
      <c r="G11" s="565">
        <f>'SWM Sum'!$J$39</f>
        <v>778176</v>
      </c>
      <c r="H11" s="668">
        <f>'SWM Sum'!$J$20</f>
        <v>11752</v>
      </c>
      <c r="I11" s="565">
        <f>'SWM Sum'!$J$15</f>
        <v>113118</v>
      </c>
      <c r="J11" s="565">
        <f>'SWM Sum'!$J$23</f>
        <v>140118</v>
      </c>
      <c r="K11" s="565">
        <f>'SWM Sum'!$J$38</f>
        <v>513188</v>
      </c>
      <c r="L11" s="668">
        <f>'SWM Sum'!$K$56</f>
        <v>885033.06</v>
      </c>
      <c r="M11" s="565">
        <f>'SWM Sum'!$L$56</f>
        <v>784666.52</v>
      </c>
      <c r="N11" s="668">
        <f>'SWM Sum'!$M$56</f>
        <v>3279.98</v>
      </c>
      <c r="O11" s="669">
        <f>'SWM Sum'!$N$56</f>
        <v>89895.85</v>
      </c>
      <c r="P11" s="669">
        <f>'SWM Sum'!$O$56</f>
        <v>7190.72</v>
      </c>
      <c r="Q11" s="670">
        <v>640472716</v>
      </c>
      <c r="R11" s="1106">
        <f>[10]SWM!$O$46</f>
        <v>1258743</v>
      </c>
      <c r="T11" s="275" t="str">
        <f>'SWM FGD'!$P$103</f>
        <v>John Schmidt</v>
      </c>
      <c r="U11" s="275" t="str">
        <f>'SWM FGD'!$R$103</f>
        <v>214-648-0888</v>
      </c>
      <c r="V11" s="275" t="str">
        <f>'SWM FGD'!$U$103</f>
        <v>john.schmidt@utsouthwestern.edu</v>
      </c>
      <c r="X11" s="277" t="s">
        <v>29</v>
      </c>
      <c r="Z11" s="277">
        <v>40120464</v>
      </c>
    </row>
    <row r="12" spans="1:26">
      <c r="A12" s="282">
        <v>400</v>
      </c>
      <c r="C12" s="562">
        <v>104952</v>
      </c>
      <c r="D12" s="563" t="str">
        <f t="shared" si="0"/>
        <v>FY 22</v>
      </c>
      <c r="E12" s="384" t="s">
        <v>128</v>
      </c>
      <c r="F12" s="672">
        <f>'MBG Sum'!$C$6</f>
        <v>3859.84</v>
      </c>
      <c r="G12" s="673">
        <f>'MBG Sum'!$J$39</f>
        <v>245445</v>
      </c>
      <c r="H12" s="674">
        <f>'MBG Sum'!$J$20</f>
        <v>13056</v>
      </c>
      <c r="I12" s="673">
        <f>'MBG Sum'!$J$15</f>
        <v>101724</v>
      </c>
      <c r="J12" s="673">
        <f>'MBG Sum'!$J$23</f>
        <v>46420</v>
      </c>
      <c r="K12" s="673">
        <f>'MBG Sum'!$J$38</f>
        <v>84245</v>
      </c>
      <c r="L12" s="674">
        <f>'MBG Sum'!$K$56</f>
        <v>209157.94</v>
      </c>
      <c r="M12" s="673">
        <f>'MBG Sum'!$L$56</f>
        <v>155011.59</v>
      </c>
      <c r="N12" s="674">
        <f>'MBG Sum'!$M$56</f>
        <v>4847.6899999999996</v>
      </c>
      <c r="O12" s="669">
        <f>'MBG Sum'!$N$56</f>
        <v>44334.06</v>
      </c>
      <c r="P12" s="669">
        <f>'MBG Sum'!$O$56</f>
        <v>4964.6000000000004</v>
      </c>
      <c r="Q12" s="670">
        <v>171977460</v>
      </c>
      <c r="R12" s="1106">
        <f>[10]MBG!$O$46</f>
        <v>626805</v>
      </c>
      <c r="T12" s="275" t="str">
        <f>'MBG FGD'!$P$103</f>
        <v>Joshua Tucker</v>
      </c>
      <c r="U12" s="275">
        <f>'MBG FGD'!$R$103</f>
        <v>0</v>
      </c>
      <c r="V12" s="275" t="str">
        <f>'MBG FGD'!$U$103</f>
        <v>joatucker@utmb.edu</v>
      </c>
      <c r="X12" s="277" t="s">
        <v>21</v>
      </c>
      <c r="Z12" s="277">
        <v>250602654</v>
      </c>
    </row>
    <row r="13" spans="1:26">
      <c r="A13" s="282">
        <v>410</v>
      </c>
      <c r="C13" s="562">
        <v>11618</v>
      </c>
      <c r="D13" s="563" t="str">
        <f t="shared" si="0"/>
        <v>FY 22</v>
      </c>
      <c r="E13" s="384" t="s">
        <v>125</v>
      </c>
      <c r="F13" s="672">
        <f>'HSH Sum'!$C$6</f>
        <v>5267.72</v>
      </c>
      <c r="G13" s="673">
        <f>'HSH Sum'!$J$39</f>
        <v>312121</v>
      </c>
      <c r="H13" s="674">
        <f>'HSH Sum'!$J$20</f>
        <v>13168</v>
      </c>
      <c r="I13" s="673">
        <f>'HSH Sum'!$J$15</f>
        <v>49414</v>
      </c>
      <c r="J13" s="673">
        <f>'HSH Sum'!$J$23</f>
        <v>47312</v>
      </c>
      <c r="K13" s="673">
        <f>'HSH Sum'!$J$38</f>
        <v>202227</v>
      </c>
      <c r="L13" s="674">
        <f>'HSH Sum'!$K$56</f>
        <v>268444.53999999998</v>
      </c>
      <c r="M13" s="673">
        <f>'HSH Sum'!$L$56</f>
        <v>235174.52</v>
      </c>
      <c r="N13" s="674">
        <f>'HSH Sum'!$M$56</f>
        <v>5051.21</v>
      </c>
      <c r="O13" s="669">
        <f>'HSH Sum'!$N$56</f>
        <v>24495.439999999999</v>
      </c>
      <c r="P13" s="669">
        <f>'HSH Sum'!$O$56</f>
        <v>3723.37</v>
      </c>
      <c r="Q13" s="670">
        <v>309595732</v>
      </c>
      <c r="R13" s="1106">
        <f>[10]HSH!$O$46</f>
        <v>720480</v>
      </c>
      <c r="T13" s="275" t="str">
        <f>'HSH FGD'!$P$103</f>
        <v>Scott Barnett</v>
      </c>
      <c r="U13" s="275" t="str">
        <f>'HSH FGD'!$R$103</f>
        <v>713-500-4915</v>
      </c>
      <c r="V13" s="275" t="str">
        <f>'HSH FGD'!$U$103</f>
        <v>Scott.Barnett@uth.tmc.edu</v>
      </c>
      <c r="X13" s="277" t="s">
        <v>22</v>
      </c>
      <c r="Z13" s="277">
        <v>169090146</v>
      </c>
    </row>
    <row r="14" spans="1:26">
      <c r="A14" s="282">
        <v>420</v>
      </c>
      <c r="C14" s="562">
        <v>40</v>
      </c>
      <c r="D14" s="563" t="str">
        <f t="shared" si="0"/>
        <v>FY 22</v>
      </c>
      <c r="E14" s="384" t="s">
        <v>114</v>
      </c>
      <c r="F14" s="672">
        <f>'HSSA Sum'!$C$6</f>
        <v>3971.78</v>
      </c>
      <c r="G14" s="673">
        <f>'HSSA Sum'!$J$39</f>
        <v>222177</v>
      </c>
      <c r="H14" s="674">
        <f>'HSSA Sum'!$J$20</f>
        <v>13227</v>
      </c>
      <c r="I14" s="673">
        <f>'HSSA Sum'!$J$15</f>
        <v>51027</v>
      </c>
      <c r="J14" s="673">
        <f>'HSSA Sum'!$J$23</f>
        <v>52369</v>
      </c>
      <c r="K14" s="673">
        <f>'HSSA Sum'!$J$38</f>
        <v>105554</v>
      </c>
      <c r="L14" s="674">
        <f>'HSSA Sum'!$K$56</f>
        <v>205171.16</v>
      </c>
      <c r="M14" s="673">
        <f>'HSSA Sum'!$L$56</f>
        <v>168768.03</v>
      </c>
      <c r="N14" s="674">
        <f>'HSSA Sum'!$M$56</f>
        <v>3950.2</v>
      </c>
      <c r="O14" s="669">
        <f>'HSSA Sum'!$N$56</f>
        <v>27897.88</v>
      </c>
      <c r="P14" s="669">
        <f>'HSSA Sum'!$O$56</f>
        <v>4555.07</v>
      </c>
      <c r="Q14" s="670">
        <v>221431562</v>
      </c>
      <c r="R14" s="1106">
        <f>[10]HSSA!$O$46</f>
        <v>545987</v>
      </c>
      <c r="T14" s="275" t="str">
        <f>'HSSA FGD'!$P$103</f>
        <v>Yinwen Li</v>
      </c>
      <c r="U14" s="275" t="str">
        <f>'HSSA FGD'!$R$103</f>
        <v>210-562-6268</v>
      </c>
      <c r="V14" s="275" t="str">
        <f>'HSSA FGD'!$U$103</f>
        <v>liy2@uthscsa.edu</v>
      </c>
      <c r="X14" s="277" t="s">
        <v>20</v>
      </c>
      <c r="Z14" s="277">
        <v>127926683</v>
      </c>
    </row>
    <row r="15" spans="1:26">
      <c r="A15" s="282">
        <v>430</v>
      </c>
      <c r="C15" s="562">
        <v>25554</v>
      </c>
      <c r="D15" s="563" t="str">
        <f t="shared" si="0"/>
        <v>FY 22</v>
      </c>
      <c r="E15" s="384" t="s">
        <v>127</v>
      </c>
      <c r="F15" s="672">
        <f>'MDA Sum'!$C$6</f>
        <v>382.05</v>
      </c>
      <c r="G15" s="673" t="str">
        <f>'MDA Sum'!$J$39</f>
        <v>N/A</v>
      </c>
      <c r="H15" s="674" t="str">
        <f>'MDA Sum'!$J$20</f>
        <v>N/A</v>
      </c>
      <c r="I15" s="673" t="str">
        <f>'MDA Sum'!$J$15</f>
        <v>N/A</v>
      </c>
      <c r="J15" s="673" t="str">
        <f>'MDA Sum'!$J$23</f>
        <v>N/A</v>
      </c>
      <c r="K15" s="673" t="str">
        <f>'MDA Sum'!$J$38</f>
        <v>N/A</v>
      </c>
      <c r="L15" s="676" t="str">
        <f>'MDA Sum'!$K$56</f>
        <v>N/A</v>
      </c>
      <c r="M15" s="677" t="str">
        <f>'MDA Sum'!$L$56</f>
        <v>N/A</v>
      </c>
      <c r="N15" s="676" t="str">
        <f>'MDA Sum'!$M$56</f>
        <v>N/A</v>
      </c>
      <c r="O15" s="678" t="str">
        <f>'MDA Sum'!$N$56</f>
        <v>N/A</v>
      </c>
      <c r="P15" s="678" t="str">
        <f>'MDA Sum'!$O$56</f>
        <v>N/A</v>
      </c>
      <c r="Q15" s="670">
        <v>1074239585</v>
      </c>
      <c r="R15" s="1106">
        <f>[10]MDA!$O$46</f>
        <v>1107539</v>
      </c>
      <c r="T15" s="275" t="str">
        <f>'MDA FGD'!$P$103</f>
        <v>Duy</v>
      </c>
      <c r="U15" s="275" t="str">
        <f>'MDA FGD'!$R$103</f>
        <v>713-745-8630</v>
      </c>
      <c r="V15" s="275" t="str">
        <f>'MDA FGD'!$U$103</f>
        <v>ddtran2@mdanderson.org</v>
      </c>
      <c r="X15" s="277" t="s">
        <v>23</v>
      </c>
      <c r="Z15" s="277">
        <v>943836402</v>
      </c>
    </row>
    <row r="16" spans="1:26">
      <c r="A16" s="282">
        <v>440</v>
      </c>
      <c r="C16" s="562">
        <v>42439</v>
      </c>
      <c r="D16" s="563" t="str">
        <f t="shared" si="0"/>
        <v>FY 22</v>
      </c>
      <c r="E16" s="384" t="s">
        <v>120</v>
      </c>
      <c r="F16" s="672">
        <f>'THC Sum'!$C$6</f>
        <v>80.5</v>
      </c>
      <c r="G16" s="673" t="str">
        <f>'THC Sum'!$J$39</f>
        <v>N/A</v>
      </c>
      <c r="H16" s="674" t="str">
        <f>'THC Sum'!$J$20</f>
        <v>N/A</v>
      </c>
      <c r="I16" s="673" t="str">
        <f>'THC Sum'!$J$15</f>
        <v>N/A</v>
      </c>
      <c r="J16" s="673" t="str">
        <f>'THC Sum'!$J$23</f>
        <v>N/A</v>
      </c>
      <c r="K16" s="673" t="str">
        <f>'THC Sum'!$J$38</f>
        <v>N/A</v>
      </c>
      <c r="L16" s="676" t="str">
        <f>'THC Sum'!$K$56</f>
        <v>N/A</v>
      </c>
      <c r="M16" s="677" t="str">
        <f>'THC Sum'!$L$56</f>
        <v>N/A</v>
      </c>
      <c r="N16" s="676" t="str">
        <f>'THC Sum'!$M$56</f>
        <v>N/A</v>
      </c>
      <c r="O16" s="678" t="str">
        <f>'THC Sum'!$N$56</f>
        <v>N/A</v>
      </c>
      <c r="P16" s="678" t="str">
        <f>'THC Sum'!$O$56</f>
        <v>N/A</v>
      </c>
      <c r="Q16" s="670">
        <v>27850484</v>
      </c>
      <c r="R16" s="1107" t="str">
        <f>[10]THC!$O$46</f>
        <v>N/A</v>
      </c>
      <c r="T16" s="275" t="str">
        <f>'THC FGD'!$P$103</f>
        <v>Bob Armstrong</v>
      </c>
      <c r="U16" s="275" t="str">
        <f>'THC FGD'!$R$103</f>
        <v>903-877-7710</v>
      </c>
      <c r="V16" s="275" t="str">
        <f>'THC FGD'!$U$103</f>
        <v>bob.armstrong@uthct.edu</v>
      </c>
      <c r="X16" s="277" t="s">
        <v>30</v>
      </c>
      <c r="Z16" s="277">
        <v>14738752</v>
      </c>
    </row>
    <row r="17" spans="1:26">
      <c r="A17" s="282">
        <v>450</v>
      </c>
      <c r="C17" s="562">
        <v>89</v>
      </c>
      <c r="D17" s="563" t="str">
        <f t="shared" si="0"/>
        <v>FY 22</v>
      </c>
      <c r="E17" s="384" t="s">
        <v>116</v>
      </c>
      <c r="F17" s="672">
        <f>'TAMHSC Sum'!$C$6</f>
        <v>3607.6499999999996</v>
      </c>
      <c r="G17" s="679">
        <f>'TAMHSC Sum'!$J$39</f>
        <v>120269</v>
      </c>
      <c r="H17" s="680">
        <f>'TAMHSC Sum'!$J$20</f>
        <v>14575</v>
      </c>
      <c r="I17" s="679">
        <f>'TAMHSC Sum'!$J$15</f>
        <v>63794</v>
      </c>
      <c r="J17" s="679">
        <f>'TAMHSC Sum'!$J$23</f>
        <v>23600</v>
      </c>
      <c r="K17" s="679">
        <f>'TAMHSC Sum'!$J$38</f>
        <v>18300</v>
      </c>
      <c r="L17" s="674">
        <f>'TAMHSC Sum'!$K$56</f>
        <v>90013.26</v>
      </c>
      <c r="M17" s="673">
        <f>'TAMHSC Sum'!$L$56</f>
        <v>73594.78</v>
      </c>
      <c r="N17" s="674">
        <f>'TAMHSC Sum'!$M$56</f>
        <v>2324.0700000000002</v>
      </c>
      <c r="O17" s="501">
        <f>'TAMHSC Sum'!$N$56</f>
        <v>11043.68</v>
      </c>
      <c r="P17" s="501">
        <f>'TAMHSC Sum'!$O$56</f>
        <v>3050.73</v>
      </c>
      <c r="Q17" s="670">
        <v>175355201</v>
      </c>
      <c r="R17" s="1106">
        <f>[10]TAMHSC!$O$46</f>
        <v>709430</v>
      </c>
      <c r="T17" s="275" t="str">
        <f>'TAMHSC FGD'!$P$103</f>
        <v>Tracy Crowley</v>
      </c>
      <c r="U17" s="275" t="str">
        <f>'TAMHSC FGD'!$R$103</f>
        <v>979-458-6077</v>
      </c>
      <c r="V17" s="275" t="str">
        <f>'TAMHSC FGD'!$U$103</f>
        <v>tcrowley@tamus.edu</v>
      </c>
      <c r="X17" s="277" t="s">
        <v>206</v>
      </c>
      <c r="Z17" s="277">
        <v>482007838</v>
      </c>
    </row>
    <row r="18" spans="1:26">
      <c r="A18" s="282">
        <v>460</v>
      </c>
      <c r="C18" s="562">
        <v>130</v>
      </c>
      <c r="D18" s="563" t="str">
        <f t="shared" si="0"/>
        <v>FY 22</v>
      </c>
      <c r="E18" s="384" t="s">
        <v>284</v>
      </c>
      <c r="F18" s="672">
        <f>'UNTHS1 Sum'!$C$6</f>
        <v>2988.4</v>
      </c>
      <c r="G18" s="673">
        <f>'UNTHS1 Sum'!$J$39</f>
        <v>100208</v>
      </c>
      <c r="H18" s="674">
        <f>'UNTHS1 Sum'!$J$20</f>
        <v>11537</v>
      </c>
      <c r="I18" s="673">
        <f>'UNTHS1 Sum'!$J$15</f>
        <v>43332</v>
      </c>
      <c r="J18" s="673">
        <f>'UNTHS1 Sum'!$J$23</f>
        <v>18492</v>
      </c>
      <c r="K18" s="673">
        <f>'UNTHS1 Sum'!$J$38</f>
        <v>26847</v>
      </c>
      <c r="L18" s="674">
        <f>'UNTHS1 Sum'!$K$56</f>
        <v>72047.16</v>
      </c>
      <c r="M18" s="673">
        <f>'UNTHS1 Sum'!$L$56</f>
        <v>51320</v>
      </c>
      <c r="N18" s="674">
        <f>'UNTHS1 Sum'!$M$56</f>
        <v>3557.37</v>
      </c>
      <c r="O18" s="669">
        <f>'UNTHS1 Sum'!$N$56</f>
        <v>13020.03</v>
      </c>
      <c r="P18" s="669">
        <f>'UNTHS1 Sum'!$O$56</f>
        <v>4149.76</v>
      </c>
      <c r="Q18" s="670">
        <v>57311147</v>
      </c>
      <c r="R18" s="1106">
        <f>[10]UNTHSC1!$O$46</f>
        <v>834834</v>
      </c>
      <c r="T18" s="275" t="str">
        <f>'UNTHSC1 FGD'!$P$103</f>
        <v>Julie Meisinger</v>
      </c>
      <c r="U18" s="275" t="str">
        <f>'UNTHSC1 FGD'!$R$103</f>
        <v>817-735-2609</v>
      </c>
      <c r="V18" s="275" t="str">
        <f>'UNTHSC1 FGD'!$U$103</f>
        <v>julie.meisinger@unthsc.edu</v>
      </c>
      <c r="X18" s="277" t="s">
        <v>25</v>
      </c>
      <c r="Z18" s="277">
        <v>101323855</v>
      </c>
    </row>
    <row r="19" spans="1:26">
      <c r="A19" s="282">
        <v>470</v>
      </c>
      <c r="C19" s="562">
        <v>412</v>
      </c>
      <c r="D19" s="563" t="str">
        <f t="shared" si="0"/>
        <v>FY 22</v>
      </c>
      <c r="E19" s="384" t="s">
        <v>123</v>
      </c>
      <c r="F19" s="672">
        <f>'TTUHSC Sum'!$C$6</f>
        <v>6016.07</v>
      </c>
      <c r="G19" s="673">
        <f>'TTUHSC Sum'!$J$39</f>
        <v>96286</v>
      </c>
      <c r="H19" s="674">
        <f>'TTUHSC Sum'!$J$20</f>
        <v>11888</v>
      </c>
      <c r="I19" s="673">
        <f>'TTUHSC Sum'!$J$15</f>
        <v>36098</v>
      </c>
      <c r="J19" s="673">
        <f>'TTUHSC Sum'!$J$23</f>
        <v>5769</v>
      </c>
      <c r="K19" s="673">
        <f>'TTUHSC Sum'!$J$38</f>
        <v>42531</v>
      </c>
      <c r="L19" s="674">
        <f>'TTUHSC Sum'!$K$56</f>
        <v>84718.87</v>
      </c>
      <c r="M19" s="673">
        <f>'TTUHSC Sum'!$L$56</f>
        <v>66273.36</v>
      </c>
      <c r="N19" s="674">
        <f>'TTUHSC Sum'!$M$56</f>
        <v>4918.33</v>
      </c>
      <c r="O19" s="669">
        <f>'TTUHSC Sum'!$N$56</f>
        <v>12018.01</v>
      </c>
      <c r="P19" s="669">
        <f>'TTUHSC Sum'!$O$56</f>
        <v>1509.17</v>
      </c>
      <c r="Q19" s="670">
        <v>46270716</v>
      </c>
      <c r="R19" s="1106">
        <f>[10]TTUHSC!$O$46</f>
        <v>153872</v>
      </c>
      <c r="T19" s="275" t="str">
        <f>'TTUHSC FGD'!$P$103</f>
        <v>Rebecca Aguilar</v>
      </c>
      <c r="U19" s="275" t="str">
        <f>'TTUHSC FGD'!$R$103</f>
        <v>806-743-7381</v>
      </c>
      <c r="V19" s="275" t="str">
        <f>'TTUHSC FGD'!$U$103</f>
        <v>rebecca.aguilar@ttuhsc.edu</v>
      </c>
      <c r="X19" s="277" t="s">
        <v>24</v>
      </c>
      <c r="Z19" s="277">
        <v>24276371</v>
      </c>
    </row>
    <row r="20" spans="1:26">
      <c r="A20" s="282">
        <v>480</v>
      </c>
      <c r="C20" s="562">
        <v>862</v>
      </c>
      <c r="D20" s="563" t="str">
        <f t="shared" si="0"/>
        <v>FY 22</v>
      </c>
      <c r="E20" s="384" t="s">
        <v>243</v>
      </c>
      <c r="F20" s="672">
        <f>'TTUHSCEP Sum'!$C$6</f>
        <v>851.1</v>
      </c>
      <c r="G20" s="673">
        <f>'TTUHSCEP Sum'!$J$39</f>
        <v>285026</v>
      </c>
      <c r="H20" s="674">
        <f>'TTUHSCEP Sum'!$J$20</f>
        <v>15576</v>
      </c>
      <c r="I20" s="673">
        <f>'TTUHSCEP Sum'!$J$15</f>
        <v>108466</v>
      </c>
      <c r="J20" s="673">
        <f>'TTUHSCEP Sum'!$J$23</f>
        <v>5167</v>
      </c>
      <c r="K20" s="673">
        <f>'TTUHSCEP Sum'!$J$38</f>
        <v>155817</v>
      </c>
      <c r="L20" s="674">
        <f>'TTUHSCEP Sum'!$K$56</f>
        <v>285656.52</v>
      </c>
      <c r="M20" s="673">
        <f>'TTUHSCEP Sum'!$L$56</f>
        <v>230731.94</v>
      </c>
      <c r="N20" s="674">
        <f>'TTUHSCEP Sum'!$M$56</f>
        <v>7365.33</v>
      </c>
      <c r="O20" s="669">
        <f>'TTUHSCEP Sum'!$N$56</f>
        <v>38188.720000000001</v>
      </c>
      <c r="P20" s="669">
        <f>'TTUHSCEP Sum'!$O$56</f>
        <v>9370.5300000000007</v>
      </c>
      <c r="Q20" s="670">
        <v>13535299</v>
      </c>
      <c r="R20" s="1106">
        <f>[10]TTUHSCEP!$O$46</f>
        <v>179117</v>
      </c>
      <c r="T20" s="275" t="str">
        <f>'TTUHSCEP FGD'!$P$103</f>
        <v xml:space="preserve">Robert Ortega </v>
      </c>
      <c r="U20" s="275" t="str">
        <f>'TTUHSCEP FGD'!$R$103</f>
        <v>(915) 215 - 4378</v>
      </c>
      <c r="V20" s="275" t="str">
        <f>'TTUHSCEP FGD'!$U$103</f>
        <v>Robert.ortega@ttuhsc.edu</v>
      </c>
      <c r="X20" s="277" t="s">
        <v>27</v>
      </c>
      <c r="Z20" s="277">
        <v>38759283</v>
      </c>
    </row>
    <row r="21" spans="1:26">
      <c r="A21" s="282">
        <v>500</v>
      </c>
      <c r="C21" s="562">
        <v>203599</v>
      </c>
      <c r="D21" s="563" t="str">
        <f t="shared" si="0"/>
        <v>FY 22</v>
      </c>
      <c r="E21" s="384" t="s">
        <v>245</v>
      </c>
      <c r="F21" s="672">
        <f>'RGVM Sum'!$C$6</f>
        <v>222</v>
      </c>
      <c r="G21" s="673">
        <f>'RGVM Sum'!$J$39</f>
        <v>553468</v>
      </c>
      <c r="H21" s="674">
        <f>'RGVM Sum'!$J$20</f>
        <v>20940</v>
      </c>
      <c r="I21" s="673">
        <f>'RGVM Sum'!$J$15</f>
        <v>222859</v>
      </c>
      <c r="J21" s="673">
        <f>'RGVM Sum'!$J$23</f>
        <v>35953</v>
      </c>
      <c r="K21" s="673">
        <f>'RGVM Sum'!$J$38</f>
        <v>273716</v>
      </c>
      <c r="L21" s="674">
        <f>'RGVM Sum'!$K$56</f>
        <v>0</v>
      </c>
      <c r="M21" s="673">
        <f>'RGVM Sum'!$L$56</f>
        <v>0</v>
      </c>
      <c r="N21" s="674">
        <f>'RGVM Sum'!$M$56</f>
        <v>0</v>
      </c>
      <c r="O21" s="669">
        <f>'RGVM Sum'!$N$56</f>
        <v>0</v>
      </c>
      <c r="P21" s="669">
        <f>'RGVM Sum'!$O$56</f>
        <v>0</v>
      </c>
      <c r="Q21" s="670">
        <v>21021776</v>
      </c>
      <c r="R21" s="1106">
        <f>[10]RGVM!$O$46</f>
        <v>385094</v>
      </c>
      <c r="T21" s="300" t="str">
        <f>'RGVM FGD'!$P$103</f>
        <v>Lilia M. St. Clair</v>
      </c>
      <c r="U21" s="275" t="str">
        <f>'RGVM FGD'!$R$103</f>
        <v>956-665-7906</v>
      </c>
      <c r="V21" s="275" t="str">
        <f>'RGVM FGD'!$U$103</f>
        <v>lilia.stclair@utrgv.edu</v>
      </c>
      <c r="X21" s="277" t="s">
        <v>28</v>
      </c>
      <c r="Z21" s="277">
        <v>12298760</v>
      </c>
    </row>
    <row r="22" spans="1:26">
      <c r="A22" s="282">
        <v>510</v>
      </c>
      <c r="C22" s="562">
        <v>203658</v>
      </c>
      <c r="D22" s="563" t="str">
        <f t="shared" si="0"/>
        <v>FY 22</v>
      </c>
      <c r="E22" s="384" t="s">
        <v>244</v>
      </c>
      <c r="F22" s="672">
        <f>'AUSM Sum'!$C$6</f>
        <v>197</v>
      </c>
      <c r="G22" s="673">
        <f>'AUSM Sum'!$J$39</f>
        <v>1146460</v>
      </c>
      <c r="H22" s="674">
        <f>'AUSM Sum'!$J$20</f>
        <v>17711</v>
      </c>
      <c r="I22" s="673">
        <f>'AUSM Sum'!$J$15</f>
        <v>234599</v>
      </c>
      <c r="J22" s="673">
        <f>'AUSM Sum'!$J$23</f>
        <v>64554</v>
      </c>
      <c r="K22" s="673">
        <f>'AUSM Sum'!$J$38</f>
        <v>829596</v>
      </c>
      <c r="L22" s="674">
        <f>'AUSM Sum'!$K$56</f>
        <v>0</v>
      </c>
      <c r="M22" s="673">
        <f>'AUSM Sum'!$L$56</f>
        <v>0</v>
      </c>
      <c r="N22" s="674">
        <f>'AUSM Sum'!$M$56</f>
        <v>0</v>
      </c>
      <c r="O22" s="669">
        <f>'AUSM Sum'!$N$56</f>
        <v>0</v>
      </c>
      <c r="P22" s="669">
        <f>'AUSM Sum'!$O$56</f>
        <v>0</v>
      </c>
      <c r="Q22" s="670">
        <v>45552212</v>
      </c>
      <c r="R22" s="1106">
        <f>[10]AUSM!$O$46</f>
        <v>649073</v>
      </c>
      <c r="T22" s="300" t="str">
        <f>'AUSM FGD'!$P$103</f>
        <v>Marcy Lowther</v>
      </c>
      <c r="U22" s="275" t="str">
        <f>'AUSM FGD'!$R$103</f>
        <v>512-471-28008</v>
      </c>
      <c r="V22" s="275" t="str">
        <f>'AUSM FGD'!$U$103</f>
        <v>mlowther@austin.utexas.edu</v>
      </c>
      <c r="X22" s="277" t="s">
        <v>31</v>
      </c>
      <c r="Z22" s="277">
        <v>795202</v>
      </c>
    </row>
    <row r="23" spans="1:26">
      <c r="A23" s="282">
        <v>520</v>
      </c>
      <c r="C23" s="562">
        <v>203652</v>
      </c>
      <c r="D23" s="563" t="str">
        <f t="shared" si="0"/>
        <v>FY 22</v>
      </c>
      <c r="E23" s="384" t="s">
        <v>31</v>
      </c>
      <c r="F23" s="672">
        <f>'UHM Sum'!$C$6</f>
        <v>60</v>
      </c>
      <c r="G23" s="673">
        <f>'UHM Sum'!$J$39</f>
        <v>368713</v>
      </c>
      <c r="H23" s="674">
        <f>'UHM Sum'!$J$20</f>
        <v>17362</v>
      </c>
      <c r="I23" s="673">
        <f>'UHM Sum'!$J$15</f>
        <v>249005</v>
      </c>
      <c r="J23" s="673">
        <f>'UHM Sum'!$J$23</f>
        <v>8856</v>
      </c>
      <c r="K23" s="673">
        <f>'UHM Sum'!$J$38</f>
        <v>93490</v>
      </c>
      <c r="L23" s="674">
        <f>'UHM Sum'!$K$56</f>
        <v>0</v>
      </c>
      <c r="M23" s="673">
        <f>'UHM Sum'!$L$56</f>
        <v>0</v>
      </c>
      <c r="N23" s="674">
        <f>'UHM Sum'!$M$56</f>
        <v>0</v>
      </c>
      <c r="O23" s="669">
        <f>'UHM Sum'!$N$56</f>
        <v>0</v>
      </c>
      <c r="P23" s="669">
        <f>'UHM Sum'!$O$56</f>
        <v>0</v>
      </c>
      <c r="Q23" s="670">
        <v>758750</v>
      </c>
      <c r="R23" s="671"/>
      <c r="T23" s="300" t="str">
        <f>'AUSM FGD'!$P$103</f>
        <v>Marcy Lowther</v>
      </c>
      <c r="U23" s="275" t="str">
        <f>'AUSM FGD'!$R$103</f>
        <v>512-471-28008</v>
      </c>
      <c r="V23" s="275" t="str">
        <f>'AUSM FGD'!$U$103</f>
        <v>mlowther@austin.utexas.edu</v>
      </c>
      <c r="X23" s="277" t="s">
        <v>708</v>
      </c>
      <c r="Z23" s="277">
        <v>46416280</v>
      </c>
    </row>
    <row r="24" spans="1:26">
      <c r="A24" s="282"/>
      <c r="C24" s="647"/>
      <c r="D24" s="282"/>
      <c r="F24" s="672"/>
      <c r="G24" s="673"/>
      <c r="H24" s="674"/>
      <c r="I24" s="673"/>
      <c r="J24" s="673"/>
      <c r="K24" s="673"/>
      <c r="L24" s="674"/>
      <c r="M24" s="673"/>
      <c r="N24" s="674"/>
      <c r="O24" s="669"/>
      <c r="P24" s="669"/>
      <c r="Q24" s="670"/>
      <c r="R24" s="675" t="s">
        <v>285</v>
      </c>
      <c r="T24" s="275"/>
      <c r="U24" s="275"/>
      <c r="V24" s="275"/>
      <c r="Z24" s="277">
        <f>SUM(Z11:Z23)</f>
        <v>2252192690</v>
      </c>
    </row>
    <row r="25" spans="1:26" ht="13.8" thickBot="1">
      <c r="A25" s="681"/>
      <c r="B25" s="572"/>
      <c r="C25" s="681"/>
      <c r="D25" s="572">
        <f>COUNTA(D11:D24)</f>
        <v>13</v>
      </c>
      <c r="E25" s="573" t="s">
        <v>129</v>
      </c>
      <c r="F25" s="682">
        <f>SUM(F11:F24)</f>
        <v>29805.46</v>
      </c>
      <c r="G25" s="590">
        <f>'Smmy Sum'!$J$52</f>
        <v>299363</v>
      </c>
      <c r="H25" s="590">
        <f>'Smmy Sum'!$J$33</f>
        <v>12844</v>
      </c>
      <c r="I25" s="590">
        <f>'Smmy Sum'!$J$28</f>
        <v>74453</v>
      </c>
      <c r="J25" s="590">
        <f>'Smmy Sum'!$J$36</f>
        <v>49923</v>
      </c>
      <c r="K25" s="590">
        <f>'Smmy Sum'!$J$51</f>
        <v>162143</v>
      </c>
      <c r="L25" s="683">
        <f>'Smmy Sum'!$K$69</f>
        <v>285202.53000000003</v>
      </c>
      <c r="M25" s="590">
        <f>'Smmy Sum'!$L$69</f>
        <v>230380.69</v>
      </c>
      <c r="N25" s="683">
        <f>'Smmy Sum'!$N$69</f>
        <v>43053.23</v>
      </c>
      <c r="O25" s="683">
        <f>'Smmy Sum'!$N$69</f>
        <v>43053.23</v>
      </c>
      <c r="P25" s="683">
        <f>'Smmy Sum'!$O$69</f>
        <v>7124.32</v>
      </c>
      <c r="Q25" s="683">
        <v>2805372640</v>
      </c>
      <c r="R25" s="684">
        <v>848269</v>
      </c>
    </row>
    <row r="26" spans="1:26" s="275" customFormat="1" ht="13.8" thickTop="1">
      <c r="B26" s="548"/>
      <c r="F26" s="580"/>
    </row>
    <row r="27" spans="1:26" s="275" customFormat="1">
      <c r="B27" s="548"/>
      <c r="E27" s="275" t="s">
        <v>286</v>
      </c>
    </row>
    <row r="28" spans="1:26" s="275" customFormat="1">
      <c r="B28" s="548"/>
      <c r="E28" s="275" t="s">
        <v>287</v>
      </c>
      <c r="I28" s="294"/>
    </row>
    <row r="29" spans="1:26" s="275" customFormat="1">
      <c r="B29" s="548"/>
    </row>
    <row r="30" spans="1:26" s="275" customFormat="1">
      <c r="B30" s="548"/>
    </row>
    <row r="31" spans="1:26" s="275" customFormat="1">
      <c r="A31" s="548"/>
      <c r="B31" s="548"/>
      <c r="G31" s="275" t="s">
        <v>288</v>
      </c>
      <c r="H31" s="275" t="s">
        <v>288</v>
      </c>
      <c r="K31" s="275" t="s">
        <v>288</v>
      </c>
      <c r="M31" s="275" t="s">
        <v>288</v>
      </c>
      <c r="N31" s="275" t="s">
        <v>288</v>
      </c>
      <c r="O31" s="275" t="s">
        <v>288</v>
      </c>
      <c r="P31" s="275" t="s">
        <v>288</v>
      </c>
      <c r="Q31" s="277"/>
    </row>
    <row r="32" spans="1:26" s="275" customFormat="1">
      <c r="A32" s="548"/>
      <c r="B32" s="548"/>
      <c r="G32" s="275" t="s">
        <v>289</v>
      </c>
      <c r="H32" s="275" t="s">
        <v>289</v>
      </c>
      <c r="K32" s="275" t="s">
        <v>289</v>
      </c>
      <c r="M32" s="275" t="s">
        <v>289</v>
      </c>
      <c r="N32" s="275" t="s">
        <v>289</v>
      </c>
      <c r="O32" s="275" t="s">
        <v>289</v>
      </c>
      <c r="P32" s="275" t="s">
        <v>289</v>
      </c>
      <c r="Q32" s="277"/>
    </row>
    <row r="33" spans="1:17" s="275" customFormat="1">
      <c r="A33" s="548"/>
      <c r="B33" s="548"/>
      <c r="M33" s="275" t="s">
        <v>290</v>
      </c>
      <c r="N33" s="275" t="s">
        <v>290</v>
      </c>
      <c r="O33" s="275" t="s">
        <v>290</v>
      </c>
      <c r="P33" s="275" t="s">
        <v>290</v>
      </c>
      <c r="Q33" s="277"/>
    </row>
    <row r="34" spans="1:17" s="275" customFormat="1">
      <c r="A34" s="548"/>
      <c r="B34" s="548"/>
      <c r="Q34" s="277"/>
    </row>
    <row r="35" spans="1:17" s="275" customFormat="1">
      <c r="A35" s="548"/>
      <c r="B35" s="548"/>
      <c r="E35" s="275" t="s">
        <v>77</v>
      </c>
      <c r="F35" s="685" t="s">
        <v>291</v>
      </c>
      <c r="G35" s="686" t="s">
        <v>292</v>
      </c>
      <c r="H35" s="686" t="s">
        <v>293</v>
      </c>
      <c r="I35" s="686" t="s">
        <v>294</v>
      </c>
      <c r="J35" s="686" t="s">
        <v>295</v>
      </c>
      <c r="K35" s="687" t="s">
        <v>296</v>
      </c>
      <c r="L35" s="685" t="s">
        <v>297</v>
      </c>
      <c r="M35" s="686" t="s">
        <v>298</v>
      </c>
      <c r="N35" s="686" t="s">
        <v>299</v>
      </c>
      <c r="O35" s="686" t="s">
        <v>300</v>
      </c>
      <c r="P35" s="687" t="s">
        <v>301</v>
      </c>
    </row>
    <row r="36" spans="1:17" s="275" customFormat="1">
      <c r="A36" s="548"/>
      <c r="B36" s="548"/>
      <c r="E36" s="275" t="s">
        <v>302</v>
      </c>
      <c r="F36" s="688" t="s">
        <v>303</v>
      </c>
      <c r="G36" s="689" t="s">
        <v>304</v>
      </c>
      <c r="H36" s="689" t="s">
        <v>305</v>
      </c>
      <c r="I36" s="689" t="s">
        <v>306</v>
      </c>
      <c r="J36" s="689" t="s">
        <v>307</v>
      </c>
      <c r="K36" s="690" t="s">
        <v>308</v>
      </c>
      <c r="L36" s="688" t="s">
        <v>309</v>
      </c>
      <c r="M36" s="689" t="s">
        <v>310</v>
      </c>
      <c r="N36" s="689" t="s">
        <v>311</v>
      </c>
      <c r="O36" s="689" t="s">
        <v>312</v>
      </c>
      <c r="P36" s="690" t="s">
        <v>313</v>
      </c>
      <c r="Q36" s="548"/>
    </row>
    <row r="37" spans="1:17" s="275" customFormat="1">
      <c r="B37" s="548"/>
    </row>
    <row r="38" spans="1:17" s="275" customFormat="1">
      <c r="B38" s="548"/>
      <c r="D38" s="275" t="s">
        <v>314</v>
      </c>
      <c r="F38" s="691">
        <f>'Smmy Sum'!C19</f>
        <v>29805.46</v>
      </c>
      <c r="G38" s="548"/>
      <c r="H38" s="548"/>
      <c r="I38" s="548"/>
      <c r="J38" s="548"/>
      <c r="K38" s="548"/>
      <c r="L38" s="548"/>
      <c r="M38" s="548"/>
      <c r="N38" s="548"/>
      <c r="O38" s="548"/>
      <c r="P38" s="548"/>
      <c r="Q38" s="548"/>
    </row>
    <row r="39" spans="1:17" s="275" customFormat="1">
      <c r="B39" s="548"/>
      <c r="C39" s="692"/>
      <c r="D39" s="277"/>
      <c r="E39" s="384"/>
      <c r="F39" s="300"/>
      <c r="G39" s="300"/>
      <c r="H39" s="300"/>
    </row>
    <row r="40" spans="1:17" s="275" customFormat="1">
      <c r="B40" s="548"/>
      <c r="C40" s="692"/>
      <c r="D40" s="277"/>
      <c r="E40" s="384"/>
      <c r="F40" s="300"/>
      <c r="G40" s="300"/>
      <c r="H40" s="300"/>
    </row>
    <row r="41" spans="1:17" s="275" customFormat="1">
      <c r="B41" s="548"/>
      <c r="C41" s="692"/>
      <c r="D41" s="277"/>
      <c r="E41" s="384"/>
      <c r="F41" s="300"/>
      <c r="G41" s="300"/>
      <c r="H41" s="300"/>
    </row>
    <row r="42" spans="1:17" s="275" customFormat="1">
      <c r="B42" s="548"/>
      <c r="C42" s="692"/>
      <c r="D42" s="277"/>
      <c r="E42" s="384"/>
      <c r="F42" s="300"/>
      <c r="G42" s="300"/>
      <c r="H42" s="300"/>
    </row>
    <row r="43" spans="1:17" s="275" customFormat="1">
      <c r="B43" s="548"/>
      <c r="C43" s="692"/>
      <c r="D43" s="294"/>
      <c r="E43" s="384"/>
      <c r="F43" s="300"/>
      <c r="G43" s="300"/>
      <c r="H43" s="300"/>
    </row>
    <row r="44" spans="1:17" s="275" customFormat="1">
      <c r="B44" s="548"/>
      <c r="C44" s="692"/>
      <c r="D44" s="277"/>
      <c r="E44" s="384"/>
      <c r="F44" s="300"/>
      <c r="G44" s="300"/>
      <c r="H44" s="300"/>
    </row>
    <row r="45" spans="1:17" s="275" customFormat="1">
      <c r="B45" s="548"/>
      <c r="C45" s="692"/>
      <c r="D45" s="277"/>
      <c r="E45" s="384"/>
    </row>
    <row r="46" spans="1:17" s="275" customFormat="1">
      <c r="B46" s="548"/>
    </row>
    <row r="47" spans="1:17" s="275" customFormat="1">
      <c r="B47" s="548"/>
    </row>
    <row r="48" spans="1:17" s="275" customFormat="1">
      <c r="B48" s="548"/>
    </row>
    <row r="49" spans="2:2" s="275" customFormat="1">
      <c r="B49" s="548"/>
    </row>
    <row r="50" spans="2:2" s="275" customFormat="1">
      <c r="B50" s="548"/>
    </row>
    <row r="51" spans="2:2" s="275" customFormat="1">
      <c r="B51" s="548"/>
    </row>
    <row r="52" spans="2:2" s="275" customFormat="1">
      <c r="B52" s="548"/>
    </row>
    <row r="53" spans="2:2" s="275" customFormat="1">
      <c r="B53" s="548"/>
    </row>
    <row r="54" spans="2:2" s="275" customFormat="1">
      <c r="B54" s="548"/>
    </row>
    <row r="55" spans="2:2" s="275" customFormat="1">
      <c r="B55" s="548"/>
    </row>
    <row r="56" spans="2:2" s="275" customFormat="1">
      <c r="B56" s="548"/>
    </row>
    <row r="57" spans="2:2" s="275" customFormat="1">
      <c r="B57" s="548"/>
    </row>
    <row r="58" spans="2:2" s="275" customFormat="1">
      <c r="B58" s="548"/>
    </row>
    <row r="59" spans="2:2" s="275" customFormat="1">
      <c r="B59" s="548"/>
    </row>
    <row r="60" spans="2:2" s="275" customFormat="1">
      <c r="B60" s="548"/>
    </row>
    <row r="61" spans="2:2" s="275" customFormat="1">
      <c r="B61" s="548"/>
    </row>
    <row r="62" spans="2:2" s="275" customFormat="1">
      <c r="B62" s="548"/>
    </row>
    <row r="63" spans="2:2" s="275" customFormat="1">
      <c r="B63" s="548"/>
    </row>
    <row r="64" spans="2:2" s="275" customFormat="1">
      <c r="B64" s="548"/>
    </row>
    <row r="65" spans="2:2" s="275" customFormat="1">
      <c r="B65" s="548"/>
    </row>
    <row r="66" spans="2:2" s="275" customFormat="1">
      <c r="B66" s="548"/>
    </row>
    <row r="67" spans="2:2" s="275" customFormat="1">
      <c r="B67" s="548"/>
    </row>
    <row r="68" spans="2:2" s="275" customFormat="1">
      <c r="B68" s="548"/>
    </row>
    <row r="69" spans="2:2" s="275" customFormat="1">
      <c r="B69" s="548"/>
    </row>
    <row r="70" spans="2:2" s="275" customFormat="1">
      <c r="B70" s="548"/>
    </row>
    <row r="71" spans="2:2" s="275" customFormat="1">
      <c r="B71" s="548"/>
    </row>
    <row r="72" spans="2:2" s="275" customFormat="1">
      <c r="B72" s="548"/>
    </row>
    <row r="73" spans="2:2" s="275" customFormat="1">
      <c r="B73" s="548"/>
    </row>
    <row r="74" spans="2:2" s="275" customFormat="1">
      <c r="B74" s="548"/>
    </row>
    <row r="75" spans="2:2" s="275" customFormat="1">
      <c r="B75" s="548"/>
    </row>
    <row r="76" spans="2:2" s="275" customFormat="1">
      <c r="B76" s="548"/>
    </row>
    <row r="77" spans="2:2" s="275" customFormat="1">
      <c r="B77" s="548"/>
    </row>
    <row r="78" spans="2:2" s="275" customFormat="1">
      <c r="B78" s="548"/>
    </row>
    <row r="79" spans="2:2" s="275" customFormat="1">
      <c r="B79" s="548"/>
    </row>
    <row r="80" spans="2:2" s="275" customFormat="1">
      <c r="B80" s="548"/>
    </row>
    <row r="81" spans="2:2" s="275" customFormat="1">
      <c r="B81" s="548"/>
    </row>
    <row r="82" spans="2:2" s="275" customFormat="1">
      <c r="B82" s="548"/>
    </row>
    <row r="83" spans="2:2" s="275" customFormat="1">
      <c r="B83" s="548"/>
    </row>
    <row r="84" spans="2:2" s="275" customFormat="1">
      <c r="B84" s="548"/>
    </row>
    <row r="85" spans="2:2" s="275" customFormat="1">
      <c r="B85" s="548"/>
    </row>
    <row r="86" spans="2:2" s="275" customFormat="1">
      <c r="B86" s="548"/>
    </row>
    <row r="87" spans="2:2" s="275" customFormat="1">
      <c r="B87" s="548"/>
    </row>
    <row r="88" spans="2:2" s="275" customFormat="1">
      <c r="B88" s="548"/>
    </row>
    <row r="89" spans="2:2" s="275" customFormat="1">
      <c r="B89" s="548"/>
    </row>
    <row r="90" spans="2:2" s="275" customFormat="1">
      <c r="B90" s="548"/>
    </row>
    <row r="91" spans="2:2" s="275" customFormat="1">
      <c r="B91" s="548"/>
    </row>
    <row r="92" spans="2:2" s="275" customFormat="1">
      <c r="B92" s="548"/>
    </row>
    <row r="93" spans="2:2" s="275" customFormat="1">
      <c r="B93" s="548"/>
    </row>
    <row r="94" spans="2:2" s="275" customFormat="1">
      <c r="B94" s="548"/>
    </row>
    <row r="95" spans="2:2" s="275" customFormat="1">
      <c r="B95" s="548"/>
    </row>
    <row r="96" spans="2:2" s="275" customFormat="1">
      <c r="B96" s="548"/>
    </row>
    <row r="97" spans="2:2" s="275" customFormat="1">
      <c r="B97" s="548"/>
    </row>
    <row r="98" spans="2:2" s="275" customFormat="1">
      <c r="B98" s="548"/>
    </row>
    <row r="99" spans="2:2" s="275" customFormat="1">
      <c r="B99" s="548"/>
    </row>
    <row r="100" spans="2:2" s="275" customFormat="1">
      <c r="B100" s="548"/>
    </row>
    <row r="101" spans="2:2" s="275" customFormat="1">
      <c r="B101" s="548"/>
    </row>
    <row r="102" spans="2:2" s="275" customFormat="1">
      <c r="B102" s="548"/>
    </row>
    <row r="103" spans="2:2" s="275" customFormat="1">
      <c r="B103" s="548"/>
    </row>
    <row r="104" spans="2:2" s="275" customFormat="1">
      <c r="B104" s="548"/>
    </row>
    <row r="105" spans="2:2" s="275" customFormat="1">
      <c r="B105" s="548"/>
    </row>
    <row r="106" spans="2:2" s="275" customFormat="1">
      <c r="B106" s="548"/>
    </row>
    <row r="107" spans="2:2" s="275" customFormat="1">
      <c r="B107" s="548"/>
    </row>
    <row r="108" spans="2:2" s="275" customFormat="1">
      <c r="B108" s="548"/>
    </row>
    <row r="109" spans="2:2" s="275" customFormat="1">
      <c r="B109" s="548"/>
    </row>
    <row r="110" spans="2:2" s="275" customFormat="1">
      <c r="B110" s="548"/>
    </row>
    <row r="111" spans="2:2" s="275" customFormat="1">
      <c r="B111" s="548"/>
    </row>
    <row r="112" spans="2:2" s="275" customFormat="1">
      <c r="B112" s="548"/>
    </row>
    <row r="113" spans="2:2" s="275" customFormat="1">
      <c r="B113" s="548"/>
    </row>
    <row r="114" spans="2:2" s="275" customFormat="1">
      <c r="B114" s="548"/>
    </row>
    <row r="115" spans="2:2" s="275" customFormat="1">
      <c r="B115" s="548"/>
    </row>
    <row r="116" spans="2:2" s="275" customFormat="1">
      <c r="B116" s="548"/>
    </row>
    <row r="117" spans="2:2" s="275" customFormat="1">
      <c r="B117" s="548"/>
    </row>
    <row r="118" spans="2:2" s="275" customFormat="1">
      <c r="B118" s="548"/>
    </row>
    <row r="119" spans="2:2" s="275" customFormat="1">
      <c r="B119" s="548"/>
    </row>
    <row r="120" spans="2:2" s="275" customFormat="1">
      <c r="B120" s="548"/>
    </row>
    <row r="121" spans="2:2" s="275" customFormat="1">
      <c r="B121" s="548"/>
    </row>
    <row r="122" spans="2:2" s="275" customFormat="1">
      <c r="B122" s="548"/>
    </row>
    <row r="123" spans="2:2" s="275" customFormat="1">
      <c r="B123" s="548"/>
    </row>
    <row r="124" spans="2:2" s="275" customFormat="1">
      <c r="B124" s="548"/>
    </row>
    <row r="125" spans="2:2" s="275" customFormat="1">
      <c r="B125" s="548"/>
    </row>
    <row r="126" spans="2:2" s="275" customFormat="1">
      <c r="B126" s="548"/>
    </row>
    <row r="127" spans="2:2" s="275" customFormat="1">
      <c r="B127" s="548"/>
    </row>
    <row r="128" spans="2:2" s="275" customFormat="1">
      <c r="B128" s="548"/>
    </row>
    <row r="129" spans="2:2" s="275" customFormat="1">
      <c r="B129" s="548"/>
    </row>
    <row r="130" spans="2:2" s="275" customFormat="1">
      <c r="B130" s="548"/>
    </row>
    <row r="131" spans="2:2" s="275" customFormat="1">
      <c r="B131" s="548"/>
    </row>
    <row r="132" spans="2:2" s="275" customFormat="1">
      <c r="B132" s="548"/>
    </row>
    <row r="133" spans="2:2" s="275" customFormat="1">
      <c r="B133" s="548"/>
    </row>
    <row r="134" spans="2:2" s="275" customFormat="1">
      <c r="B134" s="548"/>
    </row>
    <row r="135" spans="2:2" s="275" customFormat="1">
      <c r="B135" s="548"/>
    </row>
    <row r="136" spans="2:2" s="275" customFormat="1">
      <c r="B136" s="548"/>
    </row>
    <row r="137" spans="2:2" s="275" customFormat="1">
      <c r="B137" s="548"/>
    </row>
    <row r="138" spans="2:2" s="275" customFormat="1">
      <c r="B138" s="548"/>
    </row>
    <row r="139" spans="2:2" s="275" customFormat="1">
      <c r="B139" s="548"/>
    </row>
    <row r="140" spans="2:2" s="275" customFormat="1">
      <c r="B140" s="548"/>
    </row>
    <row r="141" spans="2:2" s="275" customFormat="1">
      <c r="B141" s="548"/>
    </row>
    <row r="142" spans="2:2" s="275" customFormat="1">
      <c r="B142" s="548"/>
    </row>
    <row r="143" spans="2:2" s="275" customFormat="1">
      <c r="B143" s="548"/>
    </row>
    <row r="144" spans="2:2" s="275" customFormat="1">
      <c r="B144" s="548"/>
    </row>
    <row r="145" spans="2:2" s="275" customFormat="1">
      <c r="B145" s="548"/>
    </row>
    <row r="146" spans="2:2" s="275" customFormat="1">
      <c r="B146" s="548"/>
    </row>
    <row r="147" spans="2:2" s="275" customFormat="1">
      <c r="B147" s="548"/>
    </row>
    <row r="148" spans="2:2" s="275" customFormat="1">
      <c r="B148" s="548"/>
    </row>
    <row r="149" spans="2:2" s="275" customFormat="1">
      <c r="B149" s="548"/>
    </row>
    <row r="150" spans="2:2" s="275" customFormat="1">
      <c r="B150" s="548"/>
    </row>
    <row r="151" spans="2:2" s="275" customFormat="1">
      <c r="B151" s="548"/>
    </row>
    <row r="152" spans="2:2" s="275" customFormat="1">
      <c r="B152" s="548"/>
    </row>
    <row r="153" spans="2:2" s="275" customFormat="1">
      <c r="B153" s="548"/>
    </row>
    <row r="154" spans="2:2" s="275" customFormat="1">
      <c r="B154" s="548"/>
    </row>
    <row r="155" spans="2:2" s="275" customFormat="1">
      <c r="B155" s="548"/>
    </row>
    <row r="156" spans="2:2" s="275" customFormat="1">
      <c r="B156" s="548"/>
    </row>
    <row r="157" spans="2:2" s="275" customFormat="1">
      <c r="B157" s="548"/>
    </row>
    <row r="158" spans="2:2" s="275" customFormat="1">
      <c r="B158" s="548"/>
    </row>
    <row r="159" spans="2:2" s="275" customFormat="1">
      <c r="B159" s="548"/>
    </row>
    <row r="160" spans="2:2" s="275" customFormat="1">
      <c r="B160" s="548"/>
    </row>
    <row r="161" spans="2:2" s="275" customFormat="1">
      <c r="B161" s="548"/>
    </row>
    <row r="162" spans="2:2" s="275" customFormat="1">
      <c r="B162" s="548"/>
    </row>
    <row r="163" spans="2:2" s="275" customFormat="1">
      <c r="B163" s="548"/>
    </row>
    <row r="164" spans="2:2" s="275" customFormat="1">
      <c r="B164" s="548"/>
    </row>
    <row r="165" spans="2:2" s="275" customFormat="1">
      <c r="B165" s="548"/>
    </row>
    <row r="166" spans="2:2" s="275" customFormat="1">
      <c r="B166" s="548"/>
    </row>
    <row r="167" spans="2:2" s="275" customFormat="1">
      <c r="B167" s="548"/>
    </row>
    <row r="168" spans="2:2" s="275" customFormat="1">
      <c r="B168" s="548"/>
    </row>
    <row r="169" spans="2:2" s="275" customFormat="1">
      <c r="B169" s="548"/>
    </row>
    <row r="170" spans="2:2" s="275" customFormat="1">
      <c r="B170" s="548"/>
    </row>
    <row r="171" spans="2:2" s="275" customFormat="1">
      <c r="B171" s="548"/>
    </row>
    <row r="172" spans="2:2" s="275" customFormat="1">
      <c r="B172" s="548"/>
    </row>
    <row r="173" spans="2:2" s="275" customFormat="1">
      <c r="B173" s="548"/>
    </row>
    <row r="174" spans="2:2" s="275" customFormat="1">
      <c r="B174" s="548"/>
    </row>
    <row r="175" spans="2:2" s="275" customFormat="1">
      <c r="B175" s="548"/>
    </row>
    <row r="176" spans="2:2" s="275" customFormat="1">
      <c r="B176" s="548"/>
    </row>
    <row r="177" spans="2:2" s="275" customFormat="1">
      <c r="B177" s="548"/>
    </row>
    <row r="178" spans="2:2" s="275" customFormat="1">
      <c r="B178" s="548"/>
    </row>
    <row r="179" spans="2:2" s="275" customFormat="1">
      <c r="B179" s="548"/>
    </row>
    <row r="180" spans="2:2" s="275" customFormat="1">
      <c r="B180" s="548"/>
    </row>
    <row r="181" spans="2:2" s="275" customFormat="1">
      <c r="B181" s="548"/>
    </row>
    <row r="182" spans="2:2" s="275" customFormat="1">
      <c r="B182" s="548"/>
    </row>
    <row r="183" spans="2:2" s="275" customFormat="1">
      <c r="B183" s="548"/>
    </row>
    <row r="184" spans="2:2" s="275" customFormat="1">
      <c r="B184" s="548"/>
    </row>
    <row r="185" spans="2:2" s="275" customFormat="1">
      <c r="B185" s="548"/>
    </row>
    <row r="186" spans="2:2" s="275" customFormat="1">
      <c r="B186" s="548"/>
    </row>
    <row r="187" spans="2:2" s="275" customFormat="1">
      <c r="B187" s="548"/>
    </row>
    <row r="188" spans="2:2" s="275" customFormat="1">
      <c r="B188" s="548"/>
    </row>
    <row r="189" spans="2:2" s="275" customFormat="1">
      <c r="B189" s="548"/>
    </row>
    <row r="190" spans="2:2" s="275" customFormat="1">
      <c r="B190" s="548"/>
    </row>
    <row r="191" spans="2:2" s="275" customFormat="1">
      <c r="B191" s="548"/>
    </row>
    <row r="192" spans="2:2" s="275" customFormat="1">
      <c r="B192" s="548"/>
    </row>
    <row r="193" spans="2:2" s="275" customFormat="1">
      <c r="B193" s="548"/>
    </row>
    <row r="194" spans="2:2" s="275" customFormat="1">
      <c r="B194" s="548"/>
    </row>
    <row r="195" spans="2:2" s="275" customFormat="1">
      <c r="B195" s="548"/>
    </row>
    <row r="196" spans="2:2" s="275" customFormat="1">
      <c r="B196" s="548"/>
    </row>
    <row r="197" spans="2:2" s="275" customFormat="1">
      <c r="B197" s="548"/>
    </row>
    <row r="198" spans="2:2" s="275" customFormat="1">
      <c r="B198" s="548"/>
    </row>
    <row r="199" spans="2:2" s="275" customFormat="1">
      <c r="B199" s="548"/>
    </row>
    <row r="200" spans="2:2" s="275" customFormat="1">
      <c r="B200" s="548"/>
    </row>
    <row r="201" spans="2:2" s="275" customFormat="1">
      <c r="B201" s="548"/>
    </row>
    <row r="202" spans="2:2" s="275" customFormat="1">
      <c r="B202" s="548"/>
    </row>
    <row r="203" spans="2:2" s="275" customFormat="1">
      <c r="B203" s="548"/>
    </row>
    <row r="204" spans="2:2" s="275" customFormat="1">
      <c r="B204" s="548"/>
    </row>
    <row r="205" spans="2:2" s="275" customFormat="1">
      <c r="B205" s="548"/>
    </row>
    <row r="206" spans="2:2" s="275" customFormat="1">
      <c r="B206" s="548"/>
    </row>
    <row r="207" spans="2:2" s="275" customFormat="1">
      <c r="B207" s="548"/>
    </row>
    <row r="208" spans="2:2" s="275" customFormat="1">
      <c r="B208" s="548"/>
    </row>
    <row r="209" spans="2:2" s="275" customFormat="1">
      <c r="B209" s="548"/>
    </row>
    <row r="210" spans="2:2" s="275" customFormat="1">
      <c r="B210" s="548"/>
    </row>
    <row r="211" spans="2:2" s="275" customFormat="1">
      <c r="B211" s="548"/>
    </row>
    <row r="212" spans="2:2" s="275" customFormat="1">
      <c r="B212" s="548"/>
    </row>
    <row r="213" spans="2:2" s="275" customFormat="1">
      <c r="B213" s="548"/>
    </row>
    <row r="214" spans="2:2" s="275" customFormat="1">
      <c r="B214" s="548"/>
    </row>
    <row r="215" spans="2:2" s="275" customFormat="1">
      <c r="B215" s="548"/>
    </row>
    <row r="216" spans="2:2" s="275" customFormat="1">
      <c r="B216" s="548"/>
    </row>
    <row r="217" spans="2:2" s="275" customFormat="1">
      <c r="B217" s="548"/>
    </row>
    <row r="218" spans="2:2" s="275" customFormat="1">
      <c r="B218" s="548"/>
    </row>
    <row r="219" spans="2:2" s="275" customFormat="1">
      <c r="B219" s="548"/>
    </row>
    <row r="220" spans="2:2" s="275" customFormat="1">
      <c r="B220" s="548"/>
    </row>
    <row r="221" spans="2:2" s="275" customFormat="1">
      <c r="B221" s="548"/>
    </row>
    <row r="222" spans="2:2" s="275" customFormat="1">
      <c r="B222" s="548"/>
    </row>
    <row r="223" spans="2:2" s="275" customFormat="1">
      <c r="B223" s="548"/>
    </row>
    <row r="224" spans="2:2" s="275" customFormat="1">
      <c r="B224" s="548"/>
    </row>
    <row r="225" spans="2:2" s="275" customFormat="1">
      <c r="B225" s="548"/>
    </row>
    <row r="226" spans="2:2" s="275" customFormat="1">
      <c r="B226" s="548"/>
    </row>
    <row r="227" spans="2:2" s="275" customFormat="1">
      <c r="B227" s="548"/>
    </row>
    <row r="228" spans="2:2" s="275" customFormat="1">
      <c r="B228" s="548"/>
    </row>
    <row r="229" spans="2:2" s="275" customFormat="1">
      <c r="B229" s="548"/>
    </row>
    <row r="230" spans="2:2" s="275" customFormat="1">
      <c r="B230" s="548"/>
    </row>
    <row r="231" spans="2:2" s="275" customFormat="1">
      <c r="B231" s="548"/>
    </row>
    <row r="232" spans="2:2" s="275" customFormat="1">
      <c r="B232" s="548"/>
    </row>
    <row r="233" spans="2:2" s="275" customFormat="1">
      <c r="B233" s="548"/>
    </row>
    <row r="234" spans="2:2" s="275" customFormat="1">
      <c r="B234" s="548"/>
    </row>
    <row r="235" spans="2:2" s="275" customFormat="1">
      <c r="B235" s="548"/>
    </row>
    <row r="236" spans="2:2" s="275" customFormat="1">
      <c r="B236" s="548"/>
    </row>
    <row r="237" spans="2:2" s="275" customFormat="1">
      <c r="B237" s="548"/>
    </row>
    <row r="238" spans="2:2" s="275" customFormat="1">
      <c r="B238" s="548"/>
    </row>
    <row r="239" spans="2:2" s="275" customFormat="1">
      <c r="B239" s="548"/>
    </row>
    <row r="240" spans="2:2" s="275" customFormat="1">
      <c r="B240" s="548"/>
    </row>
    <row r="241" spans="2:2" s="275" customFormat="1">
      <c r="B241" s="548"/>
    </row>
    <row r="242" spans="2:2" s="275" customFormat="1">
      <c r="B242" s="548"/>
    </row>
    <row r="243" spans="2:2" s="275" customFormat="1">
      <c r="B243" s="548"/>
    </row>
    <row r="244" spans="2:2" s="275" customFormat="1">
      <c r="B244" s="548"/>
    </row>
    <row r="245" spans="2:2" s="275" customFormat="1">
      <c r="B245" s="548"/>
    </row>
    <row r="246" spans="2:2" s="275" customFormat="1">
      <c r="B246" s="548"/>
    </row>
    <row r="247" spans="2:2" s="275" customFormat="1">
      <c r="B247" s="548"/>
    </row>
    <row r="248" spans="2:2" s="275" customFormat="1">
      <c r="B248" s="548"/>
    </row>
    <row r="249" spans="2:2" s="275" customFormat="1">
      <c r="B249" s="548"/>
    </row>
    <row r="250" spans="2:2" s="275" customFormat="1">
      <c r="B250" s="548"/>
    </row>
    <row r="251" spans="2:2" s="275" customFormat="1">
      <c r="B251" s="548"/>
    </row>
    <row r="252" spans="2:2" s="275" customFormat="1">
      <c r="B252" s="548"/>
    </row>
    <row r="253" spans="2:2" s="275" customFormat="1">
      <c r="B253" s="548"/>
    </row>
    <row r="254" spans="2:2" s="275" customFormat="1">
      <c r="B254" s="548"/>
    </row>
    <row r="255" spans="2:2" s="275" customFormat="1">
      <c r="B255" s="548"/>
    </row>
    <row r="256" spans="2:2" s="275" customFormat="1">
      <c r="B256" s="548"/>
    </row>
    <row r="257" spans="2:2" s="275" customFormat="1">
      <c r="B257" s="548"/>
    </row>
    <row r="258" spans="2:2" s="275" customFormat="1">
      <c r="B258" s="548"/>
    </row>
    <row r="259" spans="2:2" s="275" customFormat="1">
      <c r="B259" s="548"/>
    </row>
    <row r="260" spans="2:2" s="275" customFormat="1">
      <c r="B260" s="548"/>
    </row>
    <row r="261" spans="2:2" s="275" customFormat="1">
      <c r="B261" s="548"/>
    </row>
    <row r="262" spans="2:2" s="275" customFormat="1">
      <c r="B262" s="548"/>
    </row>
    <row r="263" spans="2:2" s="275" customFormat="1">
      <c r="B263" s="548"/>
    </row>
    <row r="264" spans="2:2" s="275" customFormat="1">
      <c r="B264" s="548"/>
    </row>
    <row r="265" spans="2:2" s="275" customFormat="1">
      <c r="B265" s="548"/>
    </row>
    <row r="266" spans="2:2" s="275" customFormat="1">
      <c r="B266" s="548"/>
    </row>
    <row r="267" spans="2:2" s="275" customFormat="1">
      <c r="B267" s="548"/>
    </row>
    <row r="268" spans="2:2" s="275" customFormat="1">
      <c r="B268" s="548"/>
    </row>
    <row r="269" spans="2:2" s="275" customFormat="1">
      <c r="B269" s="548"/>
    </row>
    <row r="270" spans="2:2" s="275" customFormat="1">
      <c r="B270" s="548"/>
    </row>
    <row r="271" spans="2:2" s="275" customFormat="1">
      <c r="B271" s="548"/>
    </row>
    <row r="272" spans="2:2" s="275" customFormat="1">
      <c r="B272" s="548"/>
    </row>
    <row r="273" spans="2:2" s="275" customFormat="1">
      <c r="B273" s="548"/>
    </row>
    <row r="274" spans="2:2" s="275" customFormat="1">
      <c r="B274" s="548"/>
    </row>
    <row r="275" spans="2:2" s="275" customFormat="1">
      <c r="B275" s="548"/>
    </row>
    <row r="276" spans="2:2" s="275" customFormat="1">
      <c r="B276" s="548"/>
    </row>
    <row r="277" spans="2:2" s="275" customFormat="1">
      <c r="B277" s="548"/>
    </row>
    <row r="278" spans="2:2" s="275" customFormat="1">
      <c r="B278" s="548"/>
    </row>
    <row r="279" spans="2:2" s="275" customFormat="1">
      <c r="B279" s="548"/>
    </row>
    <row r="280" spans="2:2" s="275" customFormat="1">
      <c r="B280" s="548"/>
    </row>
    <row r="281" spans="2:2" s="275" customFormat="1">
      <c r="B281" s="548"/>
    </row>
    <row r="282" spans="2:2" s="275" customFormat="1">
      <c r="B282" s="548"/>
    </row>
    <row r="283" spans="2:2" s="275" customFormat="1">
      <c r="B283" s="548"/>
    </row>
    <row r="284" spans="2:2" s="275" customFormat="1">
      <c r="B284" s="548"/>
    </row>
    <row r="285" spans="2:2" s="275" customFormat="1">
      <c r="B285" s="548"/>
    </row>
    <row r="286" spans="2:2" s="275" customFormat="1">
      <c r="B286" s="548"/>
    </row>
    <row r="287" spans="2:2" s="275" customFormat="1">
      <c r="B287" s="548"/>
    </row>
    <row r="288" spans="2:2" s="275" customFormat="1">
      <c r="B288" s="548"/>
    </row>
    <row r="289" spans="2:2" s="275" customFormat="1">
      <c r="B289" s="548"/>
    </row>
    <row r="290" spans="2:2" s="275" customFormat="1">
      <c r="B290" s="548"/>
    </row>
    <row r="291" spans="2:2" s="275" customFormat="1">
      <c r="B291" s="548"/>
    </row>
    <row r="292" spans="2:2" s="275" customFormat="1">
      <c r="B292" s="548"/>
    </row>
    <row r="293" spans="2:2" s="275" customFormat="1">
      <c r="B293" s="548"/>
    </row>
    <row r="294" spans="2:2" s="275" customFormat="1">
      <c r="B294" s="548"/>
    </row>
    <row r="295" spans="2:2" s="275" customFormat="1">
      <c r="B295" s="548"/>
    </row>
    <row r="296" spans="2:2" s="275" customFormat="1">
      <c r="B296" s="548"/>
    </row>
    <row r="297" spans="2:2" s="275" customFormat="1">
      <c r="B297" s="548"/>
    </row>
    <row r="298" spans="2:2" s="275" customFormat="1">
      <c r="B298" s="548"/>
    </row>
    <row r="299" spans="2:2" s="275" customFormat="1">
      <c r="B299" s="548"/>
    </row>
    <row r="300" spans="2:2" s="275" customFormat="1">
      <c r="B300" s="548"/>
    </row>
    <row r="301" spans="2:2" s="275" customFormat="1">
      <c r="B301" s="548"/>
    </row>
    <row r="302" spans="2:2" s="275" customFormat="1">
      <c r="B302" s="548"/>
    </row>
    <row r="303" spans="2:2" s="275" customFormat="1">
      <c r="B303" s="548"/>
    </row>
    <row r="304" spans="2:2" s="275" customFormat="1">
      <c r="B304" s="548"/>
    </row>
    <row r="305" spans="2:2" s="275" customFormat="1">
      <c r="B305" s="548"/>
    </row>
    <row r="306" spans="2:2" s="275" customFormat="1">
      <c r="B306" s="548"/>
    </row>
    <row r="307" spans="2:2" s="275" customFormat="1">
      <c r="B307" s="548"/>
    </row>
    <row r="308" spans="2:2" s="275" customFormat="1">
      <c r="B308" s="548"/>
    </row>
    <row r="309" spans="2:2" s="275" customFormat="1">
      <c r="B309" s="548"/>
    </row>
    <row r="310" spans="2:2" s="275" customFormat="1">
      <c r="B310" s="548"/>
    </row>
    <row r="311" spans="2:2" s="275" customFormat="1">
      <c r="B311" s="548"/>
    </row>
    <row r="312" spans="2:2" s="275" customFormat="1">
      <c r="B312" s="548"/>
    </row>
    <row r="313" spans="2:2" s="275" customFormat="1">
      <c r="B313" s="548"/>
    </row>
    <row r="314" spans="2:2" s="275" customFormat="1">
      <c r="B314" s="548"/>
    </row>
    <row r="315" spans="2:2" s="275" customFormat="1">
      <c r="B315" s="548"/>
    </row>
    <row r="316" spans="2:2" s="275" customFormat="1">
      <c r="B316" s="548"/>
    </row>
    <row r="317" spans="2:2" s="275" customFormat="1">
      <c r="B317" s="548"/>
    </row>
    <row r="318" spans="2:2" s="275" customFormat="1">
      <c r="B318" s="548"/>
    </row>
    <row r="319" spans="2:2" s="275" customFormat="1">
      <c r="B319" s="548"/>
    </row>
    <row r="320" spans="2:2" s="275" customFormat="1">
      <c r="B320" s="548"/>
    </row>
    <row r="321" spans="2:2" s="275" customFormat="1">
      <c r="B321" s="548"/>
    </row>
    <row r="322" spans="2:2" s="275" customFormat="1">
      <c r="B322" s="548"/>
    </row>
    <row r="323" spans="2:2" s="275" customFormat="1">
      <c r="B323" s="548"/>
    </row>
    <row r="324" spans="2:2" s="275" customFormat="1">
      <c r="B324" s="548"/>
    </row>
    <row r="325" spans="2:2" s="275" customFormat="1">
      <c r="B325" s="548"/>
    </row>
    <row r="326" spans="2:2" s="275" customFormat="1">
      <c r="B326" s="548"/>
    </row>
    <row r="327" spans="2:2" s="275" customFormat="1">
      <c r="B327" s="548"/>
    </row>
    <row r="328" spans="2:2" s="275" customFormat="1">
      <c r="B328" s="548"/>
    </row>
    <row r="329" spans="2:2" s="275" customFormat="1">
      <c r="B329" s="548"/>
    </row>
    <row r="330" spans="2:2" s="275" customFormat="1">
      <c r="B330" s="548"/>
    </row>
    <row r="331" spans="2:2" s="275" customFormat="1">
      <c r="B331" s="548"/>
    </row>
    <row r="332" spans="2:2" s="275" customFormat="1">
      <c r="B332" s="548"/>
    </row>
    <row r="333" spans="2:2" s="275" customFormat="1">
      <c r="B333" s="548"/>
    </row>
    <row r="334" spans="2:2" s="275" customFormat="1">
      <c r="B334" s="548"/>
    </row>
    <row r="335" spans="2:2" s="275" customFormat="1">
      <c r="B335" s="548"/>
    </row>
    <row r="336" spans="2:2" s="275" customFormat="1">
      <c r="B336" s="548"/>
    </row>
    <row r="337" spans="2:2" s="275" customFormat="1">
      <c r="B337" s="548"/>
    </row>
    <row r="338" spans="2:2" s="275" customFormat="1">
      <c r="B338" s="548"/>
    </row>
    <row r="339" spans="2:2" s="275" customFormat="1">
      <c r="B339" s="548"/>
    </row>
    <row r="340" spans="2:2" s="275" customFormat="1">
      <c r="B340" s="548"/>
    </row>
    <row r="341" spans="2:2" s="275" customFormat="1">
      <c r="B341" s="548"/>
    </row>
    <row r="342" spans="2:2" s="275" customFormat="1">
      <c r="B342" s="548"/>
    </row>
    <row r="343" spans="2:2" s="275" customFormat="1">
      <c r="B343" s="548"/>
    </row>
    <row r="344" spans="2:2" s="275" customFormat="1">
      <c r="B344" s="548"/>
    </row>
    <row r="345" spans="2:2" s="275" customFormat="1">
      <c r="B345" s="548"/>
    </row>
    <row r="346" spans="2:2" s="275" customFormat="1">
      <c r="B346" s="548"/>
    </row>
    <row r="347" spans="2:2" s="275" customFormat="1">
      <c r="B347" s="548"/>
    </row>
    <row r="348" spans="2:2" s="275" customFormat="1">
      <c r="B348" s="548"/>
    </row>
    <row r="349" spans="2:2" s="275" customFormat="1">
      <c r="B349" s="548"/>
    </row>
    <row r="350" spans="2:2" s="275" customFormat="1">
      <c r="B350" s="548"/>
    </row>
    <row r="351" spans="2:2" s="275" customFormat="1">
      <c r="B351" s="548"/>
    </row>
    <row r="352" spans="2:2" s="275" customFormat="1">
      <c r="B352" s="548"/>
    </row>
    <row r="353" spans="2:2" s="275" customFormat="1">
      <c r="B353" s="548"/>
    </row>
    <row r="354" spans="2:2" s="275" customFormat="1">
      <c r="B354" s="548"/>
    </row>
    <row r="355" spans="2:2" s="275" customFormat="1">
      <c r="B355" s="548"/>
    </row>
    <row r="356" spans="2:2" s="275" customFormat="1">
      <c r="B356" s="548"/>
    </row>
    <row r="357" spans="2:2" s="275" customFormat="1">
      <c r="B357" s="548"/>
    </row>
    <row r="358" spans="2:2" s="275" customFormat="1">
      <c r="B358" s="548"/>
    </row>
    <row r="359" spans="2:2" s="275" customFormat="1">
      <c r="B359" s="548"/>
    </row>
    <row r="360" spans="2:2" s="275" customFormat="1">
      <c r="B360" s="548"/>
    </row>
    <row r="361" spans="2:2" s="275" customFormat="1">
      <c r="B361" s="548"/>
    </row>
    <row r="362" spans="2:2" s="275" customFormat="1">
      <c r="B362" s="548"/>
    </row>
    <row r="363" spans="2:2" s="275" customFormat="1">
      <c r="B363" s="548"/>
    </row>
    <row r="364" spans="2:2" s="275" customFormat="1">
      <c r="B364" s="548"/>
    </row>
    <row r="365" spans="2:2" s="275" customFormat="1">
      <c r="B365" s="548"/>
    </row>
    <row r="366" spans="2:2" s="275" customFormat="1">
      <c r="B366" s="548"/>
    </row>
    <row r="367" spans="2:2" s="275" customFormat="1">
      <c r="B367" s="548"/>
    </row>
    <row r="368" spans="2:2" s="275" customFormat="1">
      <c r="B368" s="548"/>
    </row>
    <row r="369" spans="2:2" s="275" customFormat="1">
      <c r="B369" s="548"/>
    </row>
    <row r="370" spans="2:2" s="275" customFormat="1">
      <c r="B370" s="548"/>
    </row>
    <row r="371" spans="2:2" s="275" customFormat="1">
      <c r="B371" s="548"/>
    </row>
    <row r="372" spans="2:2" s="275" customFormat="1">
      <c r="B372" s="548"/>
    </row>
    <row r="373" spans="2:2" s="275" customFormat="1">
      <c r="B373" s="548"/>
    </row>
    <row r="374" spans="2:2" s="275" customFormat="1">
      <c r="B374" s="548"/>
    </row>
    <row r="375" spans="2:2" s="275" customFormat="1">
      <c r="B375" s="548"/>
    </row>
    <row r="376" spans="2:2" s="275" customFormat="1">
      <c r="B376" s="548"/>
    </row>
    <row r="377" spans="2:2" s="275" customFormat="1">
      <c r="B377" s="548"/>
    </row>
    <row r="378" spans="2:2" s="275" customFormat="1">
      <c r="B378" s="548"/>
    </row>
    <row r="379" spans="2:2" s="275" customFormat="1">
      <c r="B379" s="548"/>
    </row>
    <row r="380" spans="2:2" s="275" customFormat="1">
      <c r="B380" s="548"/>
    </row>
    <row r="381" spans="2:2" s="275" customFormat="1">
      <c r="B381" s="548"/>
    </row>
    <row r="382" spans="2:2" s="275" customFormat="1">
      <c r="B382" s="548"/>
    </row>
    <row r="383" spans="2:2" s="275" customFormat="1">
      <c r="B383" s="548"/>
    </row>
    <row r="384" spans="2:2" s="275" customFormat="1">
      <c r="B384" s="548"/>
    </row>
    <row r="385" spans="2:2" s="275" customFormat="1">
      <c r="B385" s="548"/>
    </row>
    <row r="386" spans="2:2" s="275" customFormat="1">
      <c r="B386" s="548"/>
    </row>
    <row r="387" spans="2:2" s="275" customFormat="1">
      <c r="B387" s="548"/>
    </row>
    <row r="388" spans="2:2" s="275" customFormat="1">
      <c r="B388" s="548"/>
    </row>
    <row r="389" spans="2:2" s="275" customFormat="1">
      <c r="B389" s="548"/>
    </row>
    <row r="390" spans="2:2" s="275" customFormat="1">
      <c r="B390" s="548"/>
    </row>
    <row r="391" spans="2:2" s="275" customFormat="1">
      <c r="B391" s="548"/>
    </row>
    <row r="392" spans="2:2" s="275" customFormat="1">
      <c r="B392" s="548"/>
    </row>
    <row r="393" spans="2:2" s="275" customFormat="1">
      <c r="B393" s="548"/>
    </row>
    <row r="394" spans="2:2" s="275" customFormat="1">
      <c r="B394" s="548"/>
    </row>
    <row r="395" spans="2:2" s="275" customFormat="1">
      <c r="B395" s="548"/>
    </row>
    <row r="396" spans="2:2" s="275" customFormat="1">
      <c r="B396" s="548"/>
    </row>
    <row r="397" spans="2:2" s="275" customFormat="1">
      <c r="B397" s="548"/>
    </row>
    <row r="398" spans="2:2" s="275" customFormat="1">
      <c r="B398" s="548"/>
    </row>
    <row r="399" spans="2:2" s="275" customFormat="1">
      <c r="B399" s="548"/>
    </row>
    <row r="400" spans="2:2" s="275" customFormat="1">
      <c r="B400" s="548"/>
    </row>
    <row r="401" spans="2:2" s="275" customFormat="1">
      <c r="B401" s="548"/>
    </row>
    <row r="402" spans="2:2" s="275" customFormat="1">
      <c r="B402" s="548"/>
    </row>
    <row r="403" spans="2:2" s="275" customFormat="1">
      <c r="B403" s="548"/>
    </row>
    <row r="404" spans="2:2" s="275" customFormat="1">
      <c r="B404" s="548"/>
    </row>
    <row r="405" spans="2:2" s="275" customFormat="1">
      <c r="B405" s="548"/>
    </row>
    <row r="406" spans="2:2" s="275" customFormat="1">
      <c r="B406" s="548"/>
    </row>
    <row r="407" spans="2:2" s="275" customFormat="1">
      <c r="B407" s="548"/>
    </row>
    <row r="408" spans="2:2" s="275" customFormat="1">
      <c r="B408" s="548"/>
    </row>
    <row r="409" spans="2:2" s="275" customFormat="1">
      <c r="B409" s="548"/>
    </row>
    <row r="410" spans="2:2" s="275" customFormat="1">
      <c r="B410" s="548"/>
    </row>
    <row r="411" spans="2:2" s="275" customFormat="1">
      <c r="B411" s="548"/>
    </row>
    <row r="412" spans="2:2" s="275" customFormat="1">
      <c r="B412" s="548"/>
    </row>
    <row r="413" spans="2:2" s="275" customFormat="1">
      <c r="B413" s="548"/>
    </row>
    <row r="414" spans="2:2" s="275" customFormat="1">
      <c r="B414" s="548"/>
    </row>
    <row r="415" spans="2:2" s="275" customFormat="1">
      <c r="B415" s="548"/>
    </row>
    <row r="416" spans="2:2" s="275" customFormat="1">
      <c r="B416" s="548"/>
    </row>
    <row r="417" spans="2:2" s="275" customFormat="1">
      <c r="B417" s="548"/>
    </row>
    <row r="418" spans="2:2" s="275" customFormat="1">
      <c r="B418" s="548"/>
    </row>
    <row r="419" spans="2:2" s="275" customFormat="1">
      <c r="B419" s="548"/>
    </row>
    <row r="420" spans="2:2" s="275" customFormat="1">
      <c r="B420" s="548"/>
    </row>
    <row r="421" spans="2:2" s="275" customFormat="1">
      <c r="B421" s="548"/>
    </row>
    <row r="422" spans="2:2" s="275" customFormat="1">
      <c r="B422" s="548"/>
    </row>
    <row r="423" spans="2:2" s="275" customFormat="1">
      <c r="B423" s="548"/>
    </row>
    <row r="424" spans="2:2" s="275" customFormat="1">
      <c r="B424" s="548"/>
    </row>
    <row r="425" spans="2:2" s="275" customFormat="1">
      <c r="B425" s="548"/>
    </row>
    <row r="426" spans="2:2" s="275" customFormat="1">
      <c r="B426" s="548"/>
    </row>
    <row r="427" spans="2:2" s="275" customFormat="1">
      <c r="B427" s="548"/>
    </row>
    <row r="428" spans="2:2" s="275" customFormat="1">
      <c r="B428" s="548"/>
    </row>
    <row r="429" spans="2:2" s="275" customFormat="1">
      <c r="B429" s="548"/>
    </row>
    <row r="430" spans="2:2" s="275" customFormat="1">
      <c r="B430" s="548"/>
    </row>
    <row r="431" spans="2:2" s="275" customFormat="1">
      <c r="B431" s="548"/>
    </row>
    <row r="432" spans="2:2" s="275" customFormat="1">
      <c r="B432" s="548"/>
    </row>
    <row r="433" spans="2:2" s="275" customFormat="1">
      <c r="B433" s="548"/>
    </row>
    <row r="434" spans="2:2" s="275" customFormat="1">
      <c r="B434" s="548"/>
    </row>
    <row r="435" spans="2:2" s="275" customFormat="1">
      <c r="B435" s="548"/>
    </row>
    <row r="436" spans="2:2" s="275" customFormat="1">
      <c r="B436" s="548"/>
    </row>
    <row r="437" spans="2:2" s="275" customFormat="1">
      <c r="B437" s="548"/>
    </row>
    <row r="438" spans="2:2" s="275" customFormat="1">
      <c r="B438" s="548"/>
    </row>
    <row r="439" spans="2:2" s="275" customFormat="1">
      <c r="B439" s="548"/>
    </row>
    <row r="440" spans="2:2" s="275" customFormat="1">
      <c r="B440" s="548"/>
    </row>
    <row r="441" spans="2:2" s="275" customFormat="1">
      <c r="B441" s="548"/>
    </row>
    <row r="442" spans="2:2" s="275" customFormat="1">
      <c r="B442" s="548"/>
    </row>
    <row r="443" spans="2:2" s="275" customFormat="1">
      <c r="B443" s="548"/>
    </row>
    <row r="444" spans="2:2" s="275" customFormat="1">
      <c r="B444" s="548"/>
    </row>
    <row r="445" spans="2:2" s="275" customFormat="1">
      <c r="B445" s="548"/>
    </row>
    <row r="446" spans="2:2" s="275" customFormat="1">
      <c r="B446" s="548"/>
    </row>
    <row r="447" spans="2:2" s="275" customFormat="1">
      <c r="B447" s="548"/>
    </row>
    <row r="448" spans="2:2" s="275" customFormat="1">
      <c r="B448" s="548"/>
    </row>
    <row r="449" spans="2:2" s="275" customFormat="1">
      <c r="B449" s="548"/>
    </row>
    <row r="450" spans="2:2" s="275" customFormat="1">
      <c r="B450" s="548"/>
    </row>
    <row r="451" spans="2:2" s="275" customFormat="1">
      <c r="B451" s="548"/>
    </row>
    <row r="452" spans="2:2" s="275" customFormat="1">
      <c r="B452" s="548"/>
    </row>
    <row r="453" spans="2:2" s="275" customFormat="1">
      <c r="B453" s="548"/>
    </row>
    <row r="454" spans="2:2" s="275" customFormat="1">
      <c r="B454" s="548"/>
    </row>
    <row r="455" spans="2:2" s="275" customFormat="1">
      <c r="B455" s="548"/>
    </row>
    <row r="456" spans="2:2" s="275" customFormat="1">
      <c r="B456" s="548"/>
    </row>
    <row r="457" spans="2:2" s="275" customFormat="1">
      <c r="B457" s="548"/>
    </row>
    <row r="458" spans="2:2" s="275" customFormat="1">
      <c r="B458" s="548"/>
    </row>
    <row r="459" spans="2:2" s="275" customFormat="1">
      <c r="B459" s="548"/>
    </row>
    <row r="460" spans="2:2" s="275" customFormat="1">
      <c r="B460" s="548"/>
    </row>
    <row r="461" spans="2:2" s="275" customFormat="1">
      <c r="B461" s="548"/>
    </row>
    <row r="462" spans="2:2" s="275" customFormat="1">
      <c r="B462" s="548"/>
    </row>
    <row r="463" spans="2:2" s="275" customFormat="1">
      <c r="B463" s="548"/>
    </row>
    <row r="464" spans="2:2" s="275" customFormat="1">
      <c r="B464" s="548"/>
    </row>
    <row r="465" spans="2:2" s="275" customFormat="1">
      <c r="B465" s="548"/>
    </row>
    <row r="466" spans="2:2" s="275" customFormat="1">
      <c r="B466" s="548"/>
    </row>
    <row r="467" spans="2:2" s="275" customFormat="1">
      <c r="B467" s="548"/>
    </row>
    <row r="468" spans="2:2" s="275" customFormat="1">
      <c r="B468" s="548"/>
    </row>
    <row r="469" spans="2:2" s="275" customFormat="1">
      <c r="B469" s="548"/>
    </row>
    <row r="470" spans="2:2" s="275" customFormat="1">
      <c r="B470" s="548"/>
    </row>
    <row r="471" spans="2:2" s="275" customFormat="1">
      <c r="B471" s="548"/>
    </row>
    <row r="472" spans="2:2" s="275" customFormat="1">
      <c r="B472" s="548"/>
    </row>
    <row r="473" spans="2:2" s="275" customFormat="1">
      <c r="B473" s="548"/>
    </row>
    <row r="474" spans="2:2" s="275" customFormat="1">
      <c r="B474" s="548"/>
    </row>
    <row r="475" spans="2:2" s="275" customFormat="1">
      <c r="B475" s="548"/>
    </row>
    <row r="476" spans="2:2" s="275" customFormat="1">
      <c r="B476" s="548"/>
    </row>
    <row r="477" spans="2:2" s="275" customFormat="1">
      <c r="B477" s="548"/>
    </row>
    <row r="478" spans="2:2" s="275" customFormat="1">
      <c r="B478" s="548"/>
    </row>
    <row r="479" spans="2:2" s="275" customFormat="1">
      <c r="B479" s="548"/>
    </row>
    <row r="480" spans="2:2" s="275" customFormat="1">
      <c r="B480" s="548"/>
    </row>
    <row r="481" spans="2:2" s="275" customFormat="1">
      <c r="B481" s="548"/>
    </row>
    <row r="482" spans="2:2" s="275" customFormat="1">
      <c r="B482" s="548"/>
    </row>
    <row r="483" spans="2:2" s="275" customFormat="1">
      <c r="B483" s="548"/>
    </row>
    <row r="484" spans="2:2" s="275" customFormat="1">
      <c r="B484" s="548"/>
    </row>
    <row r="485" spans="2:2" s="275" customFormat="1">
      <c r="B485" s="548"/>
    </row>
    <row r="486" spans="2:2" s="275" customFormat="1">
      <c r="B486" s="548"/>
    </row>
    <row r="487" spans="2:2" s="275" customFormat="1">
      <c r="B487" s="548"/>
    </row>
    <row r="488" spans="2:2" s="275" customFormat="1">
      <c r="B488" s="548"/>
    </row>
    <row r="489" spans="2:2" s="275" customFormat="1">
      <c r="B489" s="548"/>
    </row>
    <row r="490" spans="2:2" s="275" customFormat="1">
      <c r="B490" s="548"/>
    </row>
    <row r="491" spans="2:2" s="275" customFormat="1">
      <c r="B491" s="548"/>
    </row>
    <row r="492" spans="2:2" s="275" customFormat="1">
      <c r="B492" s="548"/>
    </row>
    <row r="493" spans="2:2" s="275" customFormat="1">
      <c r="B493" s="548"/>
    </row>
    <row r="494" spans="2:2" s="275" customFormat="1">
      <c r="B494" s="548"/>
    </row>
    <row r="495" spans="2:2" s="275" customFormat="1">
      <c r="B495" s="548"/>
    </row>
    <row r="496" spans="2:2" s="275" customFormat="1">
      <c r="B496" s="548"/>
    </row>
    <row r="497" spans="2:2" s="275" customFormat="1">
      <c r="B497" s="548"/>
    </row>
    <row r="498" spans="2:2" s="275" customFormat="1">
      <c r="B498" s="548"/>
    </row>
    <row r="499" spans="2:2" s="275" customFormat="1">
      <c r="B499" s="548"/>
    </row>
    <row r="500" spans="2:2" s="275" customFormat="1">
      <c r="B500" s="548"/>
    </row>
    <row r="501" spans="2:2" s="275" customFormat="1">
      <c r="B501" s="548"/>
    </row>
    <row r="502" spans="2:2" s="275" customFormat="1">
      <c r="B502" s="548"/>
    </row>
    <row r="503" spans="2:2" s="275" customFormat="1">
      <c r="B503" s="548"/>
    </row>
    <row r="504" spans="2:2" s="275" customFormat="1">
      <c r="B504" s="548"/>
    </row>
    <row r="505" spans="2:2" s="275" customFormat="1">
      <c r="B505" s="548"/>
    </row>
    <row r="506" spans="2:2" s="275" customFormat="1">
      <c r="B506" s="548"/>
    </row>
    <row r="507" spans="2:2" s="275" customFormat="1">
      <c r="B507" s="548"/>
    </row>
    <row r="508" spans="2:2" s="275" customFormat="1">
      <c r="B508" s="548"/>
    </row>
    <row r="509" spans="2:2" s="275" customFormat="1">
      <c r="B509" s="548"/>
    </row>
    <row r="510" spans="2:2" s="275" customFormat="1">
      <c r="B510" s="548"/>
    </row>
    <row r="511" spans="2:2" s="275" customFormat="1">
      <c r="B511" s="548"/>
    </row>
    <row r="512" spans="2:2" s="275" customFormat="1">
      <c r="B512" s="548"/>
    </row>
    <row r="513" spans="2:2" s="275" customFormat="1">
      <c r="B513" s="548"/>
    </row>
    <row r="514" spans="2:2" s="275" customFormat="1">
      <c r="B514" s="548"/>
    </row>
    <row r="515" spans="2:2" s="275" customFormat="1">
      <c r="B515" s="548"/>
    </row>
    <row r="516" spans="2:2" s="275" customFormat="1">
      <c r="B516" s="548"/>
    </row>
    <row r="517" spans="2:2" s="275" customFormat="1">
      <c r="B517" s="548"/>
    </row>
    <row r="518" spans="2:2" s="275" customFormat="1">
      <c r="B518" s="548"/>
    </row>
    <row r="519" spans="2:2" s="275" customFormat="1">
      <c r="B519" s="548"/>
    </row>
    <row r="520" spans="2:2" s="275" customFormat="1">
      <c r="B520" s="548"/>
    </row>
    <row r="521" spans="2:2" s="275" customFormat="1">
      <c r="B521" s="548"/>
    </row>
    <row r="522" spans="2:2" s="275" customFormat="1">
      <c r="B522" s="548"/>
    </row>
    <row r="523" spans="2:2" s="275" customFormat="1">
      <c r="B523" s="548"/>
    </row>
    <row r="524" spans="2:2" s="275" customFormat="1">
      <c r="B524" s="548"/>
    </row>
    <row r="525" spans="2:2" s="275" customFormat="1">
      <c r="B525" s="548"/>
    </row>
    <row r="526" spans="2:2" s="275" customFormat="1">
      <c r="B526" s="548"/>
    </row>
    <row r="527" spans="2:2" s="275" customFormat="1">
      <c r="B527" s="548"/>
    </row>
    <row r="528" spans="2:2" s="275" customFormat="1">
      <c r="B528" s="548"/>
    </row>
    <row r="529" spans="2:2" s="275" customFormat="1">
      <c r="B529" s="548"/>
    </row>
    <row r="530" spans="2:2" s="275" customFormat="1">
      <c r="B530" s="548"/>
    </row>
    <row r="531" spans="2:2" s="275" customFormat="1">
      <c r="B531" s="548"/>
    </row>
    <row r="532" spans="2:2" s="275" customFormat="1">
      <c r="B532" s="548"/>
    </row>
    <row r="533" spans="2:2" s="275" customFormat="1">
      <c r="B533" s="548"/>
    </row>
    <row r="534" spans="2:2" s="275" customFormat="1">
      <c r="B534" s="548"/>
    </row>
    <row r="535" spans="2:2" s="275" customFormat="1">
      <c r="B535" s="548"/>
    </row>
    <row r="536" spans="2:2" s="275" customFormat="1">
      <c r="B536" s="548"/>
    </row>
    <row r="537" spans="2:2" s="275" customFormat="1">
      <c r="B537" s="548"/>
    </row>
    <row r="538" spans="2:2" s="275" customFormat="1">
      <c r="B538" s="548"/>
    </row>
    <row r="539" spans="2:2" s="275" customFormat="1">
      <c r="B539" s="548"/>
    </row>
    <row r="540" spans="2:2" s="275" customFormat="1">
      <c r="B540" s="548"/>
    </row>
    <row r="541" spans="2:2" s="275" customFormat="1">
      <c r="B541" s="548"/>
    </row>
    <row r="542" spans="2:2" s="275" customFormat="1">
      <c r="B542" s="548"/>
    </row>
    <row r="543" spans="2:2" s="275" customFormat="1">
      <c r="B543" s="548"/>
    </row>
    <row r="544" spans="2:2" s="275" customFormat="1">
      <c r="B544" s="548"/>
    </row>
    <row r="545" spans="2:2" s="275" customFormat="1">
      <c r="B545" s="548"/>
    </row>
    <row r="546" spans="2:2" s="275" customFormat="1">
      <c r="B546" s="548"/>
    </row>
    <row r="547" spans="2:2" s="275" customFormat="1">
      <c r="B547" s="548"/>
    </row>
    <row r="548" spans="2:2" s="275" customFormat="1">
      <c r="B548" s="548"/>
    </row>
    <row r="549" spans="2:2" s="275" customFormat="1">
      <c r="B549" s="548"/>
    </row>
    <row r="550" spans="2:2" s="275" customFormat="1">
      <c r="B550" s="548"/>
    </row>
    <row r="551" spans="2:2" s="275" customFormat="1">
      <c r="B551" s="548"/>
    </row>
    <row r="552" spans="2:2" s="275" customFormat="1">
      <c r="B552" s="548"/>
    </row>
    <row r="553" spans="2:2" s="275" customFormat="1">
      <c r="B553" s="548"/>
    </row>
    <row r="554" spans="2:2" s="275" customFormat="1">
      <c r="B554" s="548"/>
    </row>
    <row r="555" spans="2:2" s="275" customFormat="1">
      <c r="B555" s="548"/>
    </row>
    <row r="556" spans="2:2" s="275" customFormat="1">
      <c r="B556" s="548"/>
    </row>
    <row r="557" spans="2:2" s="275" customFormat="1">
      <c r="B557" s="548"/>
    </row>
    <row r="558" spans="2:2" s="275" customFormat="1">
      <c r="B558" s="548"/>
    </row>
    <row r="559" spans="2:2" s="275" customFormat="1">
      <c r="B559" s="548"/>
    </row>
    <row r="560" spans="2:2" s="275" customFormat="1">
      <c r="B560" s="548"/>
    </row>
    <row r="561" spans="2:2" s="275" customFormat="1">
      <c r="B561" s="548"/>
    </row>
    <row r="562" spans="2:2" s="275" customFormat="1">
      <c r="B562" s="548"/>
    </row>
    <row r="563" spans="2:2" s="275" customFormat="1">
      <c r="B563" s="548"/>
    </row>
    <row r="564" spans="2:2" s="275" customFormat="1">
      <c r="B564" s="548"/>
    </row>
    <row r="565" spans="2:2" s="275" customFormat="1">
      <c r="B565" s="548"/>
    </row>
    <row r="566" spans="2:2" s="275" customFormat="1">
      <c r="B566" s="548"/>
    </row>
    <row r="567" spans="2:2" s="275" customFormat="1">
      <c r="B567" s="548"/>
    </row>
    <row r="568" spans="2:2" s="275" customFormat="1">
      <c r="B568" s="548"/>
    </row>
    <row r="569" spans="2:2" s="275" customFormat="1">
      <c r="B569" s="548"/>
    </row>
    <row r="570" spans="2:2" s="275" customFormat="1">
      <c r="B570" s="548"/>
    </row>
    <row r="571" spans="2:2" s="275" customFormat="1">
      <c r="B571" s="548"/>
    </row>
    <row r="572" spans="2:2" s="275" customFormat="1">
      <c r="B572" s="548"/>
    </row>
    <row r="573" spans="2:2" s="275" customFormat="1">
      <c r="B573" s="548"/>
    </row>
    <row r="574" spans="2:2" s="275" customFormat="1">
      <c r="B574" s="548"/>
    </row>
    <row r="575" spans="2:2" s="275" customFormat="1">
      <c r="B575" s="548"/>
    </row>
    <row r="576" spans="2:2" s="275" customFormat="1">
      <c r="B576" s="548"/>
    </row>
    <row r="577" spans="2:2" s="275" customFormat="1">
      <c r="B577" s="548"/>
    </row>
    <row r="578" spans="2:2" s="275" customFormat="1">
      <c r="B578" s="548"/>
    </row>
    <row r="579" spans="2:2" s="275" customFormat="1">
      <c r="B579" s="548"/>
    </row>
    <row r="580" spans="2:2" s="275" customFormat="1">
      <c r="B580" s="548"/>
    </row>
    <row r="581" spans="2:2" s="275" customFormat="1">
      <c r="B581" s="548"/>
    </row>
    <row r="582" spans="2:2" s="275" customFormat="1">
      <c r="B582" s="548"/>
    </row>
    <row r="583" spans="2:2" s="275" customFormat="1">
      <c r="B583" s="548"/>
    </row>
    <row r="584" spans="2:2" s="275" customFormat="1">
      <c r="B584" s="548"/>
    </row>
    <row r="585" spans="2:2" s="275" customFormat="1">
      <c r="B585" s="548"/>
    </row>
    <row r="586" spans="2:2" s="275" customFormat="1">
      <c r="B586" s="548"/>
    </row>
    <row r="587" spans="2:2" s="275" customFormat="1">
      <c r="B587" s="548"/>
    </row>
    <row r="588" spans="2:2" s="275" customFormat="1">
      <c r="B588" s="548"/>
    </row>
    <row r="589" spans="2:2" s="275" customFormat="1">
      <c r="B589" s="548"/>
    </row>
    <row r="590" spans="2:2" s="275" customFormat="1">
      <c r="B590" s="548"/>
    </row>
    <row r="591" spans="2:2" s="275" customFormat="1">
      <c r="B591" s="548"/>
    </row>
    <row r="592" spans="2:2" s="275" customFormat="1">
      <c r="B592" s="548"/>
    </row>
    <row r="593" spans="2:2" s="275" customFormat="1">
      <c r="B593" s="548"/>
    </row>
    <row r="594" spans="2:2" s="275" customFormat="1">
      <c r="B594" s="548"/>
    </row>
    <row r="595" spans="2:2" s="275" customFormat="1">
      <c r="B595" s="548"/>
    </row>
    <row r="596" spans="2:2" s="275" customFormat="1">
      <c r="B596" s="548"/>
    </row>
    <row r="597" spans="2:2" s="275" customFormat="1">
      <c r="B597" s="548"/>
    </row>
    <row r="598" spans="2:2" s="275" customFormat="1">
      <c r="B598" s="548"/>
    </row>
    <row r="599" spans="2:2" s="275" customFormat="1">
      <c r="B599" s="548"/>
    </row>
    <row r="600" spans="2:2" s="275" customFormat="1">
      <c r="B600" s="548"/>
    </row>
    <row r="601" spans="2:2" s="275" customFormat="1">
      <c r="B601" s="548"/>
    </row>
    <row r="602" spans="2:2" s="275" customFormat="1">
      <c r="B602" s="548"/>
    </row>
    <row r="603" spans="2:2" s="275" customFormat="1">
      <c r="B603" s="548"/>
    </row>
    <row r="604" spans="2:2" s="275" customFormat="1">
      <c r="B604" s="548"/>
    </row>
    <row r="605" spans="2:2" s="275" customFormat="1">
      <c r="B605" s="548"/>
    </row>
    <row r="606" spans="2:2" s="275" customFormat="1">
      <c r="B606" s="548"/>
    </row>
    <row r="607" spans="2:2" s="275" customFormat="1">
      <c r="B607" s="548"/>
    </row>
    <row r="608" spans="2:2" s="275" customFormat="1">
      <c r="B608" s="548"/>
    </row>
    <row r="609" spans="2:2" s="275" customFormat="1">
      <c r="B609" s="548"/>
    </row>
    <row r="610" spans="2:2" s="275" customFormat="1">
      <c r="B610" s="548"/>
    </row>
    <row r="611" spans="2:2" s="275" customFormat="1">
      <c r="B611" s="548"/>
    </row>
    <row r="612" spans="2:2" s="275" customFormat="1">
      <c r="B612" s="548"/>
    </row>
    <row r="613" spans="2:2" s="275" customFormat="1">
      <c r="B613" s="548"/>
    </row>
    <row r="614" spans="2:2" s="275" customFormat="1">
      <c r="B614" s="548"/>
    </row>
    <row r="615" spans="2:2" s="275" customFormat="1">
      <c r="B615" s="548"/>
    </row>
    <row r="616" spans="2:2" s="275" customFormat="1">
      <c r="B616" s="548"/>
    </row>
    <row r="617" spans="2:2" s="275" customFormat="1">
      <c r="B617" s="548"/>
    </row>
    <row r="618" spans="2:2" s="275" customFormat="1">
      <c r="B618" s="548"/>
    </row>
    <row r="619" spans="2:2" s="275" customFormat="1">
      <c r="B619" s="548"/>
    </row>
    <row r="620" spans="2:2" s="275" customFormat="1">
      <c r="B620" s="548"/>
    </row>
    <row r="621" spans="2:2" s="275" customFormat="1">
      <c r="B621" s="548"/>
    </row>
    <row r="622" spans="2:2" s="275" customFormat="1">
      <c r="B622" s="548"/>
    </row>
    <row r="623" spans="2:2" s="275" customFormat="1">
      <c r="B623" s="548"/>
    </row>
    <row r="624" spans="2:2" s="275" customFormat="1">
      <c r="B624" s="548"/>
    </row>
    <row r="625" spans="2:2" s="275" customFormat="1">
      <c r="B625" s="548"/>
    </row>
    <row r="626" spans="2:2" s="275" customFormat="1">
      <c r="B626" s="548"/>
    </row>
    <row r="627" spans="2:2" s="275" customFormat="1">
      <c r="B627" s="548"/>
    </row>
    <row r="628" spans="2:2" s="275" customFormat="1">
      <c r="B628" s="548"/>
    </row>
    <row r="629" spans="2:2" s="275" customFormat="1">
      <c r="B629" s="548"/>
    </row>
    <row r="630" spans="2:2" s="275" customFormat="1">
      <c r="B630" s="548"/>
    </row>
    <row r="631" spans="2:2" s="275" customFormat="1">
      <c r="B631" s="548"/>
    </row>
    <row r="632" spans="2:2" s="275" customFormat="1">
      <c r="B632" s="548"/>
    </row>
    <row r="633" spans="2:2" s="275" customFormat="1">
      <c r="B633" s="548"/>
    </row>
    <row r="634" spans="2:2" s="275" customFormat="1">
      <c r="B634" s="548"/>
    </row>
    <row r="635" spans="2:2" s="275" customFormat="1">
      <c r="B635" s="548"/>
    </row>
    <row r="636" spans="2:2" s="275" customFormat="1">
      <c r="B636" s="548"/>
    </row>
    <row r="637" spans="2:2" s="275" customFormat="1">
      <c r="B637" s="548"/>
    </row>
    <row r="638" spans="2:2" s="275" customFormat="1">
      <c r="B638" s="548"/>
    </row>
    <row r="639" spans="2:2" s="275" customFormat="1">
      <c r="B639" s="548"/>
    </row>
    <row r="640" spans="2:2" s="275" customFormat="1">
      <c r="B640" s="548"/>
    </row>
    <row r="641" spans="2:2" s="275" customFormat="1">
      <c r="B641" s="548"/>
    </row>
    <row r="642" spans="2:2" s="275" customFormat="1">
      <c r="B642" s="548"/>
    </row>
    <row r="643" spans="2:2" s="275" customFormat="1">
      <c r="B643" s="548"/>
    </row>
    <row r="644" spans="2:2" s="275" customFormat="1">
      <c r="B644" s="548"/>
    </row>
    <row r="645" spans="2:2" s="275" customFormat="1">
      <c r="B645" s="548"/>
    </row>
    <row r="646" spans="2:2" s="275" customFormat="1">
      <c r="B646" s="548"/>
    </row>
    <row r="647" spans="2:2" s="275" customFormat="1">
      <c r="B647" s="548"/>
    </row>
    <row r="648" spans="2:2" s="275" customFormat="1">
      <c r="B648" s="548"/>
    </row>
    <row r="649" spans="2:2" s="275" customFormat="1">
      <c r="B649" s="548"/>
    </row>
    <row r="650" spans="2:2" s="275" customFormat="1">
      <c r="B650" s="548"/>
    </row>
    <row r="651" spans="2:2" s="275" customFormat="1">
      <c r="B651" s="548"/>
    </row>
    <row r="652" spans="2:2" s="275" customFormat="1">
      <c r="B652" s="548"/>
    </row>
    <row r="653" spans="2:2" s="275" customFormat="1">
      <c r="B653" s="548"/>
    </row>
    <row r="654" spans="2:2" s="275" customFormat="1">
      <c r="B654" s="548"/>
    </row>
    <row r="655" spans="2:2" s="275" customFormat="1">
      <c r="B655" s="548"/>
    </row>
    <row r="656" spans="2:2" s="275" customFormat="1">
      <c r="B656" s="548"/>
    </row>
    <row r="657" spans="2:2" s="275" customFormat="1">
      <c r="B657" s="548"/>
    </row>
    <row r="658" spans="2:2" s="275" customFormat="1">
      <c r="B658" s="548"/>
    </row>
    <row r="659" spans="2:2" s="275" customFormat="1">
      <c r="B659" s="548"/>
    </row>
    <row r="660" spans="2:2" s="275" customFormat="1">
      <c r="B660" s="548"/>
    </row>
    <row r="661" spans="2:2" s="275" customFormat="1">
      <c r="B661" s="548"/>
    </row>
    <row r="662" spans="2:2" s="275" customFormat="1">
      <c r="B662" s="548"/>
    </row>
    <row r="663" spans="2:2" s="275" customFormat="1">
      <c r="B663" s="548"/>
    </row>
    <row r="664" spans="2:2" s="275" customFormat="1">
      <c r="B664" s="548"/>
    </row>
    <row r="665" spans="2:2" s="275" customFormat="1">
      <c r="B665" s="548"/>
    </row>
    <row r="666" spans="2:2" s="275" customFormat="1">
      <c r="B666" s="548"/>
    </row>
    <row r="667" spans="2:2" s="275" customFormat="1">
      <c r="B667" s="548"/>
    </row>
    <row r="668" spans="2:2" s="275" customFormat="1">
      <c r="B668" s="548"/>
    </row>
    <row r="669" spans="2:2" s="275" customFormat="1">
      <c r="B669" s="548"/>
    </row>
    <row r="670" spans="2:2" s="275" customFormat="1">
      <c r="B670" s="548"/>
    </row>
    <row r="671" spans="2:2" s="275" customFormat="1">
      <c r="B671" s="548"/>
    </row>
    <row r="672" spans="2:2" s="275" customFormat="1">
      <c r="B672" s="548"/>
    </row>
    <row r="673" spans="2:2" s="275" customFormat="1">
      <c r="B673" s="548"/>
    </row>
    <row r="674" spans="2:2" s="275" customFormat="1">
      <c r="B674" s="548"/>
    </row>
    <row r="675" spans="2:2" s="275" customFormat="1">
      <c r="B675" s="548"/>
    </row>
    <row r="676" spans="2:2" s="275" customFormat="1">
      <c r="B676" s="548"/>
    </row>
    <row r="677" spans="2:2" s="275" customFormat="1">
      <c r="B677" s="548"/>
    </row>
    <row r="678" spans="2:2" s="275" customFormat="1">
      <c r="B678" s="548"/>
    </row>
    <row r="679" spans="2:2" s="275" customFormat="1">
      <c r="B679" s="548"/>
    </row>
    <row r="680" spans="2:2" s="275" customFormat="1">
      <c r="B680" s="548"/>
    </row>
    <row r="681" spans="2:2" s="275" customFormat="1">
      <c r="B681" s="548"/>
    </row>
    <row r="682" spans="2:2" s="275" customFormat="1">
      <c r="B682" s="548"/>
    </row>
    <row r="683" spans="2:2" s="275" customFormat="1">
      <c r="B683" s="548"/>
    </row>
    <row r="684" spans="2:2" s="275" customFormat="1">
      <c r="B684" s="548"/>
    </row>
    <row r="685" spans="2:2" s="275" customFormat="1">
      <c r="B685" s="548"/>
    </row>
    <row r="686" spans="2:2" s="275" customFormat="1">
      <c r="B686" s="548"/>
    </row>
    <row r="687" spans="2:2" s="275" customFormat="1">
      <c r="B687" s="548"/>
    </row>
    <row r="688" spans="2:2" s="275" customFormat="1">
      <c r="B688" s="548"/>
    </row>
    <row r="689" spans="2:2" s="275" customFormat="1">
      <c r="B689" s="548"/>
    </row>
    <row r="690" spans="2:2" s="275" customFormat="1">
      <c r="B690" s="548"/>
    </row>
    <row r="691" spans="2:2" s="275" customFormat="1">
      <c r="B691" s="548"/>
    </row>
    <row r="692" spans="2:2" s="275" customFormat="1">
      <c r="B692" s="548"/>
    </row>
    <row r="693" spans="2:2" s="275" customFormat="1">
      <c r="B693" s="548"/>
    </row>
    <row r="694" spans="2:2" s="275" customFormat="1">
      <c r="B694" s="548"/>
    </row>
    <row r="695" spans="2:2" s="275" customFormat="1">
      <c r="B695" s="548"/>
    </row>
    <row r="696" spans="2:2" s="275" customFormat="1">
      <c r="B696" s="548"/>
    </row>
    <row r="697" spans="2:2" s="275" customFormat="1">
      <c r="B697" s="548"/>
    </row>
    <row r="698" spans="2:2" s="275" customFormat="1">
      <c r="B698" s="548"/>
    </row>
    <row r="699" spans="2:2" s="275" customFormat="1">
      <c r="B699" s="548"/>
    </row>
    <row r="700" spans="2:2" s="275" customFormat="1">
      <c r="B700" s="548"/>
    </row>
    <row r="701" spans="2:2" s="275" customFormat="1">
      <c r="B701" s="548"/>
    </row>
    <row r="702" spans="2:2" s="275" customFormat="1">
      <c r="B702" s="548"/>
    </row>
    <row r="703" spans="2:2" s="275" customFormat="1">
      <c r="B703" s="548"/>
    </row>
    <row r="704" spans="2:2" s="275" customFormat="1">
      <c r="B704" s="548"/>
    </row>
    <row r="705" spans="2:2" s="275" customFormat="1">
      <c r="B705" s="548"/>
    </row>
    <row r="706" spans="2:2" s="275" customFormat="1">
      <c r="B706" s="548"/>
    </row>
    <row r="707" spans="2:2" s="275" customFormat="1">
      <c r="B707" s="548"/>
    </row>
    <row r="708" spans="2:2" s="275" customFormat="1">
      <c r="B708" s="548"/>
    </row>
    <row r="709" spans="2:2" s="275" customFormat="1">
      <c r="B709" s="548"/>
    </row>
    <row r="710" spans="2:2" s="275" customFormat="1">
      <c r="B710" s="548"/>
    </row>
    <row r="711" spans="2:2" s="275" customFormat="1">
      <c r="B711" s="548"/>
    </row>
    <row r="712" spans="2:2" s="275" customFormat="1">
      <c r="B712" s="548"/>
    </row>
    <row r="713" spans="2:2" s="275" customFormat="1">
      <c r="B713" s="548"/>
    </row>
    <row r="714" spans="2:2" s="275" customFormat="1">
      <c r="B714" s="548"/>
    </row>
    <row r="715" spans="2:2" s="275" customFormat="1">
      <c r="B715" s="548"/>
    </row>
    <row r="716" spans="2:2" s="275" customFormat="1">
      <c r="B716" s="548"/>
    </row>
    <row r="717" spans="2:2" s="275" customFormat="1">
      <c r="B717" s="548"/>
    </row>
    <row r="718" spans="2:2" s="275" customFormat="1">
      <c r="B718" s="548"/>
    </row>
    <row r="719" spans="2:2" s="275" customFormat="1">
      <c r="B719" s="548"/>
    </row>
    <row r="720" spans="2:2" s="275" customFormat="1">
      <c r="B720" s="548"/>
    </row>
    <row r="721" spans="2:2" s="275" customFormat="1">
      <c r="B721" s="548"/>
    </row>
    <row r="722" spans="2:2" s="275" customFormat="1">
      <c r="B722" s="548"/>
    </row>
    <row r="723" spans="2:2" s="275" customFormat="1">
      <c r="B723" s="548"/>
    </row>
    <row r="724" spans="2:2" s="275" customFormat="1">
      <c r="B724" s="548"/>
    </row>
    <row r="725" spans="2:2" s="275" customFormat="1">
      <c r="B725" s="548"/>
    </row>
    <row r="726" spans="2:2" s="275" customFormat="1">
      <c r="B726" s="548"/>
    </row>
    <row r="727" spans="2:2" s="275" customFormat="1">
      <c r="B727" s="548"/>
    </row>
    <row r="728" spans="2:2" s="275" customFormat="1">
      <c r="B728" s="548"/>
    </row>
    <row r="729" spans="2:2" s="275" customFormat="1">
      <c r="B729" s="548"/>
    </row>
    <row r="730" spans="2:2" s="275" customFormat="1">
      <c r="B730" s="548"/>
    </row>
    <row r="731" spans="2:2" s="275" customFormat="1">
      <c r="B731" s="548"/>
    </row>
    <row r="732" spans="2:2" s="275" customFormat="1">
      <c r="B732" s="548"/>
    </row>
    <row r="733" spans="2:2" s="275" customFormat="1">
      <c r="B733" s="548"/>
    </row>
    <row r="734" spans="2:2" s="275" customFormat="1">
      <c r="B734" s="548"/>
    </row>
    <row r="735" spans="2:2" s="275" customFormat="1">
      <c r="B735" s="548"/>
    </row>
    <row r="736" spans="2:2" s="275" customFormat="1">
      <c r="B736" s="548"/>
    </row>
    <row r="737" spans="2:2" s="275" customFormat="1">
      <c r="B737" s="548"/>
    </row>
    <row r="738" spans="2:2" s="275" customFormat="1">
      <c r="B738" s="548"/>
    </row>
    <row r="739" spans="2:2" s="275" customFormat="1">
      <c r="B739" s="548"/>
    </row>
    <row r="740" spans="2:2" s="275" customFormat="1">
      <c r="B740" s="548"/>
    </row>
    <row r="741" spans="2:2" s="275" customFormat="1">
      <c r="B741" s="548"/>
    </row>
    <row r="742" spans="2:2" s="275" customFormat="1">
      <c r="B742" s="548"/>
    </row>
    <row r="743" spans="2:2" s="275" customFormat="1">
      <c r="B743" s="548"/>
    </row>
    <row r="744" spans="2:2" s="275" customFormat="1">
      <c r="B744" s="548"/>
    </row>
    <row r="745" spans="2:2" s="275" customFormat="1">
      <c r="B745" s="548"/>
    </row>
    <row r="746" spans="2:2" s="275" customFormat="1">
      <c r="B746" s="548"/>
    </row>
    <row r="747" spans="2:2" s="275" customFormat="1">
      <c r="B747" s="548"/>
    </row>
    <row r="748" spans="2:2" s="275" customFormat="1">
      <c r="B748" s="548"/>
    </row>
    <row r="749" spans="2:2" s="275" customFormat="1">
      <c r="B749" s="548"/>
    </row>
    <row r="750" spans="2:2" s="275" customFormat="1">
      <c r="B750" s="548"/>
    </row>
    <row r="751" spans="2:2" s="275" customFormat="1">
      <c r="B751" s="548"/>
    </row>
    <row r="752" spans="2:2" s="275" customFormat="1">
      <c r="B752" s="548"/>
    </row>
    <row r="753" spans="2:2" s="275" customFormat="1">
      <c r="B753" s="548"/>
    </row>
    <row r="754" spans="2:2" s="275" customFormat="1">
      <c r="B754" s="548"/>
    </row>
    <row r="755" spans="2:2" s="275" customFormat="1">
      <c r="B755" s="548"/>
    </row>
    <row r="756" spans="2:2" s="275" customFormat="1">
      <c r="B756" s="548"/>
    </row>
    <row r="757" spans="2:2" s="275" customFormat="1">
      <c r="B757" s="548"/>
    </row>
    <row r="758" spans="2:2" s="275" customFormat="1">
      <c r="B758" s="548"/>
    </row>
    <row r="759" spans="2:2" s="275" customFormat="1">
      <c r="B759" s="548"/>
    </row>
    <row r="760" spans="2:2" s="275" customFormat="1">
      <c r="B760" s="548"/>
    </row>
    <row r="761" spans="2:2" s="275" customFormat="1">
      <c r="B761" s="548"/>
    </row>
    <row r="762" spans="2:2" s="275" customFormat="1">
      <c r="B762" s="548"/>
    </row>
    <row r="763" spans="2:2" s="275" customFormat="1">
      <c r="B763" s="548"/>
    </row>
    <row r="764" spans="2:2" s="275" customFormat="1">
      <c r="B764" s="548"/>
    </row>
    <row r="765" spans="2:2" s="275" customFormat="1">
      <c r="B765" s="548"/>
    </row>
    <row r="766" spans="2:2" s="275" customFormat="1">
      <c r="B766" s="548"/>
    </row>
    <row r="767" spans="2:2" s="275" customFormat="1">
      <c r="B767" s="548"/>
    </row>
    <row r="768" spans="2:2" s="275" customFormat="1">
      <c r="B768" s="548"/>
    </row>
    <row r="769" spans="2:22" s="275" customFormat="1">
      <c r="B769" s="548"/>
    </row>
    <row r="770" spans="2:22" s="275" customFormat="1">
      <c r="B770" s="548"/>
    </row>
    <row r="771" spans="2:22" s="275" customFormat="1">
      <c r="B771" s="548"/>
    </row>
    <row r="772" spans="2:22" s="275" customFormat="1">
      <c r="B772" s="548"/>
    </row>
    <row r="773" spans="2:22" s="275" customFormat="1">
      <c r="B773" s="548"/>
    </row>
    <row r="774" spans="2:22" s="275" customFormat="1">
      <c r="B774" s="548"/>
    </row>
    <row r="775" spans="2:22" s="275" customFormat="1">
      <c r="B775" s="548"/>
    </row>
    <row r="776" spans="2:22" s="275" customFormat="1">
      <c r="B776" s="548"/>
    </row>
    <row r="777" spans="2:22" s="275" customFormat="1">
      <c r="B777" s="548"/>
    </row>
    <row r="778" spans="2:22" s="275" customFormat="1">
      <c r="B778" s="548"/>
    </row>
    <row r="779" spans="2:22" s="275" customFormat="1">
      <c r="B779" s="548"/>
    </row>
    <row r="780" spans="2:22" s="275" customFormat="1">
      <c r="B780" s="548"/>
    </row>
    <row r="781" spans="2:22" s="275" customFormat="1">
      <c r="B781" s="548"/>
    </row>
    <row r="782" spans="2:22" s="599" customFormat="1">
      <c r="B782" s="282"/>
      <c r="C782" s="277"/>
      <c r="D782" s="277"/>
      <c r="E782" s="275"/>
      <c r="F782" s="275"/>
      <c r="G782" s="275"/>
      <c r="H782" s="275"/>
      <c r="I782" s="275"/>
      <c r="L782" s="277"/>
      <c r="N782" s="277"/>
      <c r="O782" s="277"/>
      <c r="P782" s="277"/>
      <c r="Q782" s="277"/>
      <c r="R782" s="277"/>
      <c r="S782" s="277"/>
      <c r="T782" s="277"/>
      <c r="U782" s="277"/>
      <c r="V782" s="277"/>
    </row>
  </sheetData>
  <sortState xmlns:xlrd2="http://schemas.microsoft.com/office/spreadsheetml/2017/richdata2" ref="A11:V23">
    <sortCondition ref="A11:A23"/>
  </sortState>
  <mergeCells count="5">
    <mergeCell ref="T9:V9"/>
    <mergeCell ref="Q7:R7"/>
    <mergeCell ref="F9:K9"/>
    <mergeCell ref="L9:P9"/>
    <mergeCell ref="Q9:R9"/>
  </mergeCells>
  <hyperlinks>
    <hyperlink ref="Q1" location="Index!A1" display="Return to Index" xr:uid="{00000000-0004-0000-0800-000000000000}"/>
  </hyperlinks>
  <printOptions horizontalCentered="1"/>
  <pageMargins left="0.25" right="0.25" top="0.5" bottom="0.5" header="0.5" footer="0.5"/>
  <pageSetup scale="86" orientation="landscape" horizontalDpi="1200" verticalDpi="1200" r:id="rId1"/>
  <headerFooter alignWithMargins="0">
    <oddFooter>&amp;L&amp;8Planning &amp; Accountability&amp;R&amp;8&amp;D</oddFooter>
  </headerFooter>
  <rowBreaks count="1" manualBreakCount="1">
    <brk id="26" min="2" max="17" man="1"/>
  </rowBreaks>
  <colBreaks count="1" manualBreakCount="1">
    <brk id="12" max="51" man="1"/>
  </colBreaks>
  <drawing r:id="rId2"/>
  <legacyDrawing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1"/>
  </sheetPr>
  <dimension ref="A1:AA771"/>
  <sheetViews>
    <sheetView showGridLines="0" zoomScale="85" zoomScaleNormal="85" workbookViewId="0">
      <pane xSplit="6" ySplit="10" topLeftCell="G11"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ColWidth="9.109375" defaultRowHeight="13.2"/>
  <cols>
    <col min="1" max="1" width="7.33203125" style="282" customWidth="1"/>
    <col min="2" max="2" width="5" style="282" customWidth="1"/>
    <col min="3" max="3" width="5.33203125" style="282" customWidth="1"/>
    <col min="4" max="4" width="33.88671875" style="277" customWidth="1"/>
    <col min="5" max="5" width="10.33203125" style="277" customWidth="1"/>
    <col min="6" max="6" width="11.109375" style="277" customWidth="1"/>
    <col min="7" max="7" width="15.44140625" style="599" customWidth="1"/>
    <col min="8" max="8" width="12.88671875" style="599" customWidth="1"/>
    <col min="9" max="9" width="12.6640625" style="599" customWidth="1"/>
    <col min="10" max="10" width="13" style="277" customWidth="1"/>
    <col min="11" max="11" width="14.88671875" style="277" customWidth="1"/>
    <col min="12" max="12" width="15.5546875" style="277" customWidth="1"/>
    <col min="13" max="13" width="13.6640625" style="277" customWidth="1"/>
    <col min="14" max="14" width="5.109375" style="277" customWidth="1"/>
    <col min="15" max="15" width="13.5546875" style="277" bestFit="1" customWidth="1"/>
    <col min="16" max="16" width="13.33203125" style="277" customWidth="1"/>
    <col min="17" max="17" width="12.44140625" style="277" customWidth="1"/>
    <col min="18" max="18" width="12.88671875" style="277" customWidth="1"/>
    <col min="19" max="19" width="12.44140625" style="277" bestFit="1" customWidth="1"/>
    <col min="20" max="20" width="13.6640625" style="277" bestFit="1" customWidth="1"/>
    <col min="21" max="21" width="13.44140625" style="277" customWidth="1"/>
    <col min="22" max="22" width="3.44140625" style="277" customWidth="1"/>
    <col min="23" max="23" width="14.33203125" style="277" customWidth="1"/>
    <col min="24" max="24" width="9.109375" style="277"/>
    <col min="25" max="25" width="20.44140625" style="277" customWidth="1"/>
    <col min="26" max="26" width="18.33203125" style="277" customWidth="1"/>
    <col min="27" max="27" width="28.88671875" style="277" customWidth="1"/>
    <col min="28" max="16384" width="9.109375" style="277"/>
  </cols>
  <sheetData>
    <row r="1" spans="1:27" ht="13.8" thickBot="1">
      <c r="G1" s="293" t="s">
        <v>334</v>
      </c>
      <c r="H1" s="275"/>
      <c r="I1" s="275"/>
      <c r="J1" s="545" t="s">
        <v>51</v>
      </c>
    </row>
    <row r="2" spans="1:27">
      <c r="G2" s="293" t="s">
        <v>335</v>
      </c>
      <c r="H2" s="275"/>
      <c r="I2" s="275"/>
    </row>
    <row r="3" spans="1:27">
      <c r="A3" s="546"/>
      <c r="G3" s="547">
        <v>44995</v>
      </c>
      <c r="H3" s="275"/>
      <c r="I3" s="275"/>
    </row>
    <row r="4" spans="1:27">
      <c r="G4" s="275" t="s">
        <v>7</v>
      </c>
      <c r="H4" s="275"/>
      <c r="I4" s="275"/>
    </row>
    <row r="5" spans="1:27">
      <c r="A5" s="1247"/>
      <c r="B5" s="1248"/>
      <c r="C5" s="1249"/>
      <c r="F5" s="282" t="s">
        <v>318</v>
      </c>
      <c r="G5" s="275"/>
      <c r="H5" s="275"/>
      <c r="I5" s="275"/>
    </row>
    <row r="6" spans="1:27" ht="13.8" thickBot="1">
      <c r="E6" s="282">
        <v>2022</v>
      </c>
      <c r="F6" s="282" t="s">
        <v>319</v>
      </c>
      <c r="G6" s="275"/>
      <c r="H6" s="275"/>
      <c r="I6" s="275"/>
    </row>
    <row r="7" spans="1:27" ht="13.8" thickBot="1">
      <c r="F7" s="282" t="s">
        <v>320</v>
      </c>
      <c r="G7" s="275"/>
      <c r="H7" s="275"/>
      <c r="I7" s="275"/>
      <c r="Y7" s="1111" t="s">
        <v>8</v>
      </c>
      <c r="Z7" s="1112"/>
      <c r="AA7" s="1113"/>
    </row>
    <row r="8" spans="1:27" s="555" customFormat="1" ht="48.75" customHeight="1" thickBot="1">
      <c r="A8" s="549" t="s">
        <v>227</v>
      </c>
      <c r="B8" s="1250" t="s">
        <v>321</v>
      </c>
      <c r="C8" s="1250"/>
      <c r="D8" s="550" t="s">
        <v>322</v>
      </c>
      <c r="E8" s="550" t="s">
        <v>323</v>
      </c>
      <c r="F8" s="550" t="s">
        <v>99</v>
      </c>
      <c r="G8" s="601" t="s">
        <v>233</v>
      </c>
      <c r="H8" s="601" t="s">
        <v>336</v>
      </c>
      <c r="I8" s="601" t="s">
        <v>337</v>
      </c>
      <c r="J8" s="601" t="s">
        <v>338</v>
      </c>
      <c r="K8" s="601" t="s">
        <v>339</v>
      </c>
      <c r="L8" s="601" t="s">
        <v>340</v>
      </c>
      <c r="M8" s="601" t="s">
        <v>74</v>
      </c>
      <c r="N8" s="553"/>
      <c r="O8" s="601" t="s">
        <v>239</v>
      </c>
      <c r="P8" s="601" t="s">
        <v>336</v>
      </c>
      <c r="Q8" s="601" t="s">
        <v>337</v>
      </c>
      <c r="R8" s="601" t="s">
        <v>338</v>
      </c>
      <c r="S8" s="601" t="s">
        <v>339</v>
      </c>
      <c r="T8" s="601" t="s">
        <v>340</v>
      </c>
      <c r="U8" s="601" t="s">
        <v>76</v>
      </c>
      <c r="V8" s="601"/>
      <c r="W8" s="601" t="s">
        <v>341</v>
      </c>
      <c r="Y8" s="1108" t="s">
        <v>14</v>
      </c>
      <c r="Z8" s="1109"/>
      <c r="AA8" s="1110"/>
    </row>
    <row r="9" spans="1:27" s="609" customFormat="1" ht="18.75" customHeight="1">
      <c r="A9" s="602"/>
      <c r="B9" s="603"/>
      <c r="C9" s="603"/>
      <c r="D9" s="604"/>
      <c r="E9" s="603"/>
      <c r="F9" s="603"/>
      <c r="G9" s="638"/>
      <c r="H9" s="639"/>
      <c r="I9" s="639"/>
      <c r="J9" s="639"/>
      <c r="K9" s="639"/>
      <c r="L9" s="639"/>
      <c r="M9" s="640"/>
      <c r="N9" s="603"/>
      <c r="O9" s="638"/>
      <c r="P9" s="639"/>
      <c r="Q9" s="639"/>
      <c r="R9" s="639"/>
      <c r="S9" s="639"/>
      <c r="T9" s="639"/>
      <c r="U9" s="640"/>
      <c r="V9" s="603"/>
      <c r="W9" s="606"/>
      <c r="Y9" s="293" t="s">
        <v>16</v>
      </c>
      <c r="Z9" s="294" t="s">
        <v>17</v>
      </c>
      <c r="AA9" s="293" t="s">
        <v>18</v>
      </c>
    </row>
    <row r="10" spans="1:27" ht="18" customHeight="1">
      <c r="A10" s="277"/>
      <c r="D10" s="312"/>
      <c r="E10" s="556" t="s">
        <v>331</v>
      </c>
      <c r="F10" s="282" t="s">
        <v>56</v>
      </c>
      <c r="G10" s="641"/>
      <c r="H10" s="282"/>
      <c r="I10" s="282"/>
      <c r="J10" s="282"/>
      <c r="K10" s="282"/>
      <c r="L10" s="282"/>
      <c r="M10" s="642"/>
      <c r="N10" s="282"/>
      <c r="O10" s="641"/>
      <c r="P10" s="282"/>
      <c r="Q10" s="282"/>
      <c r="R10" s="282"/>
      <c r="S10" s="282"/>
      <c r="T10" s="282"/>
      <c r="U10" s="642"/>
      <c r="V10" s="282"/>
      <c r="W10" s="643"/>
    </row>
    <row r="11" spans="1:27" ht="14.25" customHeight="1">
      <c r="A11" s="282">
        <v>390</v>
      </c>
      <c r="D11" s="384" t="s">
        <v>112</v>
      </c>
      <c r="E11" s="563">
        <f t="shared" ref="E11:E23" si="0">$E$6</f>
        <v>2022</v>
      </c>
      <c r="F11" s="562">
        <v>30</v>
      </c>
      <c r="G11" s="644">
        <f>'SWM FGD'!$M$23</f>
        <v>28039951</v>
      </c>
      <c r="H11" s="645">
        <f>'SWM FGD'!$M$24</f>
        <v>0</v>
      </c>
      <c r="I11" s="645">
        <f>'SWM FGD'!$M$25</f>
        <v>0</v>
      </c>
      <c r="J11" s="645">
        <f>'SWM FGD'!$M$26</f>
        <v>-236246</v>
      </c>
      <c r="K11" s="645">
        <f>'SWM FGD'!$M$27</f>
        <v>0</v>
      </c>
      <c r="L11" s="645">
        <f>'SWM FGD'!$M$28</f>
        <v>-1668403</v>
      </c>
      <c r="M11" s="646">
        <f>SUM(G11:L11)</f>
        <v>26135302</v>
      </c>
      <c r="N11" s="647"/>
      <c r="O11" s="644">
        <f>'SWM FGD'!$M$36</f>
        <v>2823165</v>
      </c>
      <c r="P11" s="645">
        <f>'SWM FGD'!$M$37</f>
        <v>0</v>
      </c>
      <c r="Q11" s="645">
        <f>'SWM FGD'!$M$38</f>
        <v>0</v>
      </c>
      <c r="R11" s="645">
        <f>'SWM FGD'!$M$39</f>
        <v>0</v>
      </c>
      <c r="S11" s="645">
        <f>'SWM FGD'!$M$40</f>
        <v>0</v>
      </c>
      <c r="T11" s="645">
        <f>'SWM FGD'!$M$41</f>
        <v>-698604</v>
      </c>
      <c r="U11" s="646">
        <f>SUM(O11:T11)</f>
        <v>2124561</v>
      </c>
      <c r="V11" s="645"/>
      <c r="W11" s="648">
        <f>U11+M11</f>
        <v>28259863</v>
      </c>
      <c r="Y11" s="300" t="str">
        <f>'SWM FGD'!$P$103</f>
        <v>John Schmidt</v>
      </c>
      <c r="Z11" s="300" t="str">
        <f>'SWM FGD'!$R$103</f>
        <v>214-648-0888</v>
      </c>
      <c r="AA11" s="301" t="str">
        <f>HYPERLINK("Mailto:"&amp;'SWM FGD'!$U$103,'SWM FGD'!$U$103)</f>
        <v>john.schmidt@utsouthwestern.edu</v>
      </c>
    </row>
    <row r="12" spans="1:27">
      <c r="A12" s="282">
        <v>420</v>
      </c>
      <c r="C12" s="277"/>
      <c r="D12" s="384" t="s">
        <v>114</v>
      </c>
      <c r="E12" s="563">
        <f t="shared" si="0"/>
        <v>2022</v>
      </c>
      <c r="F12" s="562">
        <v>40</v>
      </c>
      <c r="G12" s="644">
        <f>'HSSA FGD'!$M$23</f>
        <v>56015128</v>
      </c>
      <c r="H12" s="645">
        <f>'HSSA FGD'!$M$24</f>
        <v>0</v>
      </c>
      <c r="I12" s="645">
        <f>'HSSA FGD'!$M$25</f>
        <v>0</v>
      </c>
      <c r="J12" s="645">
        <f>'HSSA FGD'!$M$26</f>
        <v>-1437643</v>
      </c>
      <c r="K12" s="645">
        <f>'HSSA FGD'!$M$27</f>
        <v>0</v>
      </c>
      <c r="L12" s="645">
        <f>'HSSA FGD'!$M$28</f>
        <v>-1691463</v>
      </c>
      <c r="M12" s="646">
        <f t="shared" ref="M12:M19" si="1">SUM(G12:L12)</f>
        <v>52886022</v>
      </c>
      <c r="N12" s="647"/>
      <c r="O12" s="644">
        <f>'HSSA FGD'!$M$36</f>
        <v>3100750</v>
      </c>
      <c r="P12" s="645">
        <f>'HSSA FGD'!$M$37</f>
        <v>0</v>
      </c>
      <c r="Q12" s="645">
        <f>'HSSA FGD'!$M$38</f>
        <v>0</v>
      </c>
      <c r="R12" s="645">
        <f>'HSSA FGD'!$M$39</f>
        <v>-159738</v>
      </c>
      <c r="S12" s="645">
        <f>'HSSA FGD'!$M$40</f>
        <v>0</v>
      </c>
      <c r="T12" s="645">
        <f>'HSSA FGD'!$M$41</f>
        <v>-187940</v>
      </c>
      <c r="U12" s="646">
        <f t="shared" ref="U12:U19" si="2">SUM(O12:T12)</f>
        <v>2753072</v>
      </c>
      <c r="V12" s="645"/>
      <c r="W12" s="648">
        <f t="shared" ref="W12:W22" si="3">U12+M12</f>
        <v>55639094</v>
      </c>
      <c r="Y12" s="300" t="str">
        <f>'MBG FGD'!$P$103</f>
        <v>Joshua Tucker</v>
      </c>
      <c r="Z12" s="300">
        <f>'MBG FGD'!$R$103</f>
        <v>0</v>
      </c>
      <c r="AA12" s="301" t="str">
        <f>HYPERLINK("Mailto:"&amp;'MBG FGD'!$U$103,'MBG FGD'!$U$103)</f>
        <v>joatucker@utmb.edu</v>
      </c>
    </row>
    <row r="13" spans="1:27">
      <c r="A13" s="282">
        <v>450</v>
      </c>
      <c r="C13" s="277"/>
      <c r="D13" s="384" t="s">
        <v>116</v>
      </c>
      <c r="E13" s="563">
        <f t="shared" si="0"/>
        <v>2022</v>
      </c>
      <c r="F13" s="562">
        <v>89</v>
      </c>
      <c r="G13" s="644">
        <f>'TAMHSC FGD'!$M$23</f>
        <v>39149086</v>
      </c>
      <c r="H13" s="645">
        <f>'TAMHSC FGD'!$M$24</f>
        <v>0</v>
      </c>
      <c r="I13" s="645">
        <f>'TAMHSC FGD'!$M$25</f>
        <v>0</v>
      </c>
      <c r="J13" s="645">
        <f>'TAMHSC FGD'!$M$26</f>
        <v>-1165135</v>
      </c>
      <c r="K13" s="645">
        <f>'TAMHSC FGD'!$M$27</f>
        <v>0</v>
      </c>
      <c r="L13" s="645">
        <f>'TAMHSC FGD'!$M$28</f>
        <v>-2211786</v>
      </c>
      <c r="M13" s="646">
        <f t="shared" si="1"/>
        <v>35772165</v>
      </c>
      <c r="N13" s="647"/>
      <c r="O13" s="644">
        <f>'TAMHSC FGD'!$M$36</f>
        <v>20009607</v>
      </c>
      <c r="P13" s="645">
        <f>'TAMHSC FGD'!$M$37</f>
        <v>0</v>
      </c>
      <c r="Q13" s="645">
        <f>'TAMHSC FGD'!$M$38</f>
        <v>0</v>
      </c>
      <c r="R13" s="645">
        <f>'TAMHSC FGD'!$M$39</f>
        <v>-419820</v>
      </c>
      <c r="S13" s="645">
        <f>'TAMHSC FGD'!$M$40</f>
        <v>0</v>
      </c>
      <c r="T13" s="645">
        <f>'TAMHSC FGD'!$M$41</f>
        <v>-1306169</v>
      </c>
      <c r="U13" s="646">
        <f t="shared" si="2"/>
        <v>18283618</v>
      </c>
      <c r="V13" s="645"/>
      <c r="W13" s="648">
        <f t="shared" si="3"/>
        <v>54055783</v>
      </c>
      <c r="Y13" s="300" t="str">
        <f>'HSH FGD'!$P$103</f>
        <v>Scott Barnett</v>
      </c>
      <c r="Z13" s="300" t="str">
        <f>'HSH FGD'!$R$103</f>
        <v>713-500-4915</v>
      </c>
      <c r="AA13" s="301" t="str">
        <f>HYPERLINK("Mailto:"&amp;'HSH FGD'!$U$103,'HSH FGD'!$U$103)</f>
        <v>Scott.Barnett@uth.tmc.edu</v>
      </c>
    </row>
    <row r="14" spans="1:27">
      <c r="A14" s="282">
        <v>460</v>
      </c>
      <c r="C14" s="277"/>
      <c r="D14" s="384" t="s">
        <v>284</v>
      </c>
      <c r="E14" s="563">
        <f t="shared" si="0"/>
        <v>2022</v>
      </c>
      <c r="F14" s="562">
        <v>130</v>
      </c>
      <c r="G14" s="644">
        <f>'UNTHSC1 FGD'!$M$23</f>
        <v>25438891</v>
      </c>
      <c r="H14" s="645">
        <f>'UNTHSC1 FGD'!$M$24</f>
        <v>0</v>
      </c>
      <c r="I14" s="645">
        <f>'UNTHSC1 FGD'!$M$25</f>
        <v>0</v>
      </c>
      <c r="J14" s="645">
        <f>'UNTHSC1 FGD'!$M$26</f>
        <v>0</v>
      </c>
      <c r="K14" s="645">
        <f>'UNTHSC1 FGD'!$M$27</f>
        <v>0</v>
      </c>
      <c r="L14" s="645">
        <f>'UNTHSC1 FGD'!$M$28</f>
        <v>-2268454</v>
      </c>
      <c r="M14" s="646">
        <f t="shared" si="1"/>
        <v>23170437</v>
      </c>
      <c r="N14" s="647"/>
      <c r="O14" s="644">
        <f>'UNTHSC1 FGD'!$M$36</f>
        <v>11896207</v>
      </c>
      <c r="P14" s="645">
        <f>'UNTHSC1 FGD'!$M$37</f>
        <v>0</v>
      </c>
      <c r="Q14" s="645">
        <f>'UNTHSC1 FGD'!$M$38</f>
        <v>0</v>
      </c>
      <c r="R14" s="645">
        <f>'UNTHSC1 FGD'!$M$39</f>
        <v>0</v>
      </c>
      <c r="S14" s="645">
        <f>'UNTHSC1 FGD'!$M$40</f>
        <v>0</v>
      </c>
      <c r="T14" s="645">
        <f>'UNTHSC1 FGD'!$M$41</f>
        <v>-588832</v>
      </c>
      <c r="U14" s="646">
        <f t="shared" si="2"/>
        <v>11307375</v>
      </c>
      <c r="V14" s="645"/>
      <c r="W14" s="648">
        <f t="shared" si="3"/>
        <v>34477812</v>
      </c>
      <c r="Y14" s="300" t="str">
        <f>'HSSA FGD'!$P$103</f>
        <v>Yinwen Li</v>
      </c>
      <c r="Z14" s="300" t="str">
        <f>'HSSA FGD'!$R$103</f>
        <v>210-562-6268</v>
      </c>
      <c r="AA14" s="301" t="str">
        <f>HYPERLINK("Mailto:"&amp;'HSSA FGD'!$U$103,'HSSA FGD'!$U$103)</f>
        <v>liy2@uthscsa.edu</v>
      </c>
    </row>
    <row r="15" spans="1:27">
      <c r="A15" s="282">
        <v>440</v>
      </c>
      <c r="C15" s="277"/>
      <c r="D15" s="384" t="s">
        <v>120</v>
      </c>
      <c r="E15" s="563">
        <f t="shared" si="0"/>
        <v>2022</v>
      </c>
      <c r="F15" s="562">
        <v>42439</v>
      </c>
      <c r="G15" s="644">
        <f>'THC FGD'!$M$23</f>
        <v>548210</v>
      </c>
      <c r="H15" s="645">
        <f>'THC FGD'!$M$24</f>
        <v>0</v>
      </c>
      <c r="I15" s="645">
        <f>'THC FGD'!$M$25</f>
        <v>0</v>
      </c>
      <c r="J15" s="645">
        <f>'THC FGD'!$M$26</f>
        <v>0</v>
      </c>
      <c r="K15" s="645">
        <f>'THC FGD'!$M$27</f>
        <v>0</v>
      </c>
      <c r="L15" s="645">
        <f>'THC FGD'!$M$28</f>
        <v>0</v>
      </c>
      <c r="M15" s="646">
        <f t="shared" si="1"/>
        <v>548210</v>
      </c>
      <c r="N15" s="647"/>
      <c r="O15" s="644">
        <f>'THC FGD'!$M$36</f>
        <v>97102</v>
      </c>
      <c r="P15" s="645">
        <f>'THC FGD'!$M$37</f>
        <v>0</v>
      </c>
      <c r="Q15" s="645">
        <f>'THC FGD'!$M$38</f>
        <v>0</v>
      </c>
      <c r="R15" s="645">
        <f>'THC FGD'!$M$39</f>
        <v>0</v>
      </c>
      <c r="S15" s="645">
        <f>'THC FGD'!$M$40</f>
        <v>0</v>
      </c>
      <c r="T15" s="645">
        <f>'THC FGD'!$M$41</f>
        <v>0</v>
      </c>
      <c r="U15" s="646">
        <f t="shared" si="2"/>
        <v>97102</v>
      </c>
      <c r="V15" s="645"/>
      <c r="W15" s="648">
        <f t="shared" si="3"/>
        <v>645312</v>
      </c>
      <c r="Y15" s="300" t="str">
        <f>'MDA FGD'!$P$103</f>
        <v>Duy</v>
      </c>
      <c r="Z15" s="300" t="str">
        <f>'MDA FGD'!$R$103</f>
        <v>713-745-8630</v>
      </c>
      <c r="AA15" s="301" t="str">
        <f>HYPERLINK("Mailto:"&amp;'MDA FGD'!$U$103,'MDA FGD'!$U$103)</f>
        <v>ddtran2@mdanderson.org</v>
      </c>
    </row>
    <row r="16" spans="1:27">
      <c r="A16" s="282">
        <v>470</v>
      </c>
      <c r="C16" s="277"/>
      <c r="D16" s="384" t="s">
        <v>123</v>
      </c>
      <c r="E16" s="563">
        <f t="shared" si="0"/>
        <v>2022</v>
      </c>
      <c r="F16" s="562">
        <v>412</v>
      </c>
      <c r="G16" s="644">
        <f>'TTUHSC FGD'!$M$23</f>
        <v>52740395</v>
      </c>
      <c r="H16" s="645">
        <f>'TTUHSC FGD'!$M$24</f>
        <v>0</v>
      </c>
      <c r="I16" s="645">
        <f>'TTUHSC FGD'!$M$25</f>
        <v>0</v>
      </c>
      <c r="J16" s="645">
        <f>'TTUHSC FGD'!$M$26</f>
        <v>-1501907</v>
      </c>
      <c r="K16" s="645">
        <f>'TTUHSC FGD'!$M$27</f>
        <v>0</v>
      </c>
      <c r="L16" s="645">
        <f>'TTUHSC FGD'!$M$28</f>
        <v>-6785070</v>
      </c>
      <c r="M16" s="646">
        <f t="shared" si="1"/>
        <v>44453418</v>
      </c>
      <c r="N16" s="647"/>
      <c r="O16" s="644">
        <f>'TTUHSC FGD'!$M$36</f>
        <v>29107003</v>
      </c>
      <c r="P16" s="645">
        <f>'TTUHSC FGD'!$M$37</f>
        <v>0</v>
      </c>
      <c r="Q16" s="645">
        <f>'TTUHSC FGD'!$M$38</f>
        <v>0</v>
      </c>
      <c r="R16" s="645">
        <f>'TTUHSC FGD'!$M$39</f>
        <v>-2040556</v>
      </c>
      <c r="S16" s="645">
        <f>'TTUHSC FGD'!$M$40</f>
        <v>0</v>
      </c>
      <c r="T16" s="645">
        <f>'TTUHSC FGD'!$M$41</f>
        <v>0</v>
      </c>
      <c r="U16" s="646">
        <f t="shared" si="2"/>
        <v>27066447</v>
      </c>
      <c r="V16" s="645"/>
      <c r="W16" s="648">
        <f t="shared" si="3"/>
        <v>71519865</v>
      </c>
      <c r="Y16" s="300" t="str">
        <f>'THC FGD'!$P$103</f>
        <v>Bob Armstrong</v>
      </c>
      <c r="Z16" s="300" t="str">
        <f>'THC FGD'!$R$103</f>
        <v>903-877-7710</v>
      </c>
      <c r="AA16" s="301" t="str">
        <f>HYPERLINK("Mailto:"&amp;'THC FGD'!$U$103,'THC FGD'!$U$103)</f>
        <v>bob.armstrong@uthct.edu</v>
      </c>
    </row>
    <row r="17" spans="1:27">
      <c r="A17" s="282">
        <v>410</v>
      </c>
      <c r="C17" s="277"/>
      <c r="D17" s="384" t="s">
        <v>125</v>
      </c>
      <c r="E17" s="563">
        <f t="shared" si="0"/>
        <v>2022</v>
      </c>
      <c r="F17" s="562">
        <v>11618</v>
      </c>
      <c r="G17" s="644">
        <f>'HSH FGD'!$M$23</f>
        <v>58774953</v>
      </c>
      <c r="H17" s="645">
        <f>'HSH FGD'!$M$24</f>
        <v>0</v>
      </c>
      <c r="I17" s="645">
        <f>'HSH FGD'!$M$25</f>
        <v>0</v>
      </c>
      <c r="J17" s="645">
        <f>'HSH FGD'!$M$26</f>
        <v>-790644</v>
      </c>
      <c r="K17" s="645">
        <f>'HSH FGD'!$M$27</f>
        <v>0</v>
      </c>
      <c r="L17" s="645">
        <f>'HSH FGD'!$M$28</f>
        <v>-767661</v>
      </c>
      <c r="M17" s="646">
        <f t="shared" si="1"/>
        <v>57216648</v>
      </c>
      <c r="N17" s="647"/>
      <c r="O17" s="644">
        <f>'HSH FGD'!$M$36</f>
        <v>14861073</v>
      </c>
      <c r="P17" s="645">
        <f>'HSH FGD'!$M$37</f>
        <v>0</v>
      </c>
      <c r="Q17" s="645">
        <f>'HSH FGD'!$M$38</f>
        <v>0</v>
      </c>
      <c r="R17" s="645">
        <f>'HSH FGD'!$M$39</f>
        <v>-260770</v>
      </c>
      <c r="S17" s="645">
        <f>'HSH FGD'!$M$40</f>
        <v>0</v>
      </c>
      <c r="T17" s="645">
        <f>'HSH FGD'!$M$41</f>
        <v>-20579</v>
      </c>
      <c r="U17" s="646">
        <f t="shared" si="2"/>
        <v>14579724</v>
      </c>
      <c r="V17" s="645"/>
      <c r="W17" s="648">
        <f t="shared" si="3"/>
        <v>71796372</v>
      </c>
      <c r="Y17" s="300" t="str">
        <f>'TAMHSC FGD'!$P$103</f>
        <v>Tracy Crowley</v>
      </c>
      <c r="Z17" s="300" t="str">
        <f>'TAMHSC FGD'!$R$103</f>
        <v>979-458-6077</v>
      </c>
      <c r="AA17" s="301" t="str">
        <f>HYPERLINK("Mailto:"&amp;'TAMHSC FGD'!$U$103,'TAMHSC FGD'!$U$103)</f>
        <v>tcrowley@tamus.edu</v>
      </c>
    </row>
    <row r="18" spans="1:27">
      <c r="A18" s="282">
        <v>430</v>
      </c>
      <c r="C18" s="277"/>
      <c r="D18" s="384" t="s">
        <v>127</v>
      </c>
      <c r="E18" s="563">
        <f t="shared" si="0"/>
        <v>2022</v>
      </c>
      <c r="F18" s="562">
        <v>25554</v>
      </c>
      <c r="G18" s="644">
        <f>'MDA FGD'!$M$23</f>
        <v>1490946</v>
      </c>
      <c r="H18" s="645">
        <f>'MDA FGD'!$M$24</f>
        <v>0</v>
      </c>
      <c r="I18" s="645">
        <f>'MDA FGD'!$M$25</f>
        <v>0</v>
      </c>
      <c r="J18" s="645">
        <f>'MDA FGD'!$M$26</f>
        <v>-1200</v>
      </c>
      <c r="K18" s="645">
        <f>'MDA FGD'!$M$27</f>
        <v>-1507</v>
      </c>
      <c r="L18" s="645">
        <f>'MDA FGD'!$M$28</f>
        <v>0</v>
      </c>
      <c r="M18" s="646">
        <f t="shared" si="1"/>
        <v>1488239</v>
      </c>
      <c r="N18" s="647"/>
      <c r="O18" s="644">
        <f>'MDA FGD'!$M$36</f>
        <v>346459</v>
      </c>
      <c r="P18" s="645">
        <f>'MDA FGD'!$M$37</f>
        <v>0</v>
      </c>
      <c r="Q18" s="645">
        <f>'MDA FGD'!$M$38</f>
        <v>0</v>
      </c>
      <c r="R18" s="645">
        <f>'MDA FGD'!$M$39</f>
        <v>0</v>
      </c>
      <c r="S18" s="645">
        <f>'MDA FGD'!$M$40</f>
        <v>-838</v>
      </c>
      <c r="T18" s="645">
        <f>'MDA FGD'!$M$41</f>
        <v>0</v>
      </c>
      <c r="U18" s="646">
        <f t="shared" si="2"/>
        <v>345621</v>
      </c>
      <c r="V18" s="645"/>
      <c r="W18" s="648">
        <f t="shared" si="3"/>
        <v>1833860</v>
      </c>
      <c r="Y18" s="300" t="str">
        <f>'UNTHSC1 FGD'!$P$103</f>
        <v>Julie Meisinger</v>
      </c>
      <c r="Z18" s="300" t="str">
        <f>'UNTHSC1 FGD'!$R$103</f>
        <v>817-735-2609</v>
      </c>
      <c r="AA18" s="301" t="str">
        <f>HYPERLINK("Mailto:"&amp;'UNTHSC1 FGD'!$U$103,'UNTHSC1 FGD'!$U$103)</f>
        <v>julie.meisinger@unthsc.edu</v>
      </c>
    </row>
    <row r="19" spans="1:27">
      <c r="A19" s="282">
        <v>400</v>
      </c>
      <c r="C19" s="277"/>
      <c r="D19" s="384" t="s">
        <v>128</v>
      </c>
      <c r="E19" s="563">
        <f t="shared" si="0"/>
        <v>2022</v>
      </c>
      <c r="F19" s="562">
        <v>104952</v>
      </c>
      <c r="G19" s="644">
        <f>'MBG FGD'!$M$23</f>
        <v>41412627</v>
      </c>
      <c r="H19" s="645">
        <f>'MBG FGD'!$M$24</f>
        <v>0</v>
      </c>
      <c r="I19" s="645">
        <f>'MBG FGD'!$M$25</f>
        <v>0</v>
      </c>
      <c r="J19" s="645">
        <f>'MBG FGD'!$M$26</f>
        <v>-871233</v>
      </c>
      <c r="K19" s="645">
        <f>'MBG FGD'!$M$27</f>
        <v>0</v>
      </c>
      <c r="L19" s="645">
        <f>'MBG FGD'!$M$28</f>
        <v>-3426771</v>
      </c>
      <c r="M19" s="646">
        <f t="shared" si="1"/>
        <v>37114623</v>
      </c>
      <c r="N19" s="647"/>
      <c r="O19" s="644">
        <f>'MBG FGD'!$M$36</f>
        <v>15090257</v>
      </c>
      <c r="P19" s="645">
        <f>'MBG FGD'!$M$37</f>
        <v>0</v>
      </c>
      <c r="Q19" s="645">
        <f>'MBG FGD'!$M$38</f>
        <v>0</v>
      </c>
      <c r="R19" s="645">
        <f>'MBG FGD'!$M$39</f>
        <v>0</v>
      </c>
      <c r="S19" s="645">
        <f>'MBG FGD'!$M$40</f>
        <v>0</v>
      </c>
      <c r="T19" s="645">
        <f>'MBG FGD'!$M$41</f>
        <v>-1013453</v>
      </c>
      <c r="U19" s="646">
        <f t="shared" si="2"/>
        <v>14076804</v>
      </c>
      <c r="V19" s="645"/>
      <c r="W19" s="648">
        <f t="shared" si="3"/>
        <v>51191427</v>
      </c>
      <c r="Y19" s="300" t="str">
        <f>'TTUHSC FGD'!$P$103</f>
        <v>Rebecca Aguilar</v>
      </c>
      <c r="Z19" s="300" t="str">
        <f>'TTUHSC FGD'!$R$103</f>
        <v>806-743-7381</v>
      </c>
      <c r="AA19" s="301" t="str">
        <f>HYPERLINK("Mailto:"&amp;'TTUHSC FGD'!$U$103,'TTUHSC FGD'!$U$103)</f>
        <v>rebecca.aguilar@ttuhsc.edu</v>
      </c>
    </row>
    <row r="20" spans="1:27">
      <c r="A20" s="282">
        <v>480</v>
      </c>
      <c r="C20" s="277"/>
      <c r="D20" s="384" t="s">
        <v>243</v>
      </c>
      <c r="E20" s="563">
        <f t="shared" si="0"/>
        <v>2022</v>
      </c>
      <c r="F20" s="562">
        <v>862</v>
      </c>
      <c r="G20" s="644">
        <f>'TTUHSCEP FGD'!$M$23</f>
        <v>11257270</v>
      </c>
      <c r="H20" s="645">
        <f>'TTUHSCEP FGD'!$M$24</f>
        <v>0</v>
      </c>
      <c r="I20" s="645">
        <f>'TTUHSCEP FGD'!$M$25</f>
        <v>0</v>
      </c>
      <c r="J20" s="645">
        <f>'TTUHSCEP FGD'!$M$26</f>
        <v>-208434</v>
      </c>
      <c r="K20" s="645">
        <f>'TTUHSCEP FGD'!$M$27</f>
        <v>0</v>
      </c>
      <c r="L20" s="645">
        <f>'TTUHSCEP FGD'!$M$28</f>
        <v>-2617805</v>
      </c>
      <c r="M20" s="646">
        <f t="shared" ref="M20" si="4">SUM(G20:L20)</f>
        <v>8431031</v>
      </c>
      <c r="N20" s="647"/>
      <c r="O20" s="644">
        <f>'TTUHSCEP FGD'!$M$36</f>
        <v>4954136</v>
      </c>
      <c r="P20" s="645">
        <f>'TTUHSCEP FGD'!$M$37</f>
        <v>0</v>
      </c>
      <c r="Q20" s="645">
        <f>'TTUHSCEP FGD'!$M$38</f>
        <v>0</v>
      </c>
      <c r="R20" s="645">
        <f>'TTUHSCEP FGD'!$M$39</f>
        <v>-128175</v>
      </c>
      <c r="S20" s="645">
        <f>'TTUHSCEP FGD'!$M$40</f>
        <v>0</v>
      </c>
      <c r="T20" s="645">
        <f>'TTUHSCEP FGD'!$M$41</f>
        <v>0</v>
      </c>
      <c r="U20" s="646">
        <f t="shared" ref="U20" si="5">SUM(O20:T20)</f>
        <v>4825961</v>
      </c>
      <c r="V20" s="645"/>
      <c r="W20" s="648">
        <f t="shared" ref="W20" si="6">U20+M20</f>
        <v>13256992</v>
      </c>
      <c r="Y20" s="300" t="str">
        <f>'TTUHSCEP FGD'!$P$103</f>
        <v xml:space="preserve">Robert Ortega </v>
      </c>
      <c r="Z20" s="300" t="str">
        <f>'TTUHSCEP FGD'!$R$103</f>
        <v>(915) 215 - 4378</v>
      </c>
      <c r="AA20" s="301" t="str">
        <f>HYPERLINK("Mailto:"&amp;'TTUHSCEP FGD'!$U$103,'TTUHSCEP FGD'!$U$103)</f>
        <v>Robert.ortega@ttuhsc.edu</v>
      </c>
    </row>
    <row r="21" spans="1:27">
      <c r="A21" s="282">
        <v>500</v>
      </c>
      <c r="C21" s="277"/>
      <c r="D21" s="384" t="s">
        <v>245</v>
      </c>
      <c r="E21" s="563">
        <f t="shared" si="0"/>
        <v>2022</v>
      </c>
      <c r="F21" s="562">
        <v>203599</v>
      </c>
      <c r="G21" s="644">
        <f>'RGVM FGD'!$M$23</f>
        <v>3900907</v>
      </c>
      <c r="H21" s="645">
        <f>'RGVM FGD'!$M$24</f>
        <v>0</v>
      </c>
      <c r="I21" s="645">
        <f>'RGVM FGD'!$M$25</f>
        <v>0</v>
      </c>
      <c r="J21" s="645">
        <f>'RGVM FGD'!$M$26</f>
        <v>-77417</v>
      </c>
      <c r="K21" s="645">
        <f>'RGVM FGD'!$M$27</f>
        <v>0</v>
      </c>
      <c r="L21" s="645">
        <f>'RGVM FGD'!$M$28</f>
        <v>-19685</v>
      </c>
      <c r="M21" s="646">
        <f>SUM(G21:L21)</f>
        <v>3803805</v>
      </c>
      <c r="N21" s="647"/>
      <c r="O21" s="644">
        <f>'RGVM FGD'!$M$36</f>
        <v>1044013</v>
      </c>
      <c r="P21" s="645">
        <f>'RGVM FGD'!$M$37</f>
        <v>0</v>
      </c>
      <c r="Q21" s="645">
        <f>'RGVM FGD'!$M$38</f>
        <v>0</v>
      </c>
      <c r="R21" s="645">
        <f>'RGVM FGD'!$M$39</f>
        <v>0</v>
      </c>
      <c r="S21" s="645">
        <f>'RGVM FGD'!$M$40</f>
        <v>0</v>
      </c>
      <c r="T21" s="645">
        <f>'RGVM FGD'!$M$41</f>
        <v>-4133</v>
      </c>
      <c r="U21" s="646">
        <f>SUM(O21:T21)</f>
        <v>1039880</v>
      </c>
      <c r="V21" s="645"/>
      <c r="W21" s="648">
        <f>U21+M21</f>
        <v>4843685</v>
      </c>
      <c r="Y21" s="300" t="str">
        <f>'RGVM FGD'!$P$103</f>
        <v>Lilia M. St. Clair</v>
      </c>
      <c r="Z21" s="300" t="str">
        <f>'RGVM FGD'!$R$103</f>
        <v>956-665-7906</v>
      </c>
      <c r="AA21" s="301" t="str">
        <f>HYPERLINK("Mailto:"&amp;'RGVM FGD'!$U$103,'RGVM FGD'!$U$103)</f>
        <v>lilia.stclair@utrgv.edu</v>
      </c>
    </row>
    <row r="22" spans="1:27">
      <c r="A22" s="282">
        <v>510</v>
      </c>
      <c r="C22" s="277"/>
      <c r="D22" s="384" t="s">
        <v>244</v>
      </c>
      <c r="E22" s="563">
        <f t="shared" si="0"/>
        <v>2022</v>
      </c>
      <c r="F22" s="562">
        <v>203658</v>
      </c>
      <c r="G22" s="644">
        <f>'AUSM FGD'!$M$23</f>
        <v>3803301</v>
      </c>
      <c r="H22" s="645">
        <f>'AUSM FGD'!$M$24</f>
        <v>0</v>
      </c>
      <c r="I22" s="645">
        <f>'AUSM FGD'!$M$25</f>
        <v>0</v>
      </c>
      <c r="J22" s="645">
        <f>'AUSM FGD'!$M$26</f>
        <v>0</v>
      </c>
      <c r="K22" s="645">
        <f>'AUSM FGD'!$M$27</f>
        <v>0</v>
      </c>
      <c r="L22" s="645">
        <f>'AUSM FGD'!$M$28</f>
        <v>-380153</v>
      </c>
      <c r="M22" s="646">
        <f t="shared" ref="M22" si="7">SUM(G22:L22)</f>
        <v>3423148</v>
      </c>
      <c r="N22" s="647"/>
      <c r="O22" s="644">
        <f>'AUSM FGD'!$M$36</f>
        <v>1157497</v>
      </c>
      <c r="P22" s="645">
        <f>'AUSM FGD'!$M$37</f>
        <v>0</v>
      </c>
      <c r="Q22" s="645">
        <f>'AUSM FGD'!$M$38</f>
        <v>0</v>
      </c>
      <c r="R22" s="645">
        <f>'AUSM FGD'!$M$39</f>
        <v>0</v>
      </c>
      <c r="S22" s="645">
        <f>'AUSM FGD'!$M$40</f>
        <v>0</v>
      </c>
      <c r="T22" s="645">
        <f>'AUSM FGD'!$M$41</f>
        <v>-1091432</v>
      </c>
      <c r="U22" s="646">
        <f t="shared" ref="U22" si="8">SUM(O22:T22)</f>
        <v>66065</v>
      </c>
      <c r="V22" s="645"/>
      <c r="W22" s="648">
        <f t="shared" si="3"/>
        <v>3489213</v>
      </c>
      <c r="Y22" s="300" t="str">
        <f>'AUSM FGD'!$P$103</f>
        <v>Marcy Lowther</v>
      </c>
      <c r="Z22" s="300" t="str">
        <f>'AUSM FGD'!$R$103</f>
        <v>512-471-28008</v>
      </c>
      <c r="AA22" s="301" t="str">
        <f>HYPERLINK("Mailto:"&amp;'AUSM FGD'!$U$103,'AUSM FGD'!$U$103)</f>
        <v>mlowther@austin.utexas.edu</v>
      </c>
    </row>
    <row r="23" spans="1:27">
      <c r="A23" s="282">
        <v>520</v>
      </c>
      <c r="C23" s="562"/>
      <c r="D23" s="384" t="s">
        <v>31</v>
      </c>
      <c r="E23" s="563">
        <f t="shared" si="0"/>
        <v>2022</v>
      </c>
      <c r="F23" s="562">
        <v>203652</v>
      </c>
      <c r="G23" s="644">
        <f>'UHM FGD'!$M$23</f>
        <v>1159477</v>
      </c>
      <c r="H23" s="645">
        <f>'UHM FGD'!$M$24</f>
        <v>0</v>
      </c>
      <c r="I23" s="645">
        <f>'UHM FGD'!$M$25</f>
        <v>0</v>
      </c>
      <c r="J23" s="645">
        <f>'UHM FGD'!$M$26</f>
        <v>0</v>
      </c>
      <c r="K23" s="645">
        <f>'UHM FGD'!$M$27</f>
        <v>0</v>
      </c>
      <c r="L23" s="645">
        <f>'UHM FGD'!$M$28</f>
        <v>-375794</v>
      </c>
      <c r="M23" s="646">
        <f t="shared" ref="M23" si="9">SUM(G23:L23)</f>
        <v>783683</v>
      </c>
      <c r="N23" s="647"/>
      <c r="O23" s="644">
        <f>'UHM FGD'!$M$36</f>
        <v>457162</v>
      </c>
      <c r="P23" s="645">
        <f>'UHM FGD'!$M$37</f>
        <v>0</v>
      </c>
      <c r="Q23" s="645">
        <f>'UHM FGD'!$M$38</f>
        <v>0</v>
      </c>
      <c r="R23" s="645">
        <f>'UHM FGD'!$M$39</f>
        <v>0</v>
      </c>
      <c r="S23" s="645">
        <f>'UHM FGD'!$M$40</f>
        <v>0</v>
      </c>
      <c r="T23" s="645">
        <f>'UHM FGD'!$M$41</f>
        <v>-148170</v>
      </c>
      <c r="U23" s="646">
        <f t="shared" ref="U23" si="10">SUM(O23:T23)</f>
        <v>308992</v>
      </c>
      <c r="V23" s="645"/>
      <c r="W23" s="648">
        <f t="shared" ref="W23" si="11">U23+M23</f>
        <v>1092675</v>
      </c>
      <c r="Y23" s="300" t="str">
        <f>'UHM FGD'!$P$103</f>
        <v>Charlotte Hotz</v>
      </c>
      <c r="Z23" s="300" t="str">
        <f>'UHM FGD'!$R$103</f>
        <v>(713) 743.5296</v>
      </c>
      <c r="AA23" s="301" t="str">
        <f>HYPERLINK("Mailto:"&amp;'UHM FGD'!$U$103,'UHM FGD'!$U$103)</f>
        <v>cahotz@uh.edu</v>
      </c>
    </row>
    <row r="24" spans="1:27">
      <c r="C24" s="277"/>
      <c r="D24" s="538"/>
      <c r="E24" s="563"/>
      <c r="F24" s="649"/>
      <c r="G24" s="644"/>
      <c r="H24" s="645"/>
      <c r="I24" s="645"/>
      <c r="J24" s="645"/>
      <c r="K24" s="645"/>
      <c r="L24" s="645"/>
      <c r="M24" s="646"/>
      <c r="N24" s="647"/>
      <c r="O24" s="644"/>
      <c r="P24" s="645"/>
      <c r="Q24" s="645"/>
      <c r="R24" s="645"/>
      <c r="S24" s="645"/>
      <c r="T24" s="645"/>
      <c r="U24" s="646"/>
      <c r="V24" s="645"/>
      <c r="W24" s="648"/>
      <c r="Y24" s="650"/>
    </row>
    <row r="25" spans="1:27" ht="13.8" thickBot="1">
      <c r="A25" s="572"/>
      <c r="B25" s="572"/>
      <c r="C25" s="572"/>
      <c r="D25" s="573" t="s">
        <v>129</v>
      </c>
      <c r="E25" s="572">
        <f t="shared" ref="E25" si="12">$E$6</f>
        <v>2022</v>
      </c>
      <c r="F25" s="574">
        <v>445566</v>
      </c>
      <c r="G25" s="651">
        <f t="shared" ref="G25:M25" si="13">SUM(G11:G24)</f>
        <v>323731142</v>
      </c>
      <c r="H25" s="652">
        <f t="shared" si="13"/>
        <v>0</v>
      </c>
      <c r="I25" s="652">
        <f t="shared" si="13"/>
        <v>0</v>
      </c>
      <c r="J25" s="652">
        <f t="shared" si="13"/>
        <v>-6289859</v>
      </c>
      <c r="K25" s="652">
        <f t="shared" si="13"/>
        <v>-1507</v>
      </c>
      <c r="L25" s="652">
        <f t="shared" si="13"/>
        <v>-22213045</v>
      </c>
      <c r="M25" s="653">
        <f t="shared" si="13"/>
        <v>295226731</v>
      </c>
      <c r="N25" s="654"/>
      <c r="O25" s="651">
        <f t="shared" ref="O25:U25" si="14">SUM(O11:O24)</f>
        <v>104944431</v>
      </c>
      <c r="P25" s="652">
        <f t="shared" si="14"/>
        <v>0</v>
      </c>
      <c r="Q25" s="652">
        <f t="shared" si="14"/>
        <v>0</v>
      </c>
      <c r="R25" s="652">
        <f t="shared" si="14"/>
        <v>-3009059</v>
      </c>
      <c r="S25" s="652">
        <f t="shared" si="14"/>
        <v>-838</v>
      </c>
      <c r="T25" s="652">
        <f t="shared" si="14"/>
        <v>-5059312</v>
      </c>
      <c r="U25" s="653">
        <f t="shared" si="14"/>
        <v>96875222</v>
      </c>
      <c r="V25" s="652"/>
      <c r="W25" s="655">
        <f>SUM(W11:W24)</f>
        <v>392101953</v>
      </c>
    </row>
    <row r="26" spans="1:27" s="275" customFormat="1" ht="14.4" thickTop="1" thickBot="1">
      <c r="A26" s="548"/>
      <c r="B26" s="548"/>
      <c r="C26" s="548"/>
      <c r="E26" s="572">
        <f>COUNTA(E11:E24)</f>
        <v>13</v>
      </c>
    </row>
    <row r="27" spans="1:27" s="275" customFormat="1" ht="13.8" thickTop="1">
      <c r="A27" s="548"/>
      <c r="C27" s="548"/>
    </row>
    <row r="28" spans="1:27" s="275" customFormat="1">
      <c r="A28" s="548"/>
      <c r="C28" s="548"/>
    </row>
    <row r="29" spans="1:27" s="275" customFormat="1">
      <c r="A29" s="548"/>
      <c r="B29" s="548"/>
      <c r="C29" s="548"/>
    </row>
    <row r="30" spans="1:27" s="275" customFormat="1">
      <c r="A30" s="548"/>
      <c r="B30" s="548"/>
      <c r="C30" s="548"/>
    </row>
    <row r="31" spans="1:27" s="275" customFormat="1">
      <c r="A31" s="548"/>
      <c r="B31" s="548"/>
      <c r="C31" s="548"/>
      <c r="D31" s="384"/>
    </row>
    <row r="32" spans="1:27" s="275" customFormat="1">
      <c r="A32" s="548"/>
      <c r="B32" s="548"/>
      <c r="C32" s="548"/>
      <c r="D32" s="384"/>
    </row>
    <row r="33" spans="1:23" s="275" customFormat="1">
      <c r="A33" s="548"/>
      <c r="B33" s="548"/>
      <c r="C33" s="548"/>
      <c r="D33" s="384"/>
    </row>
    <row r="34" spans="1:23" s="275" customFormat="1">
      <c r="A34" s="548"/>
      <c r="B34" s="548"/>
      <c r="C34" s="548"/>
      <c r="D34" s="384"/>
    </row>
    <row r="35" spans="1:23" s="275" customFormat="1">
      <c r="A35" s="548"/>
      <c r="B35" s="548"/>
      <c r="C35" s="548"/>
      <c r="D35" s="384"/>
      <c r="W35" s="293"/>
    </row>
    <row r="36" spans="1:23" s="275" customFormat="1">
      <c r="A36" s="548"/>
      <c r="B36" s="548"/>
      <c r="C36" s="548"/>
      <c r="D36" s="384"/>
      <c r="F36" s="594"/>
      <c r="W36" s="588"/>
    </row>
    <row r="37" spans="1:23" s="275" customFormat="1">
      <c r="A37" s="548"/>
      <c r="B37" s="548"/>
      <c r="C37" s="548"/>
      <c r="D37" s="384"/>
      <c r="W37" s="588"/>
    </row>
    <row r="38" spans="1:23" s="275" customFormat="1">
      <c r="A38" s="548"/>
      <c r="B38" s="548"/>
      <c r="C38" s="548"/>
      <c r="D38" s="384"/>
      <c r="W38" s="588"/>
    </row>
    <row r="39" spans="1:23" s="275" customFormat="1">
      <c r="A39" s="548"/>
      <c r="B39" s="548"/>
      <c r="C39" s="548"/>
      <c r="D39" s="384"/>
      <c r="F39" s="597"/>
      <c r="W39" s="588"/>
    </row>
    <row r="40" spans="1:23" s="275" customFormat="1">
      <c r="A40" s="548"/>
      <c r="B40" s="548"/>
      <c r="C40" s="548"/>
      <c r="D40" s="384"/>
    </row>
    <row r="41" spans="1:23" s="275" customFormat="1">
      <c r="A41" s="548"/>
      <c r="B41" s="548"/>
      <c r="C41" s="548"/>
      <c r="D41" s="384"/>
    </row>
    <row r="42" spans="1:23" s="275" customFormat="1">
      <c r="A42" s="548"/>
      <c r="B42" s="548"/>
      <c r="C42" s="548"/>
      <c r="D42" s="384"/>
      <c r="M42" s="589" t="str">
        <f>IF(SUM(M11:M24)&lt;&gt;'Smmy FGD'!$M$263,"Error","Balanced")</f>
        <v>Balanced</v>
      </c>
      <c r="U42" s="589" t="str">
        <f>IF(SUM(U11:U24)&lt;&gt;'Smmy FGD'!$M$432,"Error","Balanced")</f>
        <v>Balanced</v>
      </c>
      <c r="V42" s="589"/>
      <c r="W42" s="589" t="str">
        <f>IF(SUM(W11:W24)&lt;&gt;'Smmy FGD'!$M$447,"Error","Balanced")</f>
        <v>Balanced</v>
      </c>
    </row>
    <row r="43" spans="1:23" s="275" customFormat="1">
      <c r="A43" s="548"/>
      <c r="B43" s="548"/>
      <c r="C43" s="548"/>
    </row>
    <row r="44" spans="1:23" s="275" customFormat="1">
      <c r="A44" s="548"/>
      <c r="B44" s="548"/>
      <c r="C44" s="548"/>
    </row>
    <row r="45" spans="1:23" s="275" customFormat="1">
      <c r="A45" s="548"/>
      <c r="B45" s="548"/>
      <c r="C45" s="548"/>
    </row>
    <row r="46" spans="1:23" s="275" customFormat="1">
      <c r="A46" s="548"/>
      <c r="B46" s="548"/>
      <c r="C46" s="548"/>
    </row>
    <row r="47" spans="1:23" s="275" customFormat="1">
      <c r="A47" s="548"/>
      <c r="B47" s="548"/>
      <c r="C47" s="548"/>
    </row>
    <row r="48" spans="1:23" s="275" customFormat="1">
      <c r="A48" s="548"/>
      <c r="B48" s="548"/>
      <c r="C48" s="548"/>
    </row>
    <row r="49" spans="1:3" s="275" customFormat="1">
      <c r="A49" s="548"/>
      <c r="B49" s="548"/>
      <c r="C49" s="548"/>
    </row>
    <row r="50" spans="1:3" s="275" customFormat="1">
      <c r="A50" s="548"/>
      <c r="B50" s="548"/>
      <c r="C50" s="548"/>
    </row>
    <row r="51" spans="1:3" s="275" customFormat="1">
      <c r="A51" s="548"/>
      <c r="B51" s="548"/>
      <c r="C51" s="548"/>
    </row>
    <row r="52" spans="1:3" s="275" customFormat="1">
      <c r="A52" s="548"/>
      <c r="B52" s="548"/>
      <c r="C52" s="548"/>
    </row>
    <row r="53" spans="1:3" s="275" customFormat="1">
      <c r="A53" s="548"/>
      <c r="B53" s="548"/>
      <c r="C53" s="548"/>
    </row>
    <row r="54" spans="1:3" s="275" customFormat="1">
      <c r="A54" s="548"/>
      <c r="B54" s="548"/>
      <c r="C54" s="548"/>
    </row>
    <row r="55" spans="1:3" s="275" customFormat="1">
      <c r="A55" s="548"/>
      <c r="B55" s="548"/>
      <c r="C55" s="548"/>
    </row>
    <row r="56" spans="1:3" s="275" customFormat="1">
      <c r="A56" s="548"/>
      <c r="B56" s="548"/>
      <c r="C56" s="548"/>
    </row>
    <row r="57" spans="1:3" s="275" customFormat="1">
      <c r="A57" s="548"/>
      <c r="B57" s="548"/>
      <c r="C57" s="548"/>
    </row>
    <row r="58" spans="1:3" s="275" customFormat="1">
      <c r="A58" s="548"/>
      <c r="B58" s="548"/>
      <c r="C58" s="548"/>
    </row>
    <row r="59" spans="1:3" s="275" customFormat="1">
      <c r="A59" s="548"/>
      <c r="B59" s="548"/>
      <c r="C59" s="548"/>
    </row>
    <row r="60" spans="1:3" s="275" customFormat="1">
      <c r="A60" s="548"/>
      <c r="B60" s="548"/>
      <c r="C60" s="548"/>
    </row>
    <row r="61" spans="1:3" s="275" customFormat="1">
      <c r="A61" s="548"/>
      <c r="B61" s="548"/>
      <c r="C61" s="548"/>
    </row>
    <row r="62" spans="1:3" s="275" customFormat="1">
      <c r="A62" s="548"/>
      <c r="B62" s="548"/>
      <c r="C62" s="548"/>
    </row>
    <row r="63" spans="1:3" s="275" customFormat="1">
      <c r="A63" s="548"/>
      <c r="B63" s="548"/>
      <c r="C63" s="548"/>
    </row>
    <row r="64" spans="1:3" s="275" customFormat="1">
      <c r="A64" s="548"/>
      <c r="B64" s="548"/>
      <c r="C64" s="548"/>
    </row>
    <row r="65" spans="1:3" s="275" customFormat="1">
      <c r="A65" s="548"/>
      <c r="B65" s="548"/>
      <c r="C65" s="548"/>
    </row>
    <row r="66" spans="1:3" s="275" customFormat="1">
      <c r="A66" s="548"/>
      <c r="B66" s="548"/>
      <c r="C66" s="548"/>
    </row>
    <row r="67" spans="1:3" s="275" customFormat="1">
      <c r="A67" s="548"/>
      <c r="B67" s="548"/>
      <c r="C67" s="548"/>
    </row>
    <row r="68" spans="1:3" s="275" customFormat="1">
      <c r="A68" s="548"/>
      <c r="B68" s="548"/>
      <c r="C68" s="548"/>
    </row>
    <row r="69" spans="1:3" s="275" customFormat="1">
      <c r="A69" s="548"/>
      <c r="B69" s="548"/>
      <c r="C69" s="548"/>
    </row>
    <row r="70" spans="1:3" s="275" customFormat="1">
      <c r="A70" s="548"/>
      <c r="B70" s="548"/>
      <c r="C70" s="548"/>
    </row>
    <row r="71" spans="1:3" s="275" customFormat="1">
      <c r="A71" s="548"/>
      <c r="B71" s="548"/>
      <c r="C71" s="548"/>
    </row>
    <row r="72" spans="1:3" s="275" customFormat="1">
      <c r="A72" s="548"/>
      <c r="B72" s="548"/>
      <c r="C72" s="548"/>
    </row>
    <row r="73" spans="1:3" s="275" customFormat="1">
      <c r="A73" s="548"/>
      <c r="B73" s="548"/>
      <c r="C73" s="548"/>
    </row>
    <row r="74" spans="1:3" s="275" customFormat="1">
      <c r="A74" s="548"/>
      <c r="B74" s="548"/>
      <c r="C74" s="548"/>
    </row>
    <row r="75" spans="1:3" s="275" customFormat="1">
      <c r="A75" s="548"/>
      <c r="B75" s="548"/>
      <c r="C75" s="548"/>
    </row>
    <row r="76" spans="1:3" s="275" customFormat="1">
      <c r="A76" s="548"/>
      <c r="B76" s="548"/>
      <c r="C76" s="548"/>
    </row>
    <row r="77" spans="1:3" s="275" customFormat="1">
      <c r="A77" s="548"/>
      <c r="B77" s="548"/>
      <c r="C77" s="548"/>
    </row>
    <row r="78" spans="1:3" s="275" customFormat="1">
      <c r="A78" s="548"/>
      <c r="B78" s="548"/>
      <c r="C78" s="548"/>
    </row>
    <row r="79" spans="1:3" s="275" customFormat="1">
      <c r="A79" s="548"/>
      <c r="B79" s="548"/>
      <c r="C79" s="548"/>
    </row>
    <row r="80" spans="1:3" s="275" customFormat="1">
      <c r="A80" s="548"/>
      <c r="B80" s="548"/>
      <c r="C80" s="548"/>
    </row>
    <row r="81" spans="1:3" s="275" customFormat="1">
      <c r="A81" s="548"/>
      <c r="B81" s="548"/>
      <c r="C81" s="548"/>
    </row>
    <row r="82" spans="1:3" s="275" customFormat="1">
      <c r="A82" s="548"/>
      <c r="B82" s="548"/>
      <c r="C82" s="548"/>
    </row>
    <row r="83" spans="1:3" s="275" customFormat="1">
      <c r="A83" s="548"/>
      <c r="B83" s="548"/>
      <c r="C83" s="548"/>
    </row>
    <row r="84" spans="1:3" s="275" customFormat="1">
      <c r="A84" s="548"/>
      <c r="B84" s="548"/>
      <c r="C84" s="548"/>
    </row>
    <row r="85" spans="1:3" s="275" customFormat="1">
      <c r="A85" s="548"/>
      <c r="B85" s="548"/>
      <c r="C85" s="548"/>
    </row>
    <row r="86" spans="1:3" s="275" customFormat="1">
      <c r="A86" s="548"/>
      <c r="B86" s="548"/>
      <c r="C86" s="548"/>
    </row>
    <row r="87" spans="1:3" s="275" customFormat="1">
      <c r="A87" s="548"/>
      <c r="B87" s="548"/>
      <c r="C87" s="548"/>
    </row>
    <row r="88" spans="1:3" s="275" customFormat="1">
      <c r="A88" s="548"/>
      <c r="B88" s="548"/>
      <c r="C88" s="548"/>
    </row>
    <row r="89" spans="1:3" s="275" customFormat="1">
      <c r="A89" s="548"/>
      <c r="B89" s="548"/>
      <c r="C89" s="548"/>
    </row>
    <row r="90" spans="1:3" s="275" customFormat="1">
      <c r="A90" s="548"/>
      <c r="B90" s="548"/>
      <c r="C90" s="548"/>
    </row>
    <row r="91" spans="1:3" s="275" customFormat="1">
      <c r="A91" s="548"/>
      <c r="B91" s="548"/>
      <c r="C91" s="548"/>
    </row>
    <row r="92" spans="1:3" s="275" customFormat="1">
      <c r="A92" s="548"/>
      <c r="B92" s="548"/>
      <c r="C92" s="548"/>
    </row>
    <row r="93" spans="1:3" s="275" customFormat="1">
      <c r="A93" s="548"/>
      <c r="B93" s="548"/>
      <c r="C93" s="548"/>
    </row>
    <row r="94" spans="1:3" s="275" customFormat="1">
      <c r="A94" s="548"/>
      <c r="B94" s="548"/>
      <c r="C94" s="548"/>
    </row>
    <row r="95" spans="1:3" s="275" customFormat="1">
      <c r="A95" s="548"/>
      <c r="B95" s="548"/>
      <c r="C95" s="548"/>
    </row>
    <row r="96" spans="1:3" s="275" customFormat="1">
      <c r="A96" s="548"/>
      <c r="B96" s="548"/>
      <c r="C96" s="548"/>
    </row>
    <row r="97" spans="1:3" s="275" customFormat="1">
      <c r="A97" s="548"/>
      <c r="B97" s="548"/>
      <c r="C97" s="548"/>
    </row>
    <row r="98" spans="1:3" s="275" customFormat="1">
      <c r="A98" s="548"/>
      <c r="B98" s="548"/>
      <c r="C98" s="548"/>
    </row>
    <row r="99" spans="1:3" s="275" customFormat="1">
      <c r="A99" s="548"/>
      <c r="B99" s="548"/>
      <c r="C99" s="548"/>
    </row>
    <row r="100" spans="1:3" s="275" customFormat="1">
      <c r="A100" s="548"/>
      <c r="B100" s="548"/>
      <c r="C100" s="548"/>
    </row>
    <row r="101" spans="1:3" s="275" customFormat="1">
      <c r="A101" s="548"/>
      <c r="B101" s="548"/>
      <c r="C101" s="548"/>
    </row>
    <row r="102" spans="1:3" s="275" customFormat="1">
      <c r="A102" s="548"/>
      <c r="B102" s="548"/>
      <c r="C102" s="548"/>
    </row>
    <row r="103" spans="1:3" s="275" customFormat="1">
      <c r="A103" s="548"/>
      <c r="B103" s="548"/>
      <c r="C103" s="548"/>
    </row>
    <row r="104" spans="1:3" s="275" customFormat="1">
      <c r="A104" s="548"/>
      <c r="B104" s="548"/>
      <c r="C104" s="548"/>
    </row>
    <row r="105" spans="1:3" s="275" customFormat="1">
      <c r="A105" s="548"/>
      <c r="B105" s="548"/>
      <c r="C105" s="548"/>
    </row>
    <row r="106" spans="1:3" s="275" customFormat="1">
      <c r="A106" s="548"/>
      <c r="B106" s="548"/>
      <c r="C106" s="548"/>
    </row>
    <row r="107" spans="1:3" s="275" customFormat="1">
      <c r="A107" s="548"/>
      <c r="B107" s="548"/>
      <c r="C107" s="548"/>
    </row>
    <row r="108" spans="1:3" s="275" customFormat="1">
      <c r="A108" s="548"/>
      <c r="B108" s="548"/>
      <c r="C108" s="548"/>
    </row>
    <row r="109" spans="1:3" s="275" customFormat="1">
      <c r="A109" s="548"/>
      <c r="B109" s="548"/>
      <c r="C109" s="548"/>
    </row>
    <row r="110" spans="1:3" s="275" customFormat="1">
      <c r="A110" s="548"/>
      <c r="B110" s="548"/>
      <c r="C110" s="548"/>
    </row>
    <row r="111" spans="1:3" s="275" customFormat="1">
      <c r="A111" s="548"/>
      <c r="B111" s="548"/>
      <c r="C111" s="548"/>
    </row>
    <row r="112" spans="1:3" s="275" customFormat="1">
      <c r="A112" s="548"/>
      <c r="B112" s="548"/>
      <c r="C112" s="548"/>
    </row>
    <row r="113" spans="1:3" s="275" customFormat="1">
      <c r="A113" s="548"/>
      <c r="B113" s="548"/>
      <c r="C113" s="548"/>
    </row>
    <row r="114" spans="1:3" s="275" customFormat="1">
      <c r="A114" s="548"/>
      <c r="B114" s="548"/>
      <c r="C114" s="548"/>
    </row>
    <row r="115" spans="1:3" s="275" customFormat="1">
      <c r="A115" s="548"/>
      <c r="B115" s="548"/>
      <c r="C115" s="548"/>
    </row>
    <row r="116" spans="1:3" s="275" customFormat="1">
      <c r="A116" s="548"/>
      <c r="B116" s="548"/>
      <c r="C116" s="548"/>
    </row>
    <row r="117" spans="1:3" s="275" customFormat="1">
      <c r="A117" s="548"/>
      <c r="B117" s="548"/>
      <c r="C117" s="548"/>
    </row>
    <row r="118" spans="1:3" s="275" customFormat="1">
      <c r="A118" s="548"/>
      <c r="B118" s="548"/>
      <c r="C118" s="548"/>
    </row>
    <row r="119" spans="1:3" s="275" customFormat="1">
      <c r="A119" s="548"/>
      <c r="B119" s="548"/>
      <c r="C119" s="548"/>
    </row>
    <row r="120" spans="1:3" s="275" customFormat="1">
      <c r="A120" s="548"/>
      <c r="B120" s="548"/>
      <c r="C120" s="548"/>
    </row>
    <row r="121" spans="1:3" s="275" customFormat="1">
      <c r="A121" s="548"/>
      <c r="B121" s="548"/>
      <c r="C121" s="548"/>
    </row>
    <row r="122" spans="1:3" s="275" customFormat="1">
      <c r="A122" s="548"/>
      <c r="B122" s="548"/>
      <c r="C122" s="548"/>
    </row>
    <row r="123" spans="1:3" s="275" customFormat="1">
      <c r="A123" s="548"/>
      <c r="B123" s="548"/>
      <c r="C123" s="548"/>
    </row>
    <row r="124" spans="1:3" s="275" customFormat="1">
      <c r="A124" s="548"/>
      <c r="B124" s="548"/>
      <c r="C124" s="548"/>
    </row>
    <row r="125" spans="1:3" s="275" customFormat="1">
      <c r="A125" s="548"/>
      <c r="B125" s="548"/>
      <c r="C125" s="548"/>
    </row>
    <row r="126" spans="1:3" s="275" customFormat="1">
      <c r="A126" s="548"/>
      <c r="B126" s="548"/>
      <c r="C126" s="548"/>
    </row>
    <row r="127" spans="1:3" s="275" customFormat="1">
      <c r="A127" s="548"/>
      <c r="B127" s="548"/>
      <c r="C127" s="548"/>
    </row>
    <row r="128" spans="1:3" s="275" customFormat="1">
      <c r="A128" s="548"/>
      <c r="B128" s="548"/>
      <c r="C128" s="548"/>
    </row>
    <row r="129" spans="1:3" s="275" customFormat="1">
      <c r="A129" s="548"/>
      <c r="B129" s="548"/>
      <c r="C129" s="548"/>
    </row>
    <row r="130" spans="1:3" s="275" customFormat="1">
      <c r="A130" s="548"/>
      <c r="B130" s="548"/>
      <c r="C130" s="548"/>
    </row>
    <row r="131" spans="1:3" s="275" customFormat="1">
      <c r="A131" s="548"/>
      <c r="B131" s="548"/>
      <c r="C131" s="548"/>
    </row>
    <row r="132" spans="1:3" s="275" customFormat="1">
      <c r="A132" s="548"/>
      <c r="B132" s="548"/>
      <c r="C132" s="548"/>
    </row>
    <row r="133" spans="1:3" s="275" customFormat="1">
      <c r="A133" s="548"/>
      <c r="B133" s="548"/>
      <c r="C133" s="548"/>
    </row>
    <row r="134" spans="1:3" s="275" customFormat="1">
      <c r="A134" s="548"/>
      <c r="B134" s="548"/>
      <c r="C134" s="548"/>
    </row>
    <row r="135" spans="1:3" s="275" customFormat="1">
      <c r="A135" s="548"/>
      <c r="B135" s="548"/>
      <c r="C135" s="548"/>
    </row>
    <row r="136" spans="1:3" s="275" customFormat="1">
      <c r="A136" s="548"/>
      <c r="B136" s="548"/>
      <c r="C136" s="548"/>
    </row>
    <row r="137" spans="1:3" s="275" customFormat="1">
      <c r="A137" s="548"/>
      <c r="B137" s="548"/>
      <c r="C137" s="548"/>
    </row>
    <row r="138" spans="1:3" s="275" customFormat="1">
      <c r="A138" s="548"/>
      <c r="B138" s="548"/>
      <c r="C138" s="548"/>
    </row>
    <row r="139" spans="1:3" s="275" customFormat="1">
      <c r="A139" s="548"/>
      <c r="B139" s="548"/>
      <c r="C139" s="548"/>
    </row>
    <row r="140" spans="1:3" s="275" customFormat="1">
      <c r="A140" s="548"/>
      <c r="B140" s="548"/>
      <c r="C140" s="548"/>
    </row>
    <row r="141" spans="1:3" s="275" customFormat="1">
      <c r="A141" s="548"/>
      <c r="B141" s="548"/>
      <c r="C141" s="548"/>
    </row>
    <row r="142" spans="1:3" s="275" customFormat="1">
      <c r="A142" s="548"/>
      <c r="B142" s="548"/>
      <c r="C142" s="548"/>
    </row>
    <row r="143" spans="1:3" s="275" customFormat="1">
      <c r="A143" s="548"/>
      <c r="B143" s="548"/>
      <c r="C143" s="548"/>
    </row>
    <row r="144" spans="1:3" s="275" customFormat="1">
      <c r="A144" s="548"/>
      <c r="B144" s="548"/>
      <c r="C144" s="548"/>
    </row>
    <row r="145" spans="1:3" s="275" customFormat="1">
      <c r="A145" s="548"/>
      <c r="B145" s="548"/>
      <c r="C145" s="548"/>
    </row>
    <row r="146" spans="1:3" s="275" customFormat="1">
      <c r="A146" s="548"/>
      <c r="B146" s="548"/>
      <c r="C146" s="548"/>
    </row>
    <row r="147" spans="1:3" s="275" customFormat="1">
      <c r="A147" s="548"/>
      <c r="B147" s="548"/>
      <c r="C147" s="548"/>
    </row>
    <row r="148" spans="1:3" s="275" customFormat="1">
      <c r="A148" s="548"/>
      <c r="B148" s="548"/>
      <c r="C148" s="548"/>
    </row>
    <row r="149" spans="1:3" s="275" customFormat="1">
      <c r="A149" s="548"/>
      <c r="B149" s="548"/>
      <c r="C149" s="548"/>
    </row>
    <row r="150" spans="1:3" s="275" customFormat="1">
      <c r="A150" s="548"/>
      <c r="B150" s="548"/>
      <c r="C150" s="548"/>
    </row>
    <row r="151" spans="1:3" s="275" customFormat="1">
      <c r="A151" s="548"/>
      <c r="B151" s="548"/>
      <c r="C151" s="548"/>
    </row>
    <row r="152" spans="1:3" s="275" customFormat="1">
      <c r="A152" s="548"/>
      <c r="B152" s="548"/>
      <c r="C152" s="548"/>
    </row>
    <row r="153" spans="1:3" s="275" customFormat="1">
      <c r="A153" s="548"/>
      <c r="B153" s="548"/>
      <c r="C153" s="548"/>
    </row>
    <row r="154" spans="1:3" s="275" customFormat="1">
      <c r="A154" s="548"/>
      <c r="B154" s="548"/>
      <c r="C154" s="548"/>
    </row>
    <row r="155" spans="1:3" s="275" customFormat="1">
      <c r="A155" s="548"/>
      <c r="B155" s="548"/>
      <c r="C155" s="548"/>
    </row>
    <row r="156" spans="1:3" s="275" customFormat="1">
      <c r="A156" s="548"/>
      <c r="B156" s="548"/>
      <c r="C156" s="548"/>
    </row>
    <row r="157" spans="1:3" s="275" customFormat="1">
      <c r="A157" s="548"/>
      <c r="B157" s="548"/>
      <c r="C157" s="548"/>
    </row>
    <row r="158" spans="1:3" s="275" customFormat="1">
      <c r="A158" s="548"/>
      <c r="B158" s="548"/>
      <c r="C158" s="548"/>
    </row>
    <row r="159" spans="1:3" s="275" customFormat="1">
      <c r="A159" s="548"/>
      <c r="B159" s="548"/>
      <c r="C159" s="548"/>
    </row>
    <row r="160" spans="1:3" s="275" customFormat="1">
      <c r="A160" s="548"/>
      <c r="B160" s="548"/>
      <c r="C160" s="548"/>
    </row>
    <row r="161" spans="1:3" s="275" customFormat="1">
      <c r="A161" s="548"/>
      <c r="B161" s="548"/>
      <c r="C161" s="548"/>
    </row>
    <row r="162" spans="1:3" s="275" customFormat="1">
      <c r="A162" s="548"/>
      <c r="B162" s="548"/>
      <c r="C162" s="548"/>
    </row>
    <row r="163" spans="1:3" s="275" customFormat="1">
      <c r="A163" s="548"/>
      <c r="B163" s="548"/>
      <c r="C163" s="548"/>
    </row>
    <row r="164" spans="1:3" s="275" customFormat="1">
      <c r="A164" s="548"/>
      <c r="B164" s="548"/>
      <c r="C164" s="548"/>
    </row>
    <row r="165" spans="1:3" s="275" customFormat="1">
      <c r="A165" s="548"/>
      <c r="B165" s="548"/>
      <c r="C165" s="548"/>
    </row>
    <row r="166" spans="1:3" s="275" customFormat="1">
      <c r="A166" s="548"/>
      <c r="B166" s="548"/>
      <c r="C166" s="548"/>
    </row>
    <row r="167" spans="1:3" s="275" customFormat="1">
      <c r="A167" s="548"/>
      <c r="B167" s="548"/>
      <c r="C167" s="548"/>
    </row>
    <row r="168" spans="1:3" s="275" customFormat="1">
      <c r="A168" s="548"/>
      <c r="B168" s="548"/>
      <c r="C168" s="548"/>
    </row>
    <row r="169" spans="1:3" s="275" customFormat="1">
      <c r="A169" s="548"/>
      <c r="B169" s="548"/>
      <c r="C169" s="548"/>
    </row>
    <row r="170" spans="1:3" s="275" customFormat="1">
      <c r="A170" s="548"/>
      <c r="B170" s="548"/>
      <c r="C170" s="548"/>
    </row>
    <row r="171" spans="1:3" s="275" customFormat="1">
      <c r="A171" s="548"/>
      <c r="B171" s="548"/>
      <c r="C171" s="548"/>
    </row>
    <row r="172" spans="1:3" s="275" customFormat="1">
      <c r="A172" s="548"/>
      <c r="B172" s="548"/>
      <c r="C172" s="548"/>
    </row>
    <row r="173" spans="1:3" s="275" customFormat="1">
      <c r="A173" s="548"/>
      <c r="B173" s="548"/>
      <c r="C173" s="548"/>
    </row>
    <row r="174" spans="1:3" s="275" customFormat="1">
      <c r="A174" s="548"/>
      <c r="B174" s="548"/>
      <c r="C174" s="548"/>
    </row>
    <row r="175" spans="1:3" s="275" customFormat="1">
      <c r="A175" s="548"/>
      <c r="B175" s="548"/>
      <c r="C175" s="548"/>
    </row>
    <row r="176" spans="1:3" s="275" customFormat="1">
      <c r="A176" s="548"/>
      <c r="B176" s="548"/>
      <c r="C176" s="548"/>
    </row>
    <row r="177" spans="1:3" s="275" customFormat="1">
      <c r="A177" s="548"/>
      <c r="B177" s="548"/>
      <c r="C177" s="548"/>
    </row>
    <row r="178" spans="1:3" s="275" customFormat="1">
      <c r="A178" s="548"/>
      <c r="B178" s="548"/>
      <c r="C178" s="548"/>
    </row>
    <row r="179" spans="1:3" s="275" customFormat="1">
      <c r="A179" s="548"/>
      <c r="B179" s="548"/>
      <c r="C179" s="548"/>
    </row>
    <row r="180" spans="1:3" s="275" customFormat="1">
      <c r="A180" s="548"/>
      <c r="B180" s="548"/>
      <c r="C180" s="548"/>
    </row>
    <row r="181" spans="1:3" s="275" customFormat="1">
      <c r="A181" s="548"/>
      <c r="B181" s="548"/>
      <c r="C181" s="548"/>
    </row>
    <row r="182" spans="1:3" s="275" customFormat="1">
      <c r="A182" s="548"/>
      <c r="B182" s="548"/>
      <c r="C182" s="548"/>
    </row>
    <row r="183" spans="1:3" s="275" customFormat="1">
      <c r="A183" s="548"/>
      <c r="B183" s="548"/>
      <c r="C183" s="548"/>
    </row>
    <row r="184" spans="1:3" s="275" customFormat="1">
      <c r="A184" s="548"/>
      <c r="B184" s="548"/>
      <c r="C184" s="548"/>
    </row>
    <row r="185" spans="1:3" s="275" customFormat="1">
      <c r="A185" s="548"/>
      <c r="B185" s="548"/>
      <c r="C185" s="548"/>
    </row>
    <row r="186" spans="1:3" s="275" customFormat="1">
      <c r="A186" s="548"/>
      <c r="B186" s="548"/>
      <c r="C186" s="548"/>
    </row>
    <row r="187" spans="1:3" s="275" customFormat="1">
      <c r="A187" s="548"/>
      <c r="B187" s="548"/>
      <c r="C187" s="548"/>
    </row>
    <row r="188" spans="1:3" s="275" customFormat="1">
      <c r="A188" s="548"/>
      <c r="B188" s="548"/>
      <c r="C188" s="548"/>
    </row>
    <row r="189" spans="1:3" s="275" customFormat="1">
      <c r="A189" s="548"/>
      <c r="B189" s="548"/>
      <c r="C189" s="548"/>
    </row>
    <row r="190" spans="1:3" s="275" customFormat="1">
      <c r="A190" s="548"/>
      <c r="B190" s="548"/>
      <c r="C190" s="548"/>
    </row>
    <row r="191" spans="1:3" s="275" customFormat="1">
      <c r="A191" s="548"/>
      <c r="B191" s="548"/>
      <c r="C191" s="548"/>
    </row>
    <row r="192" spans="1:3" s="275" customFormat="1">
      <c r="A192" s="548"/>
      <c r="B192" s="548"/>
      <c r="C192" s="548"/>
    </row>
    <row r="193" spans="1:3" s="275" customFormat="1">
      <c r="A193" s="548"/>
      <c r="B193" s="548"/>
      <c r="C193" s="548"/>
    </row>
    <row r="194" spans="1:3" s="275" customFormat="1">
      <c r="A194" s="548"/>
      <c r="B194" s="548"/>
      <c r="C194" s="548"/>
    </row>
    <row r="195" spans="1:3" s="275" customFormat="1">
      <c r="A195" s="548"/>
      <c r="B195" s="548"/>
      <c r="C195" s="548"/>
    </row>
    <row r="196" spans="1:3" s="275" customFormat="1">
      <c r="A196" s="548"/>
      <c r="B196" s="548"/>
      <c r="C196" s="548"/>
    </row>
    <row r="197" spans="1:3" s="275" customFormat="1">
      <c r="A197" s="548"/>
      <c r="B197" s="548"/>
      <c r="C197" s="548"/>
    </row>
    <row r="198" spans="1:3" s="275" customFormat="1">
      <c r="A198" s="548"/>
      <c r="B198" s="548"/>
      <c r="C198" s="548"/>
    </row>
    <row r="199" spans="1:3" s="275" customFormat="1">
      <c r="A199" s="548"/>
      <c r="B199" s="548"/>
      <c r="C199" s="548"/>
    </row>
    <row r="200" spans="1:3" s="275" customFormat="1">
      <c r="A200" s="548"/>
      <c r="B200" s="548"/>
      <c r="C200" s="548"/>
    </row>
    <row r="201" spans="1:3" s="275" customFormat="1">
      <c r="A201" s="548"/>
      <c r="B201" s="548"/>
      <c r="C201" s="548"/>
    </row>
    <row r="202" spans="1:3" s="275" customFormat="1">
      <c r="A202" s="548"/>
      <c r="B202" s="548"/>
      <c r="C202" s="548"/>
    </row>
    <row r="203" spans="1:3" s="275" customFormat="1">
      <c r="A203" s="548"/>
      <c r="B203" s="548"/>
      <c r="C203" s="548"/>
    </row>
    <row r="204" spans="1:3" s="275" customFormat="1">
      <c r="A204" s="548"/>
      <c r="B204" s="548"/>
      <c r="C204" s="548"/>
    </row>
    <row r="205" spans="1:3" s="275" customFormat="1">
      <c r="A205" s="548"/>
      <c r="B205" s="548"/>
      <c r="C205" s="548"/>
    </row>
    <row r="206" spans="1:3" s="275" customFormat="1">
      <c r="A206" s="548"/>
      <c r="B206" s="548"/>
      <c r="C206" s="548"/>
    </row>
    <row r="207" spans="1:3" s="275" customFormat="1">
      <c r="A207" s="548"/>
      <c r="B207" s="548"/>
      <c r="C207" s="548"/>
    </row>
    <row r="208" spans="1:3" s="275" customFormat="1">
      <c r="A208" s="548"/>
      <c r="B208" s="548"/>
      <c r="C208" s="548"/>
    </row>
    <row r="209" spans="1:3" s="275" customFormat="1">
      <c r="A209" s="548"/>
      <c r="B209" s="548"/>
      <c r="C209" s="548"/>
    </row>
    <row r="210" spans="1:3" s="275" customFormat="1">
      <c r="A210" s="548"/>
      <c r="B210" s="548"/>
      <c r="C210" s="548"/>
    </row>
    <row r="211" spans="1:3" s="275" customFormat="1">
      <c r="A211" s="548"/>
      <c r="B211" s="548"/>
      <c r="C211" s="548"/>
    </row>
    <row r="212" spans="1:3" s="275" customFormat="1">
      <c r="A212" s="548"/>
      <c r="B212" s="548"/>
      <c r="C212" s="548"/>
    </row>
    <row r="213" spans="1:3" s="275" customFormat="1">
      <c r="A213" s="548"/>
      <c r="B213" s="548"/>
      <c r="C213" s="548"/>
    </row>
    <row r="214" spans="1:3" s="275" customFormat="1">
      <c r="A214" s="548"/>
      <c r="B214" s="548"/>
      <c r="C214" s="548"/>
    </row>
    <row r="215" spans="1:3" s="275" customFormat="1">
      <c r="A215" s="548"/>
      <c r="B215" s="548"/>
      <c r="C215" s="548"/>
    </row>
    <row r="216" spans="1:3" s="275" customFormat="1">
      <c r="A216" s="548"/>
      <c r="B216" s="548"/>
      <c r="C216" s="548"/>
    </row>
    <row r="217" spans="1:3" s="275" customFormat="1">
      <c r="A217" s="548"/>
      <c r="B217" s="548"/>
      <c r="C217" s="548"/>
    </row>
    <row r="218" spans="1:3" s="275" customFormat="1">
      <c r="A218" s="548"/>
      <c r="B218" s="548"/>
      <c r="C218" s="548"/>
    </row>
    <row r="219" spans="1:3" s="275" customFormat="1">
      <c r="A219" s="548"/>
      <c r="B219" s="548"/>
      <c r="C219" s="548"/>
    </row>
    <row r="220" spans="1:3" s="275" customFormat="1">
      <c r="A220" s="548"/>
      <c r="B220" s="548"/>
      <c r="C220" s="548"/>
    </row>
    <row r="221" spans="1:3" s="275" customFormat="1">
      <c r="A221" s="548"/>
      <c r="B221" s="548"/>
      <c r="C221" s="548"/>
    </row>
    <row r="222" spans="1:3" s="275" customFormat="1">
      <c r="A222" s="548"/>
      <c r="B222" s="548"/>
      <c r="C222" s="548"/>
    </row>
    <row r="223" spans="1:3" s="275" customFormat="1">
      <c r="A223" s="548"/>
      <c r="B223" s="548"/>
      <c r="C223" s="548"/>
    </row>
    <row r="224" spans="1:3" s="275" customFormat="1">
      <c r="A224" s="548"/>
      <c r="B224" s="548"/>
      <c r="C224" s="548"/>
    </row>
    <row r="225" spans="1:3" s="275" customFormat="1">
      <c r="A225" s="548"/>
      <c r="B225" s="548"/>
      <c r="C225" s="548"/>
    </row>
    <row r="226" spans="1:3" s="275" customFormat="1">
      <c r="A226" s="548"/>
      <c r="B226" s="548"/>
      <c r="C226" s="548"/>
    </row>
    <row r="227" spans="1:3" s="275" customFormat="1">
      <c r="A227" s="548"/>
      <c r="B227" s="548"/>
      <c r="C227" s="548"/>
    </row>
    <row r="228" spans="1:3" s="275" customFormat="1">
      <c r="A228" s="548"/>
      <c r="B228" s="548"/>
      <c r="C228" s="548"/>
    </row>
    <row r="229" spans="1:3" s="275" customFormat="1">
      <c r="A229" s="548"/>
      <c r="B229" s="548"/>
      <c r="C229" s="548"/>
    </row>
    <row r="230" spans="1:3" s="275" customFormat="1">
      <c r="A230" s="548"/>
      <c r="B230" s="548"/>
      <c r="C230" s="548"/>
    </row>
    <row r="231" spans="1:3" s="275" customFormat="1">
      <c r="A231" s="548"/>
      <c r="B231" s="548"/>
      <c r="C231" s="548"/>
    </row>
    <row r="232" spans="1:3" s="275" customFormat="1">
      <c r="A232" s="548"/>
      <c r="B232" s="548"/>
      <c r="C232" s="548"/>
    </row>
    <row r="233" spans="1:3" s="275" customFormat="1">
      <c r="A233" s="548"/>
      <c r="B233" s="548"/>
      <c r="C233" s="548"/>
    </row>
    <row r="234" spans="1:3" s="275" customFormat="1">
      <c r="A234" s="548"/>
      <c r="B234" s="548"/>
      <c r="C234" s="548"/>
    </row>
    <row r="235" spans="1:3" s="275" customFormat="1">
      <c r="A235" s="548"/>
      <c r="B235" s="548"/>
      <c r="C235" s="548"/>
    </row>
    <row r="236" spans="1:3" s="275" customFormat="1">
      <c r="A236" s="548"/>
      <c r="B236" s="548"/>
      <c r="C236" s="548"/>
    </row>
    <row r="237" spans="1:3" s="275" customFormat="1">
      <c r="A237" s="548"/>
      <c r="B237" s="548"/>
      <c r="C237" s="548"/>
    </row>
    <row r="238" spans="1:3" s="275" customFormat="1">
      <c r="A238" s="548"/>
      <c r="B238" s="548"/>
      <c r="C238" s="548"/>
    </row>
    <row r="239" spans="1:3" s="275" customFormat="1">
      <c r="A239" s="548"/>
      <c r="B239" s="548"/>
      <c r="C239" s="548"/>
    </row>
    <row r="240" spans="1:3" s="275" customFormat="1">
      <c r="A240" s="548"/>
      <c r="B240" s="548"/>
      <c r="C240" s="548"/>
    </row>
    <row r="241" spans="1:3" s="275" customFormat="1">
      <c r="A241" s="548"/>
      <c r="B241" s="548"/>
      <c r="C241" s="548"/>
    </row>
    <row r="242" spans="1:3" s="275" customFormat="1">
      <c r="A242" s="548"/>
      <c r="B242" s="548"/>
      <c r="C242" s="548"/>
    </row>
    <row r="243" spans="1:3" s="275" customFormat="1">
      <c r="A243" s="548"/>
      <c r="B243" s="548"/>
      <c r="C243" s="548"/>
    </row>
    <row r="244" spans="1:3" s="275" customFormat="1">
      <c r="A244" s="548"/>
      <c r="B244" s="548"/>
      <c r="C244" s="548"/>
    </row>
    <row r="245" spans="1:3" s="275" customFormat="1">
      <c r="A245" s="548"/>
      <c r="B245" s="548"/>
      <c r="C245" s="548"/>
    </row>
    <row r="246" spans="1:3" s="275" customFormat="1">
      <c r="A246" s="548"/>
      <c r="B246" s="548"/>
      <c r="C246" s="548"/>
    </row>
    <row r="247" spans="1:3" s="275" customFormat="1">
      <c r="A247" s="548"/>
      <c r="B247" s="548"/>
      <c r="C247" s="548"/>
    </row>
    <row r="248" spans="1:3" s="275" customFormat="1">
      <c r="A248" s="548"/>
      <c r="B248" s="548"/>
      <c r="C248" s="548"/>
    </row>
    <row r="249" spans="1:3" s="275" customFormat="1">
      <c r="A249" s="548"/>
      <c r="B249" s="548"/>
      <c r="C249" s="548"/>
    </row>
    <row r="250" spans="1:3" s="275" customFormat="1">
      <c r="A250" s="548"/>
      <c r="B250" s="548"/>
      <c r="C250" s="548"/>
    </row>
    <row r="251" spans="1:3" s="275" customFormat="1">
      <c r="A251" s="548"/>
      <c r="B251" s="548"/>
      <c r="C251" s="548"/>
    </row>
    <row r="252" spans="1:3" s="275" customFormat="1">
      <c r="A252" s="548"/>
      <c r="B252" s="548"/>
      <c r="C252" s="548"/>
    </row>
    <row r="253" spans="1:3" s="275" customFormat="1">
      <c r="A253" s="548"/>
      <c r="B253" s="548"/>
      <c r="C253" s="548"/>
    </row>
    <row r="254" spans="1:3" s="275" customFormat="1">
      <c r="A254" s="548"/>
      <c r="B254" s="548"/>
      <c r="C254" s="548"/>
    </row>
    <row r="255" spans="1:3" s="275" customFormat="1">
      <c r="A255" s="548"/>
      <c r="B255" s="548"/>
      <c r="C255" s="548"/>
    </row>
    <row r="256" spans="1:3" s="275" customFormat="1">
      <c r="A256" s="548"/>
      <c r="B256" s="548"/>
      <c r="C256" s="548"/>
    </row>
    <row r="257" spans="1:3" s="275" customFormat="1">
      <c r="A257" s="548"/>
      <c r="B257" s="548"/>
      <c r="C257" s="548"/>
    </row>
    <row r="258" spans="1:3" s="275" customFormat="1">
      <c r="A258" s="548"/>
      <c r="B258" s="548"/>
      <c r="C258" s="548"/>
    </row>
    <row r="259" spans="1:3" s="275" customFormat="1">
      <c r="A259" s="548"/>
      <c r="B259" s="548"/>
      <c r="C259" s="548"/>
    </row>
    <row r="260" spans="1:3" s="275" customFormat="1">
      <c r="A260" s="548"/>
      <c r="B260" s="548"/>
      <c r="C260" s="548"/>
    </row>
    <row r="261" spans="1:3" s="275" customFormat="1">
      <c r="A261" s="548"/>
      <c r="B261" s="548"/>
      <c r="C261" s="548"/>
    </row>
    <row r="262" spans="1:3" s="275" customFormat="1">
      <c r="A262" s="548"/>
      <c r="B262" s="548"/>
      <c r="C262" s="548"/>
    </row>
    <row r="263" spans="1:3" s="275" customFormat="1">
      <c r="A263" s="548"/>
      <c r="B263" s="548"/>
      <c r="C263" s="548"/>
    </row>
    <row r="264" spans="1:3" s="275" customFormat="1">
      <c r="A264" s="548"/>
      <c r="B264" s="548"/>
      <c r="C264" s="548"/>
    </row>
    <row r="265" spans="1:3" s="275" customFormat="1">
      <c r="A265" s="548"/>
      <c r="B265" s="548"/>
      <c r="C265" s="548"/>
    </row>
    <row r="266" spans="1:3" s="275" customFormat="1">
      <c r="A266" s="548"/>
      <c r="B266" s="548"/>
      <c r="C266" s="548"/>
    </row>
    <row r="267" spans="1:3" s="275" customFormat="1">
      <c r="A267" s="548"/>
      <c r="B267" s="548"/>
      <c r="C267" s="548"/>
    </row>
    <row r="268" spans="1:3" s="275" customFormat="1">
      <c r="A268" s="548"/>
      <c r="B268" s="548"/>
      <c r="C268" s="548"/>
    </row>
    <row r="269" spans="1:3" s="275" customFormat="1">
      <c r="A269" s="548"/>
      <c r="B269" s="548"/>
      <c r="C269" s="548"/>
    </row>
    <row r="270" spans="1:3" s="275" customFormat="1">
      <c r="A270" s="548"/>
      <c r="B270" s="548"/>
      <c r="C270" s="548"/>
    </row>
    <row r="271" spans="1:3" s="275" customFormat="1">
      <c r="A271" s="548"/>
      <c r="B271" s="548"/>
      <c r="C271" s="548"/>
    </row>
    <row r="272" spans="1:3" s="275" customFormat="1">
      <c r="A272" s="548"/>
      <c r="B272" s="548"/>
      <c r="C272" s="548"/>
    </row>
    <row r="273" spans="1:3" s="275" customFormat="1">
      <c r="A273" s="548"/>
      <c r="B273" s="548"/>
      <c r="C273" s="548"/>
    </row>
    <row r="274" spans="1:3" s="275" customFormat="1">
      <c r="A274" s="548"/>
      <c r="B274" s="548"/>
      <c r="C274" s="548"/>
    </row>
    <row r="275" spans="1:3" s="275" customFormat="1">
      <c r="A275" s="548"/>
      <c r="B275" s="548"/>
      <c r="C275" s="548"/>
    </row>
    <row r="276" spans="1:3" s="275" customFormat="1">
      <c r="A276" s="548"/>
      <c r="B276" s="548"/>
      <c r="C276" s="548"/>
    </row>
    <row r="277" spans="1:3" s="275" customFormat="1">
      <c r="A277" s="548"/>
      <c r="B277" s="548"/>
      <c r="C277" s="548"/>
    </row>
    <row r="278" spans="1:3" s="275" customFormat="1">
      <c r="A278" s="548"/>
      <c r="B278" s="548"/>
      <c r="C278" s="548"/>
    </row>
    <row r="279" spans="1:3" s="275" customFormat="1">
      <c r="A279" s="548"/>
      <c r="B279" s="548"/>
      <c r="C279" s="548"/>
    </row>
    <row r="280" spans="1:3" s="275" customFormat="1">
      <c r="A280" s="548"/>
      <c r="B280" s="548"/>
      <c r="C280" s="548"/>
    </row>
    <row r="281" spans="1:3" s="275" customFormat="1">
      <c r="A281" s="548"/>
      <c r="B281" s="548"/>
      <c r="C281" s="548"/>
    </row>
    <row r="282" spans="1:3" s="275" customFormat="1">
      <c r="A282" s="548"/>
      <c r="B282" s="548"/>
      <c r="C282" s="548"/>
    </row>
    <row r="283" spans="1:3" s="275" customFormat="1">
      <c r="A283" s="548"/>
      <c r="B283" s="548"/>
      <c r="C283" s="548"/>
    </row>
    <row r="284" spans="1:3" s="275" customFormat="1">
      <c r="A284" s="548"/>
      <c r="B284" s="548"/>
      <c r="C284" s="548"/>
    </row>
    <row r="285" spans="1:3" s="275" customFormat="1">
      <c r="A285" s="548"/>
      <c r="B285" s="548"/>
      <c r="C285" s="548"/>
    </row>
    <row r="286" spans="1:3" s="275" customFormat="1">
      <c r="A286" s="548"/>
      <c r="B286" s="548"/>
      <c r="C286" s="548"/>
    </row>
    <row r="287" spans="1:3" s="275" customFormat="1">
      <c r="A287" s="548"/>
      <c r="B287" s="548"/>
      <c r="C287" s="548"/>
    </row>
    <row r="288" spans="1:3" s="275" customFormat="1">
      <c r="A288" s="548"/>
      <c r="B288" s="548"/>
      <c r="C288" s="548"/>
    </row>
    <row r="289" spans="1:3" s="275" customFormat="1">
      <c r="A289" s="548"/>
      <c r="B289" s="548"/>
      <c r="C289" s="548"/>
    </row>
    <row r="290" spans="1:3" s="275" customFormat="1">
      <c r="A290" s="548"/>
      <c r="B290" s="548"/>
      <c r="C290" s="548"/>
    </row>
    <row r="291" spans="1:3" s="275" customFormat="1">
      <c r="A291" s="548"/>
      <c r="B291" s="548"/>
      <c r="C291" s="548"/>
    </row>
    <row r="292" spans="1:3" s="275" customFormat="1">
      <c r="A292" s="548"/>
      <c r="B292" s="548"/>
      <c r="C292" s="548"/>
    </row>
    <row r="293" spans="1:3" s="275" customFormat="1">
      <c r="A293" s="548"/>
      <c r="B293" s="548"/>
      <c r="C293" s="548"/>
    </row>
    <row r="294" spans="1:3" s="275" customFormat="1">
      <c r="A294" s="548"/>
      <c r="B294" s="548"/>
      <c r="C294" s="548"/>
    </row>
    <row r="295" spans="1:3" s="275" customFormat="1">
      <c r="A295" s="548"/>
      <c r="B295" s="548"/>
      <c r="C295" s="548"/>
    </row>
    <row r="296" spans="1:3" s="275" customFormat="1">
      <c r="A296" s="548"/>
      <c r="B296" s="548"/>
      <c r="C296" s="548"/>
    </row>
    <row r="297" spans="1:3" s="275" customFormat="1">
      <c r="A297" s="548"/>
      <c r="B297" s="548"/>
      <c r="C297" s="548"/>
    </row>
    <row r="298" spans="1:3" s="275" customFormat="1">
      <c r="A298" s="548"/>
      <c r="B298" s="548"/>
      <c r="C298" s="548"/>
    </row>
    <row r="299" spans="1:3" s="275" customFormat="1">
      <c r="A299" s="548"/>
      <c r="B299" s="548"/>
      <c r="C299" s="548"/>
    </row>
    <row r="300" spans="1:3" s="275" customFormat="1">
      <c r="A300" s="548"/>
      <c r="B300" s="548"/>
      <c r="C300" s="548"/>
    </row>
    <row r="301" spans="1:3" s="275" customFormat="1">
      <c r="A301" s="548"/>
      <c r="B301" s="548"/>
      <c r="C301" s="548"/>
    </row>
    <row r="302" spans="1:3" s="275" customFormat="1">
      <c r="A302" s="548"/>
      <c r="B302" s="548"/>
      <c r="C302" s="548"/>
    </row>
    <row r="303" spans="1:3" s="275" customFormat="1">
      <c r="A303" s="548"/>
      <c r="B303" s="548"/>
      <c r="C303" s="548"/>
    </row>
    <row r="304" spans="1:3" s="275" customFormat="1">
      <c r="A304" s="548"/>
      <c r="B304" s="548"/>
      <c r="C304" s="548"/>
    </row>
    <row r="305" spans="1:3" s="275" customFormat="1">
      <c r="A305" s="548"/>
      <c r="B305" s="548"/>
      <c r="C305" s="548"/>
    </row>
    <row r="306" spans="1:3" s="275" customFormat="1">
      <c r="A306" s="548"/>
      <c r="B306" s="548"/>
      <c r="C306" s="548"/>
    </row>
    <row r="307" spans="1:3" s="275" customFormat="1">
      <c r="A307" s="548"/>
      <c r="B307" s="548"/>
      <c r="C307" s="548"/>
    </row>
    <row r="308" spans="1:3" s="275" customFormat="1">
      <c r="A308" s="548"/>
      <c r="B308" s="548"/>
      <c r="C308" s="548"/>
    </row>
    <row r="309" spans="1:3" s="275" customFormat="1">
      <c r="A309" s="548"/>
      <c r="B309" s="548"/>
      <c r="C309" s="548"/>
    </row>
    <row r="310" spans="1:3" s="275" customFormat="1">
      <c r="A310" s="548"/>
      <c r="B310" s="548"/>
      <c r="C310" s="548"/>
    </row>
    <row r="311" spans="1:3" s="275" customFormat="1">
      <c r="A311" s="548"/>
      <c r="B311" s="548"/>
      <c r="C311" s="548"/>
    </row>
    <row r="312" spans="1:3" s="275" customFormat="1">
      <c r="A312" s="548"/>
      <c r="B312" s="548"/>
      <c r="C312" s="548"/>
    </row>
    <row r="313" spans="1:3" s="275" customFormat="1">
      <c r="A313" s="548"/>
      <c r="B313" s="548"/>
      <c r="C313" s="548"/>
    </row>
    <row r="314" spans="1:3" s="275" customFormat="1">
      <c r="A314" s="548"/>
      <c r="B314" s="548"/>
      <c r="C314" s="548"/>
    </row>
    <row r="315" spans="1:3" s="275" customFormat="1">
      <c r="A315" s="548"/>
      <c r="B315" s="548"/>
      <c r="C315" s="548"/>
    </row>
    <row r="316" spans="1:3" s="275" customFormat="1">
      <c r="A316" s="548"/>
      <c r="B316" s="548"/>
      <c r="C316" s="548"/>
    </row>
    <row r="317" spans="1:3" s="275" customFormat="1">
      <c r="A317" s="548"/>
      <c r="B317" s="548"/>
      <c r="C317" s="548"/>
    </row>
    <row r="318" spans="1:3" s="275" customFormat="1">
      <c r="A318" s="548"/>
      <c r="B318" s="548"/>
      <c r="C318" s="548"/>
    </row>
    <row r="319" spans="1:3" s="275" customFormat="1">
      <c r="A319" s="548"/>
      <c r="B319" s="548"/>
      <c r="C319" s="548"/>
    </row>
    <row r="320" spans="1:3" s="275" customFormat="1">
      <c r="A320" s="548"/>
      <c r="B320" s="548"/>
      <c r="C320" s="548"/>
    </row>
    <row r="321" spans="1:3" s="275" customFormat="1">
      <c r="A321" s="548"/>
      <c r="B321" s="548"/>
      <c r="C321" s="548"/>
    </row>
    <row r="322" spans="1:3" s="275" customFormat="1">
      <c r="A322" s="548"/>
      <c r="B322" s="548"/>
      <c r="C322" s="548"/>
    </row>
    <row r="323" spans="1:3" s="275" customFormat="1">
      <c r="A323" s="548"/>
      <c r="B323" s="548"/>
      <c r="C323" s="548"/>
    </row>
    <row r="324" spans="1:3" s="275" customFormat="1">
      <c r="A324" s="548"/>
      <c r="B324" s="548"/>
      <c r="C324" s="548"/>
    </row>
    <row r="325" spans="1:3" s="275" customFormat="1">
      <c r="A325" s="548"/>
      <c r="B325" s="548"/>
      <c r="C325" s="548"/>
    </row>
    <row r="326" spans="1:3" s="275" customFormat="1">
      <c r="A326" s="548"/>
      <c r="B326" s="548"/>
      <c r="C326" s="548"/>
    </row>
    <row r="327" spans="1:3" s="275" customFormat="1">
      <c r="A327" s="548"/>
      <c r="B327" s="548"/>
      <c r="C327" s="548"/>
    </row>
    <row r="328" spans="1:3" s="275" customFormat="1">
      <c r="A328" s="548"/>
      <c r="B328" s="548"/>
      <c r="C328" s="548"/>
    </row>
    <row r="329" spans="1:3" s="275" customFormat="1">
      <c r="A329" s="548"/>
      <c r="B329" s="548"/>
      <c r="C329" s="548"/>
    </row>
    <row r="330" spans="1:3" s="275" customFormat="1">
      <c r="A330" s="548"/>
      <c r="B330" s="548"/>
      <c r="C330" s="548"/>
    </row>
    <row r="331" spans="1:3" s="275" customFormat="1">
      <c r="A331" s="548"/>
      <c r="B331" s="548"/>
      <c r="C331" s="548"/>
    </row>
    <row r="332" spans="1:3" s="275" customFormat="1">
      <c r="A332" s="548"/>
      <c r="B332" s="548"/>
      <c r="C332" s="548"/>
    </row>
    <row r="333" spans="1:3" s="275" customFormat="1">
      <c r="A333" s="548"/>
      <c r="B333" s="548"/>
      <c r="C333" s="548"/>
    </row>
    <row r="334" spans="1:3" s="275" customFormat="1">
      <c r="A334" s="548"/>
      <c r="B334" s="548"/>
      <c r="C334" s="548"/>
    </row>
    <row r="335" spans="1:3" s="275" customFormat="1">
      <c r="A335" s="548"/>
      <c r="B335" s="548"/>
      <c r="C335" s="548"/>
    </row>
    <row r="336" spans="1:3" s="275" customFormat="1">
      <c r="A336" s="548"/>
      <c r="B336" s="548"/>
      <c r="C336" s="548"/>
    </row>
    <row r="337" spans="1:3" s="275" customFormat="1">
      <c r="A337" s="548"/>
      <c r="B337" s="548"/>
      <c r="C337" s="548"/>
    </row>
    <row r="338" spans="1:3" s="275" customFormat="1">
      <c r="A338" s="548"/>
      <c r="B338" s="548"/>
      <c r="C338" s="548"/>
    </row>
    <row r="339" spans="1:3" s="275" customFormat="1">
      <c r="A339" s="548"/>
      <c r="B339" s="548"/>
      <c r="C339" s="548"/>
    </row>
    <row r="340" spans="1:3" s="275" customFormat="1">
      <c r="A340" s="548"/>
      <c r="B340" s="548"/>
      <c r="C340" s="548"/>
    </row>
    <row r="341" spans="1:3" s="275" customFormat="1">
      <c r="A341" s="548"/>
      <c r="B341" s="548"/>
      <c r="C341" s="548"/>
    </row>
    <row r="342" spans="1:3" s="275" customFormat="1">
      <c r="A342" s="548"/>
      <c r="B342" s="548"/>
      <c r="C342" s="548"/>
    </row>
    <row r="343" spans="1:3" s="275" customFormat="1">
      <c r="A343" s="548"/>
      <c r="B343" s="548"/>
      <c r="C343" s="548"/>
    </row>
    <row r="344" spans="1:3" s="275" customFormat="1">
      <c r="A344" s="548"/>
      <c r="B344" s="548"/>
      <c r="C344" s="548"/>
    </row>
    <row r="345" spans="1:3" s="275" customFormat="1">
      <c r="A345" s="548"/>
      <c r="B345" s="548"/>
      <c r="C345" s="548"/>
    </row>
    <row r="346" spans="1:3" s="275" customFormat="1">
      <c r="A346" s="548"/>
      <c r="B346" s="548"/>
      <c r="C346" s="548"/>
    </row>
    <row r="347" spans="1:3" s="275" customFormat="1">
      <c r="A347" s="548"/>
      <c r="B347" s="548"/>
      <c r="C347" s="548"/>
    </row>
    <row r="348" spans="1:3" s="275" customFormat="1">
      <c r="A348" s="548"/>
      <c r="B348" s="548"/>
      <c r="C348" s="548"/>
    </row>
    <row r="349" spans="1:3" s="275" customFormat="1">
      <c r="A349" s="548"/>
      <c r="B349" s="548"/>
      <c r="C349" s="548"/>
    </row>
    <row r="350" spans="1:3" s="275" customFormat="1">
      <c r="A350" s="548"/>
      <c r="B350" s="548"/>
      <c r="C350" s="548"/>
    </row>
    <row r="351" spans="1:3" s="275" customFormat="1">
      <c r="A351" s="548"/>
      <c r="B351" s="548"/>
      <c r="C351" s="548"/>
    </row>
    <row r="352" spans="1:3" s="275" customFormat="1">
      <c r="A352" s="548"/>
      <c r="B352" s="548"/>
      <c r="C352" s="548"/>
    </row>
    <row r="353" spans="1:3" s="275" customFormat="1">
      <c r="A353" s="548"/>
      <c r="B353" s="548"/>
      <c r="C353" s="548"/>
    </row>
    <row r="354" spans="1:3" s="275" customFormat="1">
      <c r="A354" s="548"/>
      <c r="B354" s="548"/>
      <c r="C354" s="548"/>
    </row>
    <row r="355" spans="1:3" s="275" customFormat="1">
      <c r="A355" s="548"/>
      <c r="B355" s="548"/>
      <c r="C355" s="548"/>
    </row>
    <row r="356" spans="1:3" s="275" customFormat="1">
      <c r="A356" s="548"/>
      <c r="B356" s="548"/>
      <c r="C356" s="548"/>
    </row>
    <row r="357" spans="1:3" s="275" customFormat="1">
      <c r="A357" s="548"/>
      <c r="B357" s="548"/>
      <c r="C357" s="548"/>
    </row>
    <row r="358" spans="1:3" s="275" customFormat="1">
      <c r="A358" s="548"/>
      <c r="B358" s="548"/>
      <c r="C358" s="548"/>
    </row>
    <row r="359" spans="1:3" s="275" customFormat="1">
      <c r="A359" s="548"/>
      <c r="B359" s="548"/>
      <c r="C359" s="548"/>
    </row>
    <row r="360" spans="1:3" s="275" customFormat="1">
      <c r="A360" s="548"/>
      <c r="B360" s="548"/>
      <c r="C360" s="548"/>
    </row>
    <row r="361" spans="1:3" s="275" customFormat="1">
      <c r="A361" s="548"/>
      <c r="B361" s="548"/>
      <c r="C361" s="548"/>
    </row>
    <row r="362" spans="1:3" s="275" customFormat="1">
      <c r="A362" s="548"/>
      <c r="B362" s="548"/>
      <c r="C362" s="548"/>
    </row>
    <row r="363" spans="1:3" s="275" customFormat="1">
      <c r="A363" s="548"/>
      <c r="B363" s="548"/>
      <c r="C363" s="548"/>
    </row>
    <row r="364" spans="1:3" s="275" customFormat="1">
      <c r="A364" s="548"/>
      <c r="B364" s="548"/>
      <c r="C364" s="548"/>
    </row>
    <row r="365" spans="1:3" s="275" customFormat="1">
      <c r="A365" s="548"/>
      <c r="B365" s="548"/>
      <c r="C365" s="548"/>
    </row>
    <row r="366" spans="1:3" s="275" customFormat="1">
      <c r="A366" s="548"/>
      <c r="B366" s="548"/>
      <c r="C366" s="548"/>
    </row>
    <row r="367" spans="1:3" s="275" customFormat="1">
      <c r="A367" s="548"/>
      <c r="B367" s="548"/>
      <c r="C367" s="548"/>
    </row>
    <row r="368" spans="1:3" s="275" customFormat="1">
      <c r="A368" s="548"/>
      <c r="B368" s="548"/>
      <c r="C368" s="548"/>
    </row>
    <row r="369" spans="1:3" s="275" customFormat="1">
      <c r="A369" s="548"/>
      <c r="B369" s="548"/>
      <c r="C369" s="548"/>
    </row>
    <row r="370" spans="1:3" s="275" customFormat="1">
      <c r="A370" s="548"/>
      <c r="B370" s="548"/>
      <c r="C370" s="548"/>
    </row>
    <row r="371" spans="1:3" s="275" customFormat="1">
      <c r="A371" s="548"/>
      <c r="B371" s="548"/>
      <c r="C371" s="548"/>
    </row>
    <row r="372" spans="1:3" s="275" customFormat="1">
      <c r="A372" s="548"/>
      <c r="B372" s="548"/>
      <c r="C372" s="548"/>
    </row>
    <row r="373" spans="1:3" s="275" customFormat="1">
      <c r="A373" s="548"/>
      <c r="B373" s="548"/>
      <c r="C373" s="548"/>
    </row>
    <row r="374" spans="1:3" s="275" customFormat="1">
      <c r="A374" s="548"/>
      <c r="B374" s="548"/>
      <c r="C374" s="548"/>
    </row>
    <row r="375" spans="1:3" s="275" customFormat="1">
      <c r="A375" s="548"/>
      <c r="B375" s="548"/>
      <c r="C375" s="548"/>
    </row>
    <row r="376" spans="1:3" s="275" customFormat="1">
      <c r="A376" s="548"/>
      <c r="B376" s="548"/>
      <c r="C376" s="548"/>
    </row>
    <row r="377" spans="1:3" s="275" customFormat="1">
      <c r="A377" s="548"/>
      <c r="B377" s="548"/>
      <c r="C377" s="548"/>
    </row>
    <row r="378" spans="1:3" s="275" customFormat="1">
      <c r="A378" s="548"/>
      <c r="B378" s="548"/>
      <c r="C378" s="548"/>
    </row>
    <row r="379" spans="1:3" s="275" customFormat="1">
      <c r="A379" s="548"/>
      <c r="B379" s="548"/>
      <c r="C379" s="548"/>
    </row>
    <row r="380" spans="1:3" s="275" customFormat="1">
      <c r="A380" s="548"/>
      <c r="B380" s="548"/>
      <c r="C380" s="548"/>
    </row>
    <row r="381" spans="1:3" s="275" customFormat="1">
      <c r="A381" s="548"/>
      <c r="B381" s="548"/>
      <c r="C381" s="548"/>
    </row>
    <row r="382" spans="1:3" s="275" customFormat="1">
      <c r="A382" s="548"/>
      <c r="B382" s="548"/>
      <c r="C382" s="548"/>
    </row>
    <row r="383" spans="1:3" s="275" customFormat="1">
      <c r="A383" s="548"/>
      <c r="B383" s="548"/>
      <c r="C383" s="548"/>
    </row>
    <row r="384" spans="1:3" s="275" customFormat="1">
      <c r="A384" s="548"/>
      <c r="B384" s="548"/>
      <c r="C384" s="548"/>
    </row>
    <row r="385" spans="1:3" s="275" customFormat="1">
      <c r="A385" s="548"/>
      <c r="B385" s="548"/>
      <c r="C385" s="548"/>
    </row>
    <row r="386" spans="1:3" s="275" customFormat="1">
      <c r="A386" s="548"/>
      <c r="B386" s="548"/>
      <c r="C386" s="548"/>
    </row>
    <row r="387" spans="1:3" s="275" customFormat="1">
      <c r="A387" s="548"/>
      <c r="B387" s="548"/>
      <c r="C387" s="548"/>
    </row>
    <row r="388" spans="1:3" s="275" customFormat="1">
      <c r="A388" s="548"/>
      <c r="B388" s="548"/>
      <c r="C388" s="548"/>
    </row>
    <row r="389" spans="1:3" s="275" customFormat="1">
      <c r="A389" s="548"/>
      <c r="B389" s="548"/>
      <c r="C389" s="548"/>
    </row>
    <row r="390" spans="1:3" s="275" customFormat="1">
      <c r="A390" s="548"/>
      <c r="B390" s="548"/>
      <c r="C390" s="548"/>
    </row>
    <row r="391" spans="1:3" s="275" customFormat="1">
      <c r="A391" s="548"/>
      <c r="B391" s="548"/>
      <c r="C391" s="548"/>
    </row>
    <row r="392" spans="1:3" s="275" customFormat="1">
      <c r="A392" s="548"/>
      <c r="B392" s="548"/>
      <c r="C392" s="548"/>
    </row>
    <row r="393" spans="1:3" s="275" customFormat="1">
      <c r="A393" s="548"/>
      <c r="B393" s="548"/>
      <c r="C393" s="548"/>
    </row>
    <row r="394" spans="1:3" s="275" customFormat="1">
      <c r="A394" s="548"/>
      <c r="B394" s="548"/>
      <c r="C394" s="548"/>
    </row>
    <row r="395" spans="1:3" s="275" customFormat="1">
      <c r="A395" s="548"/>
      <c r="B395" s="548"/>
      <c r="C395" s="548"/>
    </row>
    <row r="396" spans="1:3" s="275" customFormat="1">
      <c r="A396" s="548"/>
      <c r="B396" s="548"/>
      <c r="C396" s="548"/>
    </row>
    <row r="397" spans="1:3" s="275" customFormat="1">
      <c r="A397" s="548"/>
      <c r="B397" s="548"/>
      <c r="C397" s="548"/>
    </row>
    <row r="398" spans="1:3" s="275" customFormat="1">
      <c r="A398" s="548"/>
      <c r="B398" s="548"/>
      <c r="C398" s="548"/>
    </row>
    <row r="399" spans="1:3" s="275" customFormat="1">
      <c r="A399" s="548"/>
      <c r="B399" s="548"/>
      <c r="C399" s="548"/>
    </row>
    <row r="400" spans="1:3" s="275" customFormat="1">
      <c r="A400" s="548"/>
      <c r="B400" s="548"/>
      <c r="C400" s="548"/>
    </row>
    <row r="401" spans="1:3" s="275" customFormat="1">
      <c r="A401" s="548"/>
      <c r="B401" s="548"/>
      <c r="C401" s="548"/>
    </row>
    <row r="402" spans="1:3" s="275" customFormat="1">
      <c r="A402" s="548"/>
      <c r="B402" s="548"/>
      <c r="C402" s="548"/>
    </row>
    <row r="403" spans="1:3" s="275" customFormat="1">
      <c r="A403" s="548"/>
      <c r="B403" s="548"/>
      <c r="C403" s="548"/>
    </row>
    <row r="404" spans="1:3" s="275" customFormat="1">
      <c r="A404" s="548"/>
      <c r="B404" s="548"/>
      <c r="C404" s="548"/>
    </row>
    <row r="405" spans="1:3" s="275" customFormat="1">
      <c r="A405" s="548"/>
      <c r="B405" s="548"/>
      <c r="C405" s="548"/>
    </row>
    <row r="406" spans="1:3" s="275" customFormat="1">
      <c r="A406" s="548"/>
      <c r="B406" s="548"/>
      <c r="C406" s="548"/>
    </row>
    <row r="407" spans="1:3" s="275" customFormat="1">
      <c r="A407" s="548"/>
      <c r="B407" s="548"/>
      <c r="C407" s="548"/>
    </row>
    <row r="408" spans="1:3" s="275" customFormat="1">
      <c r="A408" s="548"/>
      <c r="B408" s="548"/>
      <c r="C408" s="548"/>
    </row>
    <row r="409" spans="1:3" s="275" customFormat="1">
      <c r="A409" s="548"/>
      <c r="B409" s="548"/>
      <c r="C409" s="548"/>
    </row>
    <row r="410" spans="1:3" s="275" customFormat="1">
      <c r="A410" s="548"/>
      <c r="B410" s="548"/>
      <c r="C410" s="548"/>
    </row>
    <row r="411" spans="1:3" s="275" customFormat="1">
      <c r="A411" s="548"/>
      <c r="B411" s="548"/>
      <c r="C411" s="548"/>
    </row>
    <row r="412" spans="1:3" s="275" customFormat="1">
      <c r="A412" s="548"/>
      <c r="B412" s="548"/>
      <c r="C412" s="548"/>
    </row>
    <row r="413" spans="1:3" s="275" customFormat="1">
      <c r="A413" s="548"/>
      <c r="B413" s="548"/>
      <c r="C413" s="548"/>
    </row>
    <row r="414" spans="1:3" s="275" customFormat="1">
      <c r="A414" s="548"/>
      <c r="B414" s="548"/>
      <c r="C414" s="548"/>
    </row>
    <row r="415" spans="1:3" s="275" customFormat="1">
      <c r="A415" s="548"/>
      <c r="B415" s="548"/>
      <c r="C415" s="548"/>
    </row>
    <row r="416" spans="1:3" s="275" customFormat="1">
      <c r="A416" s="548"/>
      <c r="B416" s="548"/>
      <c r="C416" s="548"/>
    </row>
    <row r="417" spans="1:3" s="275" customFormat="1">
      <c r="A417" s="548"/>
      <c r="B417" s="548"/>
      <c r="C417" s="548"/>
    </row>
    <row r="418" spans="1:3" s="275" customFormat="1">
      <c r="A418" s="548"/>
      <c r="B418" s="548"/>
      <c r="C418" s="548"/>
    </row>
    <row r="419" spans="1:3" s="275" customFormat="1">
      <c r="A419" s="548"/>
      <c r="B419" s="548"/>
      <c r="C419" s="548"/>
    </row>
    <row r="420" spans="1:3" s="275" customFormat="1">
      <c r="A420" s="548"/>
      <c r="B420" s="548"/>
      <c r="C420" s="548"/>
    </row>
    <row r="421" spans="1:3" s="275" customFormat="1">
      <c r="A421" s="548"/>
      <c r="B421" s="548"/>
      <c r="C421" s="548"/>
    </row>
    <row r="422" spans="1:3" s="275" customFormat="1">
      <c r="A422" s="548"/>
      <c r="B422" s="548"/>
      <c r="C422" s="548"/>
    </row>
    <row r="423" spans="1:3" s="275" customFormat="1">
      <c r="A423" s="548"/>
      <c r="B423" s="548"/>
      <c r="C423" s="548"/>
    </row>
    <row r="424" spans="1:3" s="275" customFormat="1">
      <c r="A424" s="548"/>
      <c r="B424" s="548"/>
      <c r="C424" s="548"/>
    </row>
    <row r="425" spans="1:3" s="275" customFormat="1">
      <c r="A425" s="548"/>
      <c r="B425" s="548"/>
      <c r="C425" s="548"/>
    </row>
    <row r="426" spans="1:3" s="275" customFormat="1">
      <c r="A426" s="548"/>
      <c r="B426" s="548"/>
      <c r="C426" s="548"/>
    </row>
    <row r="427" spans="1:3" s="275" customFormat="1">
      <c r="A427" s="548"/>
      <c r="B427" s="548"/>
      <c r="C427" s="548"/>
    </row>
    <row r="428" spans="1:3" s="275" customFormat="1">
      <c r="A428" s="548"/>
      <c r="B428" s="548"/>
      <c r="C428" s="548"/>
    </row>
    <row r="429" spans="1:3" s="275" customFormat="1">
      <c r="A429" s="548"/>
      <c r="B429" s="548"/>
      <c r="C429" s="548"/>
    </row>
    <row r="430" spans="1:3" s="275" customFormat="1">
      <c r="A430" s="548"/>
      <c r="B430" s="548"/>
      <c r="C430" s="548"/>
    </row>
    <row r="431" spans="1:3" s="275" customFormat="1">
      <c r="A431" s="548"/>
      <c r="B431" s="548"/>
      <c r="C431" s="548"/>
    </row>
    <row r="432" spans="1:3" s="275" customFormat="1">
      <c r="A432" s="548"/>
      <c r="B432" s="548"/>
      <c r="C432" s="548"/>
    </row>
    <row r="433" spans="1:3" s="275" customFormat="1">
      <c r="A433" s="548"/>
      <c r="B433" s="548"/>
      <c r="C433" s="548"/>
    </row>
    <row r="434" spans="1:3" s="275" customFormat="1">
      <c r="A434" s="548"/>
      <c r="B434" s="548"/>
      <c r="C434" s="548"/>
    </row>
    <row r="435" spans="1:3" s="275" customFormat="1">
      <c r="A435" s="548"/>
      <c r="B435" s="548"/>
      <c r="C435" s="548"/>
    </row>
    <row r="436" spans="1:3" s="275" customFormat="1">
      <c r="A436" s="548"/>
      <c r="B436" s="548"/>
      <c r="C436" s="548"/>
    </row>
    <row r="437" spans="1:3" s="275" customFormat="1">
      <c r="A437" s="548"/>
      <c r="B437" s="548"/>
      <c r="C437" s="548"/>
    </row>
    <row r="438" spans="1:3" s="275" customFormat="1">
      <c r="A438" s="548"/>
      <c r="B438" s="548"/>
      <c r="C438" s="548"/>
    </row>
    <row r="439" spans="1:3" s="275" customFormat="1">
      <c r="A439" s="548"/>
      <c r="B439" s="548"/>
      <c r="C439" s="548"/>
    </row>
    <row r="440" spans="1:3" s="275" customFormat="1">
      <c r="A440" s="548"/>
      <c r="B440" s="548"/>
      <c r="C440" s="548"/>
    </row>
    <row r="441" spans="1:3" s="275" customFormat="1">
      <c r="A441" s="548"/>
      <c r="B441" s="548"/>
      <c r="C441" s="548"/>
    </row>
    <row r="442" spans="1:3" s="275" customFormat="1">
      <c r="A442" s="548"/>
      <c r="B442" s="548"/>
      <c r="C442" s="548"/>
    </row>
    <row r="443" spans="1:3" s="275" customFormat="1">
      <c r="A443" s="548"/>
      <c r="B443" s="548"/>
      <c r="C443" s="548"/>
    </row>
    <row r="444" spans="1:3" s="275" customFormat="1">
      <c r="A444" s="548"/>
      <c r="B444" s="548"/>
      <c r="C444" s="548"/>
    </row>
    <row r="445" spans="1:3" s="275" customFormat="1">
      <c r="A445" s="548"/>
      <c r="B445" s="548"/>
      <c r="C445" s="548"/>
    </row>
    <row r="446" spans="1:3" s="275" customFormat="1">
      <c r="A446" s="548"/>
      <c r="B446" s="548"/>
      <c r="C446" s="548"/>
    </row>
    <row r="447" spans="1:3" s="275" customFormat="1">
      <c r="A447" s="548"/>
      <c r="B447" s="548"/>
      <c r="C447" s="548"/>
    </row>
    <row r="448" spans="1:3" s="275" customFormat="1">
      <c r="A448" s="548"/>
      <c r="B448" s="548"/>
      <c r="C448" s="548"/>
    </row>
    <row r="449" spans="1:3" s="275" customFormat="1">
      <c r="A449" s="548"/>
      <c r="B449" s="548"/>
      <c r="C449" s="548"/>
    </row>
    <row r="450" spans="1:3" s="275" customFormat="1">
      <c r="A450" s="548"/>
      <c r="B450" s="548"/>
      <c r="C450" s="548"/>
    </row>
    <row r="451" spans="1:3" s="275" customFormat="1">
      <c r="A451" s="548"/>
      <c r="B451" s="548"/>
      <c r="C451" s="548"/>
    </row>
    <row r="452" spans="1:3" s="275" customFormat="1">
      <c r="A452" s="548"/>
      <c r="B452" s="548"/>
      <c r="C452" s="548"/>
    </row>
    <row r="453" spans="1:3" s="275" customFormat="1">
      <c r="A453" s="548"/>
      <c r="B453" s="548"/>
      <c r="C453" s="548"/>
    </row>
    <row r="454" spans="1:3" s="275" customFormat="1">
      <c r="A454" s="548"/>
      <c r="B454" s="548"/>
      <c r="C454" s="548"/>
    </row>
    <row r="455" spans="1:3" s="275" customFormat="1">
      <c r="A455" s="548"/>
      <c r="B455" s="548"/>
      <c r="C455" s="548"/>
    </row>
    <row r="456" spans="1:3" s="275" customFormat="1">
      <c r="A456" s="548"/>
      <c r="B456" s="548"/>
      <c r="C456" s="548"/>
    </row>
    <row r="457" spans="1:3" s="275" customFormat="1">
      <c r="A457" s="548"/>
      <c r="B457" s="548"/>
      <c r="C457" s="548"/>
    </row>
    <row r="458" spans="1:3" s="275" customFormat="1">
      <c r="A458" s="548"/>
      <c r="B458" s="548"/>
      <c r="C458" s="548"/>
    </row>
    <row r="459" spans="1:3" s="275" customFormat="1">
      <c r="A459" s="548"/>
      <c r="B459" s="548"/>
      <c r="C459" s="548"/>
    </row>
    <row r="460" spans="1:3" s="275" customFormat="1">
      <c r="A460" s="548"/>
      <c r="B460" s="548"/>
      <c r="C460" s="548"/>
    </row>
    <row r="461" spans="1:3" s="275" customFormat="1">
      <c r="A461" s="548"/>
      <c r="B461" s="548"/>
      <c r="C461" s="548"/>
    </row>
    <row r="462" spans="1:3" s="275" customFormat="1">
      <c r="A462" s="548"/>
      <c r="B462" s="548"/>
      <c r="C462" s="548"/>
    </row>
    <row r="463" spans="1:3" s="275" customFormat="1">
      <c r="A463" s="548"/>
      <c r="B463" s="548"/>
      <c r="C463" s="548"/>
    </row>
    <row r="464" spans="1:3" s="275" customFormat="1">
      <c r="A464" s="548"/>
      <c r="B464" s="548"/>
      <c r="C464" s="548"/>
    </row>
    <row r="465" spans="1:3" s="275" customFormat="1">
      <c r="A465" s="548"/>
      <c r="B465" s="548"/>
      <c r="C465" s="548"/>
    </row>
    <row r="466" spans="1:3" s="275" customFormat="1">
      <c r="A466" s="548"/>
      <c r="B466" s="548"/>
      <c r="C466" s="548"/>
    </row>
    <row r="467" spans="1:3" s="275" customFormat="1">
      <c r="A467" s="548"/>
      <c r="B467" s="548"/>
      <c r="C467" s="548"/>
    </row>
    <row r="468" spans="1:3" s="275" customFormat="1">
      <c r="A468" s="548"/>
      <c r="B468" s="548"/>
      <c r="C468" s="548"/>
    </row>
    <row r="469" spans="1:3" s="275" customFormat="1">
      <c r="A469" s="548"/>
      <c r="B469" s="548"/>
      <c r="C469" s="548"/>
    </row>
    <row r="470" spans="1:3" s="275" customFormat="1">
      <c r="A470" s="548"/>
      <c r="B470" s="548"/>
      <c r="C470" s="548"/>
    </row>
    <row r="471" spans="1:3" s="275" customFormat="1">
      <c r="A471" s="548"/>
      <c r="B471" s="548"/>
      <c r="C471" s="548"/>
    </row>
    <row r="472" spans="1:3" s="275" customFormat="1">
      <c r="A472" s="548"/>
      <c r="B472" s="548"/>
      <c r="C472" s="548"/>
    </row>
    <row r="473" spans="1:3" s="275" customFormat="1">
      <c r="A473" s="548"/>
      <c r="B473" s="548"/>
      <c r="C473" s="548"/>
    </row>
    <row r="474" spans="1:3" s="275" customFormat="1">
      <c r="A474" s="548"/>
      <c r="B474" s="548"/>
      <c r="C474" s="548"/>
    </row>
    <row r="475" spans="1:3" s="275" customFormat="1">
      <c r="A475" s="548"/>
      <c r="B475" s="548"/>
      <c r="C475" s="548"/>
    </row>
    <row r="476" spans="1:3" s="275" customFormat="1">
      <c r="A476" s="548"/>
      <c r="B476" s="548"/>
      <c r="C476" s="548"/>
    </row>
    <row r="477" spans="1:3" s="275" customFormat="1">
      <c r="A477" s="548"/>
      <c r="B477" s="548"/>
      <c r="C477" s="548"/>
    </row>
    <row r="478" spans="1:3" s="275" customFormat="1">
      <c r="A478" s="548"/>
      <c r="B478" s="548"/>
      <c r="C478" s="548"/>
    </row>
    <row r="479" spans="1:3" s="275" customFormat="1">
      <c r="A479" s="548"/>
      <c r="B479" s="548"/>
      <c r="C479" s="548"/>
    </row>
    <row r="480" spans="1:3" s="275" customFormat="1">
      <c r="A480" s="548"/>
      <c r="B480" s="548"/>
      <c r="C480" s="548"/>
    </row>
    <row r="481" spans="1:3" s="275" customFormat="1">
      <c r="A481" s="548"/>
      <c r="B481" s="548"/>
      <c r="C481" s="548"/>
    </row>
    <row r="482" spans="1:3" s="275" customFormat="1">
      <c r="A482" s="548"/>
      <c r="B482" s="548"/>
      <c r="C482" s="548"/>
    </row>
    <row r="483" spans="1:3" s="275" customFormat="1">
      <c r="A483" s="548"/>
      <c r="B483" s="548"/>
      <c r="C483" s="548"/>
    </row>
    <row r="484" spans="1:3" s="275" customFormat="1">
      <c r="A484" s="548"/>
      <c r="B484" s="548"/>
      <c r="C484" s="548"/>
    </row>
    <row r="485" spans="1:3" s="275" customFormat="1">
      <c r="A485" s="548"/>
      <c r="B485" s="548"/>
      <c r="C485" s="548"/>
    </row>
    <row r="486" spans="1:3" s="275" customFormat="1">
      <c r="A486" s="548"/>
      <c r="B486" s="548"/>
      <c r="C486" s="548"/>
    </row>
    <row r="487" spans="1:3" s="275" customFormat="1">
      <c r="A487" s="548"/>
      <c r="B487" s="548"/>
      <c r="C487" s="548"/>
    </row>
    <row r="488" spans="1:3" s="275" customFormat="1">
      <c r="A488" s="548"/>
      <c r="B488" s="548"/>
      <c r="C488" s="548"/>
    </row>
    <row r="489" spans="1:3" s="275" customFormat="1">
      <c r="A489" s="548"/>
      <c r="B489" s="548"/>
      <c r="C489" s="548"/>
    </row>
    <row r="490" spans="1:3" s="275" customFormat="1">
      <c r="A490" s="548"/>
      <c r="B490" s="548"/>
      <c r="C490" s="548"/>
    </row>
    <row r="491" spans="1:3" s="275" customFormat="1">
      <c r="A491" s="548"/>
      <c r="B491" s="548"/>
      <c r="C491" s="548"/>
    </row>
    <row r="492" spans="1:3" s="275" customFormat="1">
      <c r="A492" s="548"/>
      <c r="B492" s="548"/>
      <c r="C492" s="548"/>
    </row>
    <row r="493" spans="1:3" s="275" customFormat="1">
      <c r="A493" s="548"/>
      <c r="B493" s="548"/>
      <c r="C493" s="548"/>
    </row>
    <row r="494" spans="1:3" s="275" customFormat="1">
      <c r="A494" s="548"/>
      <c r="B494" s="548"/>
      <c r="C494" s="548"/>
    </row>
    <row r="495" spans="1:3" s="275" customFormat="1">
      <c r="A495" s="548"/>
      <c r="B495" s="548"/>
      <c r="C495" s="548"/>
    </row>
    <row r="496" spans="1:3" s="275" customFormat="1">
      <c r="A496" s="548"/>
      <c r="B496" s="548"/>
      <c r="C496" s="548"/>
    </row>
    <row r="497" spans="1:3" s="275" customFormat="1">
      <c r="A497" s="548"/>
      <c r="B497" s="548"/>
      <c r="C497" s="548"/>
    </row>
    <row r="498" spans="1:3" s="275" customFormat="1">
      <c r="A498" s="548"/>
      <c r="B498" s="548"/>
      <c r="C498" s="548"/>
    </row>
    <row r="499" spans="1:3" s="275" customFormat="1">
      <c r="A499" s="548"/>
      <c r="B499" s="548"/>
      <c r="C499" s="548"/>
    </row>
    <row r="500" spans="1:3" s="275" customFormat="1">
      <c r="A500" s="548"/>
      <c r="B500" s="548"/>
      <c r="C500" s="548"/>
    </row>
    <row r="501" spans="1:3" s="275" customFormat="1">
      <c r="A501" s="548"/>
      <c r="B501" s="548"/>
      <c r="C501" s="548"/>
    </row>
    <row r="502" spans="1:3" s="275" customFormat="1">
      <c r="A502" s="548"/>
      <c r="B502" s="548"/>
      <c r="C502" s="548"/>
    </row>
    <row r="503" spans="1:3" s="275" customFormat="1">
      <c r="A503" s="548"/>
      <c r="B503" s="548"/>
      <c r="C503" s="548"/>
    </row>
    <row r="504" spans="1:3" s="275" customFormat="1">
      <c r="A504" s="548"/>
      <c r="B504" s="548"/>
      <c r="C504" s="548"/>
    </row>
    <row r="505" spans="1:3" s="275" customFormat="1">
      <c r="A505" s="548"/>
      <c r="B505" s="548"/>
      <c r="C505" s="548"/>
    </row>
    <row r="506" spans="1:3" s="275" customFormat="1">
      <c r="A506" s="548"/>
      <c r="B506" s="548"/>
      <c r="C506" s="548"/>
    </row>
    <row r="507" spans="1:3" s="275" customFormat="1">
      <c r="A507" s="548"/>
      <c r="B507" s="548"/>
      <c r="C507" s="548"/>
    </row>
    <row r="508" spans="1:3" s="275" customFormat="1">
      <c r="A508" s="548"/>
      <c r="B508" s="548"/>
      <c r="C508" s="548"/>
    </row>
    <row r="509" spans="1:3" s="275" customFormat="1">
      <c r="A509" s="548"/>
      <c r="B509" s="548"/>
      <c r="C509" s="548"/>
    </row>
    <row r="510" spans="1:3" s="275" customFormat="1">
      <c r="A510" s="548"/>
      <c r="B510" s="548"/>
      <c r="C510" s="548"/>
    </row>
    <row r="511" spans="1:3" s="275" customFormat="1">
      <c r="A511" s="548"/>
      <c r="B511" s="548"/>
      <c r="C511" s="548"/>
    </row>
    <row r="512" spans="1:3" s="275" customFormat="1">
      <c r="A512" s="548"/>
      <c r="B512" s="548"/>
      <c r="C512" s="548"/>
    </row>
    <row r="513" spans="1:3" s="275" customFormat="1">
      <c r="A513" s="548"/>
      <c r="B513" s="548"/>
      <c r="C513" s="548"/>
    </row>
    <row r="514" spans="1:3" s="275" customFormat="1">
      <c r="A514" s="548"/>
      <c r="B514" s="548"/>
      <c r="C514" s="548"/>
    </row>
    <row r="515" spans="1:3" s="275" customFormat="1">
      <c r="A515" s="548"/>
      <c r="B515" s="548"/>
      <c r="C515" s="548"/>
    </row>
    <row r="516" spans="1:3" s="275" customFormat="1">
      <c r="A516" s="548"/>
      <c r="B516" s="548"/>
      <c r="C516" s="548"/>
    </row>
    <row r="517" spans="1:3" s="275" customFormat="1">
      <c r="A517" s="548"/>
      <c r="B517" s="548"/>
      <c r="C517" s="548"/>
    </row>
    <row r="518" spans="1:3" s="275" customFormat="1">
      <c r="A518" s="548"/>
      <c r="B518" s="548"/>
      <c r="C518" s="548"/>
    </row>
    <row r="519" spans="1:3" s="275" customFormat="1">
      <c r="A519" s="548"/>
      <c r="B519" s="548"/>
      <c r="C519" s="548"/>
    </row>
    <row r="520" spans="1:3" s="275" customFormat="1">
      <c r="A520" s="548"/>
      <c r="B520" s="548"/>
      <c r="C520" s="548"/>
    </row>
    <row r="521" spans="1:3" s="275" customFormat="1">
      <c r="A521" s="548"/>
      <c r="B521" s="548"/>
      <c r="C521" s="548"/>
    </row>
    <row r="522" spans="1:3" s="275" customFormat="1">
      <c r="A522" s="548"/>
      <c r="B522" s="548"/>
      <c r="C522" s="548"/>
    </row>
    <row r="523" spans="1:3" s="275" customFormat="1">
      <c r="A523" s="548"/>
      <c r="B523" s="548"/>
      <c r="C523" s="548"/>
    </row>
    <row r="524" spans="1:3" s="275" customFormat="1">
      <c r="A524" s="548"/>
      <c r="B524" s="548"/>
      <c r="C524" s="548"/>
    </row>
    <row r="525" spans="1:3" s="275" customFormat="1">
      <c r="A525" s="548"/>
      <c r="B525" s="548"/>
      <c r="C525" s="548"/>
    </row>
    <row r="526" spans="1:3" s="275" customFormat="1">
      <c r="A526" s="548"/>
      <c r="B526" s="548"/>
      <c r="C526" s="548"/>
    </row>
    <row r="527" spans="1:3" s="275" customFormat="1">
      <c r="A527" s="548"/>
      <c r="B527" s="548"/>
      <c r="C527" s="548"/>
    </row>
    <row r="528" spans="1:3" s="275" customFormat="1">
      <c r="A528" s="548"/>
      <c r="B528" s="548"/>
      <c r="C528" s="548"/>
    </row>
    <row r="529" spans="1:3" s="275" customFormat="1">
      <c r="A529" s="548"/>
      <c r="B529" s="548"/>
      <c r="C529" s="548"/>
    </row>
    <row r="530" spans="1:3" s="275" customFormat="1">
      <c r="A530" s="548"/>
      <c r="B530" s="548"/>
      <c r="C530" s="548"/>
    </row>
    <row r="531" spans="1:3" s="275" customFormat="1">
      <c r="A531" s="548"/>
      <c r="B531" s="548"/>
      <c r="C531" s="548"/>
    </row>
    <row r="532" spans="1:3" s="275" customFormat="1">
      <c r="A532" s="548"/>
      <c r="B532" s="548"/>
      <c r="C532" s="548"/>
    </row>
    <row r="533" spans="1:3" s="275" customFormat="1">
      <c r="A533" s="548"/>
      <c r="B533" s="548"/>
      <c r="C533" s="548"/>
    </row>
    <row r="534" spans="1:3" s="275" customFormat="1">
      <c r="A534" s="548"/>
      <c r="B534" s="548"/>
      <c r="C534" s="548"/>
    </row>
    <row r="535" spans="1:3" s="275" customFormat="1">
      <c r="A535" s="548"/>
      <c r="B535" s="548"/>
      <c r="C535" s="548"/>
    </row>
    <row r="536" spans="1:3" s="275" customFormat="1">
      <c r="A536" s="548"/>
      <c r="B536" s="548"/>
      <c r="C536" s="548"/>
    </row>
    <row r="537" spans="1:3" s="275" customFormat="1">
      <c r="A537" s="548"/>
      <c r="B537" s="548"/>
      <c r="C537" s="548"/>
    </row>
    <row r="538" spans="1:3" s="275" customFormat="1">
      <c r="A538" s="548"/>
      <c r="B538" s="548"/>
      <c r="C538" s="548"/>
    </row>
    <row r="539" spans="1:3" s="275" customFormat="1">
      <c r="A539" s="548"/>
      <c r="B539" s="548"/>
      <c r="C539" s="548"/>
    </row>
    <row r="540" spans="1:3" s="275" customFormat="1">
      <c r="A540" s="548"/>
      <c r="B540" s="548"/>
      <c r="C540" s="548"/>
    </row>
    <row r="541" spans="1:3" s="275" customFormat="1">
      <c r="A541" s="548"/>
      <c r="B541" s="548"/>
      <c r="C541" s="548"/>
    </row>
    <row r="542" spans="1:3" s="275" customFormat="1">
      <c r="A542" s="548"/>
      <c r="B542" s="548"/>
      <c r="C542" s="548"/>
    </row>
    <row r="543" spans="1:3" s="275" customFormat="1">
      <c r="A543" s="548"/>
      <c r="B543" s="548"/>
      <c r="C543" s="548"/>
    </row>
    <row r="544" spans="1:3" s="275" customFormat="1">
      <c r="A544" s="548"/>
      <c r="B544" s="548"/>
      <c r="C544" s="548"/>
    </row>
    <row r="545" spans="1:3" s="275" customFormat="1">
      <c r="A545" s="548"/>
      <c r="B545" s="548"/>
      <c r="C545" s="548"/>
    </row>
    <row r="546" spans="1:3" s="275" customFormat="1">
      <c r="A546" s="548"/>
      <c r="B546" s="548"/>
      <c r="C546" s="548"/>
    </row>
    <row r="547" spans="1:3" s="275" customFormat="1">
      <c r="A547" s="548"/>
      <c r="B547" s="548"/>
      <c r="C547" s="548"/>
    </row>
    <row r="548" spans="1:3" s="275" customFormat="1">
      <c r="A548" s="548"/>
      <c r="B548" s="548"/>
      <c r="C548" s="548"/>
    </row>
    <row r="549" spans="1:3" s="275" customFormat="1">
      <c r="A549" s="548"/>
      <c r="B549" s="548"/>
      <c r="C549" s="548"/>
    </row>
    <row r="550" spans="1:3" s="275" customFormat="1">
      <c r="A550" s="548"/>
      <c r="B550" s="548"/>
      <c r="C550" s="548"/>
    </row>
    <row r="551" spans="1:3" s="275" customFormat="1">
      <c r="A551" s="548"/>
      <c r="B551" s="548"/>
      <c r="C551" s="548"/>
    </row>
    <row r="552" spans="1:3" s="275" customFormat="1">
      <c r="A552" s="548"/>
      <c r="B552" s="548"/>
      <c r="C552" s="548"/>
    </row>
    <row r="553" spans="1:3" s="275" customFormat="1">
      <c r="A553" s="548"/>
      <c r="B553" s="548"/>
      <c r="C553" s="548"/>
    </row>
    <row r="554" spans="1:3" s="275" customFormat="1">
      <c r="A554" s="548"/>
      <c r="B554" s="548"/>
      <c r="C554" s="548"/>
    </row>
    <row r="555" spans="1:3" s="275" customFormat="1">
      <c r="A555" s="548"/>
      <c r="B555" s="548"/>
      <c r="C555" s="548"/>
    </row>
    <row r="556" spans="1:3" s="275" customFormat="1">
      <c r="A556" s="548"/>
      <c r="B556" s="548"/>
      <c r="C556" s="548"/>
    </row>
    <row r="557" spans="1:3" s="275" customFormat="1">
      <c r="A557" s="548"/>
      <c r="B557" s="548"/>
      <c r="C557" s="548"/>
    </row>
    <row r="558" spans="1:3" s="275" customFormat="1">
      <c r="A558" s="548"/>
      <c r="B558" s="548"/>
      <c r="C558" s="548"/>
    </row>
    <row r="559" spans="1:3" s="275" customFormat="1">
      <c r="A559" s="548"/>
      <c r="B559" s="548"/>
      <c r="C559" s="548"/>
    </row>
    <row r="560" spans="1:3" s="275" customFormat="1">
      <c r="A560" s="548"/>
      <c r="B560" s="548"/>
      <c r="C560" s="548"/>
    </row>
    <row r="561" spans="1:3" s="275" customFormat="1">
      <c r="A561" s="548"/>
      <c r="B561" s="548"/>
      <c r="C561" s="548"/>
    </row>
    <row r="562" spans="1:3" s="275" customFormat="1">
      <c r="A562" s="548"/>
      <c r="B562" s="548"/>
      <c r="C562" s="548"/>
    </row>
    <row r="563" spans="1:3" s="275" customFormat="1">
      <c r="A563" s="548"/>
      <c r="B563" s="548"/>
      <c r="C563" s="548"/>
    </row>
    <row r="564" spans="1:3" s="275" customFormat="1">
      <c r="A564" s="548"/>
      <c r="B564" s="548"/>
      <c r="C564" s="548"/>
    </row>
    <row r="565" spans="1:3" s="275" customFormat="1">
      <c r="A565" s="548"/>
      <c r="B565" s="548"/>
      <c r="C565" s="548"/>
    </row>
    <row r="566" spans="1:3" s="275" customFormat="1">
      <c r="A566" s="548"/>
      <c r="B566" s="548"/>
      <c r="C566" s="548"/>
    </row>
    <row r="567" spans="1:3" s="275" customFormat="1">
      <c r="A567" s="548"/>
      <c r="B567" s="548"/>
      <c r="C567" s="548"/>
    </row>
    <row r="568" spans="1:3" s="275" customFormat="1">
      <c r="A568" s="548"/>
      <c r="B568" s="548"/>
      <c r="C568" s="548"/>
    </row>
    <row r="569" spans="1:3" s="275" customFormat="1">
      <c r="A569" s="548"/>
      <c r="B569" s="548"/>
      <c r="C569" s="548"/>
    </row>
    <row r="570" spans="1:3" s="275" customFormat="1">
      <c r="A570" s="548"/>
      <c r="B570" s="548"/>
      <c r="C570" s="548"/>
    </row>
    <row r="571" spans="1:3" s="275" customFormat="1">
      <c r="A571" s="548"/>
      <c r="B571" s="548"/>
      <c r="C571" s="548"/>
    </row>
    <row r="572" spans="1:3" s="275" customFormat="1">
      <c r="A572" s="548"/>
      <c r="B572" s="548"/>
      <c r="C572" s="548"/>
    </row>
    <row r="573" spans="1:3" s="275" customFormat="1">
      <c r="A573" s="548"/>
      <c r="B573" s="548"/>
      <c r="C573" s="548"/>
    </row>
    <row r="574" spans="1:3" s="275" customFormat="1">
      <c r="A574" s="548"/>
      <c r="B574" s="548"/>
      <c r="C574" s="548"/>
    </row>
    <row r="575" spans="1:3" s="275" customFormat="1">
      <c r="A575" s="548"/>
      <c r="B575" s="548"/>
      <c r="C575" s="548"/>
    </row>
    <row r="576" spans="1:3" s="275" customFormat="1">
      <c r="A576" s="548"/>
      <c r="B576" s="548"/>
      <c r="C576" s="548"/>
    </row>
    <row r="577" spans="1:3" s="275" customFormat="1">
      <c r="A577" s="548"/>
      <c r="B577" s="548"/>
      <c r="C577" s="548"/>
    </row>
    <row r="578" spans="1:3" s="275" customFormat="1">
      <c r="A578" s="548"/>
      <c r="B578" s="548"/>
      <c r="C578" s="548"/>
    </row>
    <row r="579" spans="1:3" s="275" customFormat="1">
      <c r="A579" s="548"/>
      <c r="B579" s="548"/>
      <c r="C579" s="548"/>
    </row>
    <row r="580" spans="1:3" s="275" customFormat="1">
      <c r="A580" s="548"/>
      <c r="B580" s="548"/>
      <c r="C580" s="548"/>
    </row>
    <row r="581" spans="1:3" s="275" customFormat="1">
      <c r="A581" s="548"/>
      <c r="B581" s="548"/>
      <c r="C581" s="548"/>
    </row>
    <row r="582" spans="1:3" s="275" customFormat="1">
      <c r="A582" s="548"/>
      <c r="B582" s="548"/>
      <c r="C582" s="548"/>
    </row>
    <row r="583" spans="1:3" s="275" customFormat="1">
      <c r="A583" s="548"/>
      <c r="B583" s="548"/>
      <c r="C583" s="548"/>
    </row>
    <row r="584" spans="1:3" s="275" customFormat="1">
      <c r="A584" s="548"/>
      <c r="B584" s="548"/>
      <c r="C584" s="548"/>
    </row>
    <row r="585" spans="1:3" s="275" customFormat="1">
      <c r="A585" s="548"/>
      <c r="B585" s="548"/>
      <c r="C585" s="548"/>
    </row>
    <row r="586" spans="1:3" s="275" customFormat="1">
      <c r="A586" s="548"/>
      <c r="B586" s="548"/>
      <c r="C586" s="548"/>
    </row>
    <row r="587" spans="1:3" s="275" customFormat="1">
      <c r="A587" s="548"/>
      <c r="B587" s="548"/>
      <c r="C587" s="548"/>
    </row>
    <row r="588" spans="1:3" s="275" customFormat="1">
      <c r="A588" s="548"/>
      <c r="B588" s="548"/>
      <c r="C588" s="548"/>
    </row>
    <row r="589" spans="1:3" s="275" customFormat="1">
      <c r="A589" s="548"/>
      <c r="B589" s="548"/>
      <c r="C589" s="548"/>
    </row>
    <row r="590" spans="1:3" s="275" customFormat="1">
      <c r="A590" s="548"/>
      <c r="B590" s="548"/>
      <c r="C590" s="548"/>
    </row>
    <row r="591" spans="1:3" s="275" customFormat="1">
      <c r="A591" s="548"/>
      <c r="B591" s="548"/>
      <c r="C591" s="548"/>
    </row>
    <row r="592" spans="1:3" s="275" customFormat="1">
      <c r="A592" s="548"/>
      <c r="B592" s="548"/>
      <c r="C592" s="548"/>
    </row>
    <row r="593" spans="1:3" s="275" customFormat="1">
      <c r="A593" s="548"/>
      <c r="B593" s="548"/>
      <c r="C593" s="548"/>
    </row>
    <row r="594" spans="1:3" s="275" customFormat="1">
      <c r="A594" s="548"/>
      <c r="B594" s="548"/>
      <c r="C594" s="548"/>
    </row>
    <row r="595" spans="1:3" s="275" customFormat="1">
      <c r="A595" s="548"/>
      <c r="B595" s="548"/>
      <c r="C595" s="548"/>
    </row>
    <row r="596" spans="1:3" s="275" customFormat="1">
      <c r="A596" s="548"/>
      <c r="B596" s="548"/>
      <c r="C596" s="548"/>
    </row>
    <row r="597" spans="1:3" s="275" customFormat="1">
      <c r="A597" s="548"/>
      <c r="B597" s="548"/>
      <c r="C597" s="548"/>
    </row>
    <row r="598" spans="1:3" s="275" customFormat="1">
      <c r="A598" s="548"/>
      <c r="B598" s="548"/>
      <c r="C598" s="548"/>
    </row>
    <row r="599" spans="1:3" s="275" customFormat="1">
      <c r="A599" s="548"/>
      <c r="B599" s="548"/>
      <c r="C599" s="548"/>
    </row>
    <row r="600" spans="1:3" s="275" customFormat="1">
      <c r="A600" s="548"/>
      <c r="B600" s="548"/>
      <c r="C600" s="548"/>
    </row>
    <row r="601" spans="1:3" s="275" customFormat="1">
      <c r="A601" s="548"/>
      <c r="B601" s="548"/>
      <c r="C601" s="548"/>
    </row>
    <row r="602" spans="1:3" s="275" customFormat="1">
      <c r="A602" s="548"/>
      <c r="B602" s="548"/>
      <c r="C602" s="548"/>
    </row>
    <row r="603" spans="1:3" s="275" customFormat="1">
      <c r="A603" s="548"/>
      <c r="B603" s="548"/>
      <c r="C603" s="548"/>
    </row>
    <row r="604" spans="1:3" s="275" customFormat="1">
      <c r="A604" s="548"/>
      <c r="B604" s="548"/>
      <c r="C604" s="548"/>
    </row>
    <row r="605" spans="1:3" s="275" customFormat="1">
      <c r="A605" s="548"/>
      <c r="B605" s="548"/>
      <c r="C605" s="548"/>
    </row>
    <row r="606" spans="1:3" s="275" customFormat="1">
      <c r="A606" s="548"/>
      <c r="B606" s="548"/>
      <c r="C606" s="548"/>
    </row>
    <row r="607" spans="1:3" s="275" customFormat="1">
      <c r="A607" s="548"/>
      <c r="B607" s="548"/>
      <c r="C607" s="548"/>
    </row>
    <row r="608" spans="1:3" s="275" customFormat="1">
      <c r="A608" s="548"/>
      <c r="B608" s="548"/>
      <c r="C608" s="548"/>
    </row>
    <row r="609" spans="1:3" s="275" customFormat="1">
      <c r="A609" s="548"/>
      <c r="B609" s="548"/>
      <c r="C609" s="548"/>
    </row>
    <row r="610" spans="1:3" s="275" customFormat="1">
      <c r="A610" s="548"/>
      <c r="B610" s="548"/>
      <c r="C610" s="548"/>
    </row>
    <row r="611" spans="1:3" s="275" customFormat="1">
      <c r="A611" s="548"/>
      <c r="B611" s="548"/>
      <c r="C611" s="548"/>
    </row>
    <row r="612" spans="1:3" s="275" customFormat="1">
      <c r="A612" s="548"/>
      <c r="B612" s="548"/>
      <c r="C612" s="548"/>
    </row>
    <row r="613" spans="1:3" s="275" customFormat="1">
      <c r="A613" s="548"/>
      <c r="B613" s="548"/>
      <c r="C613" s="548"/>
    </row>
    <row r="614" spans="1:3" s="275" customFormat="1">
      <c r="A614" s="548"/>
      <c r="B614" s="548"/>
      <c r="C614" s="548"/>
    </row>
    <row r="615" spans="1:3" s="275" customFormat="1">
      <c r="A615" s="548"/>
      <c r="B615" s="548"/>
      <c r="C615" s="548"/>
    </row>
    <row r="616" spans="1:3" s="275" customFormat="1">
      <c r="A616" s="548"/>
      <c r="B616" s="548"/>
      <c r="C616" s="548"/>
    </row>
    <row r="617" spans="1:3" s="275" customFormat="1">
      <c r="A617" s="548"/>
      <c r="B617" s="548"/>
      <c r="C617" s="548"/>
    </row>
    <row r="618" spans="1:3" s="275" customFormat="1">
      <c r="A618" s="548"/>
      <c r="B618" s="548"/>
      <c r="C618" s="548"/>
    </row>
    <row r="619" spans="1:3" s="275" customFormat="1">
      <c r="A619" s="548"/>
      <c r="B619" s="548"/>
      <c r="C619" s="548"/>
    </row>
    <row r="620" spans="1:3" s="275" customFormat="1">
      <c r="A620" s="548"/>
      <c r="B620" s="548"/>
      <c r="C620" s="548"/>
    </row>
    <row r="621" spans="1:3" s="275" customFormat="1">
      <c r="A621" s="548"/>
      <c r="B621" s="548"/>
      <c r="C621" s="548"/>
    </row>
    <row r="622" spans="1:3" s="275" customFormat="1">
      <c r="A622" s="548"/>
      <c r="B622" s="548"/>
      <c r="C622" s="548"/>
    </row>
    <row r="623" spans="1:3" s="275" customFormat="1">
      <c r="A623" s="548"/>
      <c r="B623" s="548"/>
      <c r="C623" s="548"/>
    </row>
    <row r="624" spans="1:3" s="275" customFormat="1">
      <c r="A624" s="548"/>
      <c r="B624" s="548"/>
      <c r="C624" s="548"/>
    </row>
    <row r="625" spans="1:3" s="275" customFormat="1">
      <c r="A625" s="548"/>
      <c r="B625" s="548"/>
      <c r="C625" s="548"/>
    </row>
    <row r="626" spans="1:3" s="275" customFormat="1">
      <c r="A626" s="548"/>
      <c r="B626" s="548"/>
      <c r="C626" s="548"/>
    </row>
    <row r="627" spans="1:3" s="275" customFormat="1">
      <c r="A627" s="548"/>
      <c r="B627" s="548"/>
      <c r="C627" s="548"/>
    </row>
    <row r="628" spans="1:3" s="275" customFormat="1">
      <c r="A628" s="548"/>
      <c r="B628" s="548"/>
      <c r="C628" s="548"/>
    </row>
    <row r="629" spans="1:3" s="275" customFormat="1">
      <c r="A629" s="548"/>
      <c r="B629" s="548"/>
      <c r="C629" s="548"/>
    </row>
    <row r="630" spans="1:3" s="275" customFormat="1">
      <c r="A630" s="548"/>
      <c r="B630" s="548"/>
      <c r="C630" s="548"/>
    </row>
    <row r="631" spans="1:3" s="275" customFormat="1">
      <c r="A631" s="548"/>
      <c r="B631" s="548"/>
      <c r="C631" s="548"/>
    </row>
    <row r="632" spans="1:3" s="275" customFormat="1">
      <c r="A632" s="548"/>
      <c r="B632" s="548"/>
      <c r="C632" s="548"/>
    </row>
    <row r="633" spans="1:3" s="275" customFormat="1">
      <c r="A633" s="548"/>
      <c r="B633" s="548"/>
      <c r="C633" s="548"/>
    </row>
    <row r="634" spans="1:3" s="275" customFormat="1">
      <c r="A634" s="548"/>
      <c r="B634" s="548"/>
      <c r="C634" s="548"/>
    </row>
    <row r="635" spans="1:3" s="275" customFormat="1">
      <c r="A635" s="548"/>
      <c r="B635" s="548"/>
      <c r="C635" s="548"/>
    </row>
    <row r="636" spans="1:3" s="275" customFormat="1">
      <c r="A636" s="548"/>
      <c r="B636" s="548"/>
      <c r="C636" s="548"/>
    </row>
    <row r="637" spans="1:3" s="275" customFormat="1">
      <c r="A637" s="548"/>
      <c r="B637" s="548"/>
      <c r="C637" s="548"/>
    </row>
    <row r="638" spans="1:3" s="275" customFormat="1">
      <c r="A638" s="548"/>
      <c r="B638" s="548"/>
      <c r="C638" s="548"/>
    </row>
    <row r="639" spans="1:3" s="275" customFormat="1">
      <c r="A639" s="548"/>
      <c r="B639" s="548"/>
      <c r="C639" s="548"/>
    </row>
    <row r="640" spans="1:3" s="275" customFormat="1">
      <c r="A640" s="548"/>
      <c r="B640" s="548"/>
      <c r="C640" s="548"/>
    </row>
    <row r="641" spans="1:3" s="275" customFormat="1">
      <c r="A641" s="548"/>
      <c r="B641" s="548"/>
      <c r="C641" s="548"/>
    </row>
    <row r="642" spans="1:3" s="275" customFormat="1">
      <c r="A642" s="548"/>
      <c r="B642" s="548"/>
      <c r="C642" s="548"/>
    </row>
    <row r="643" spans="1:3" s="275" customFormat="1">
      <c r="A643" s="548"/>
      <c r="B643" s="548"/>
      <c r="C643" s="548"/>
    </row>
    <row r="644" spans="1:3" s="275" customFormat="1">
      <c r="A644" s="548"/>
      <c r="B644" s="548"/>
      <c r="C644" s="548"/>
    </row>
    <row r="645" spans="1:3" s="275" customFormat="1">
      <c r="A645" s="548"/>
      <c r="B645" s="548"/>
      <c r="C645" s="548"/>
    </row>
    <row r="646" spans="1:3" s="275" customFormat="1">
      <c r="A646" s="548"/>
      <c r="B646" s="548"/>
      <c r="C646" s="548"/>
    </row>
    <row r="647" spans="1:3" s="275" customFormat="1">
      <c r="A647" s="548"/>
      <c r="B647" s="548"/>
      <c r="C647" s="548"/>
    </row>
    <row r="648" spans="1:3" s="275" customFormat="1">
      <c r="A648" s="548"/>
      <c r="B648" s="548"/>
      <c r="C648" s="548"/>
    </row>
    <row r="649" spans="1:3" s="275" customFormat="1">
      <c r="A649" s="548"/>
      <c r="B649" s="548"/>
      <c r="C649" s="548"/>
    </row>
    <row r="650" spans="1:3" s="275" customFormat="1">
      <c r="A650" s="548"/>
      <c r="B650" s="548"/>
      <c r="C650" s="548"/>
    </row>
    <row r="651" spans="1:3" s="275" customFormat="1">
      <c r="A651" s="548"/>
      <c r="B651" s="548"/>
      <c r="C651" s="548"/>
    </row>
    <row r="652" spans="1:3" s="275" customFormat="1">
      <c r="A652" s="548"/>
      <c r="B652" s="548"/>
      <c r="C652" s="548"/>
    </row>
    <row r="653" spans="1:3" s="275" customFormat="1">
      <c r="A653" s="548"/>
      <c r="B653" s="548"/>
      <c r="C653" s="548"/>
    </row>
    <row r="654" spans="1:3" s="275" customFormat="1">
      <c r="A654" s="548"/>
      <c r="B654" s="548"/>
      <c r="C654" s="548"/>
    </row>
    <row r="655" spans="1:3" s="275" customFormat="1">
      <c r="A655" s="548"/>
      <c r="B655" s="548"/>
      <c r="C655" s="548"/>
    </row>
    <row r="656" spans="1:3" s="275" customFormat="1">
      <c r="A656" s="548"/>
      <c r="B656" s="548"/>
      <c r="C656" s="548"/>
    </row>
    <row r="657" spans="1:3" s="275" customFormat="1">
      <c r="A657" s="548"/>
      <c r="B657" s="548"/>
      <c r="C657" s="548"/>
    </row>
    <row r="658" spans="1:3" s="275" customFormat="1">
      <c r="A658" s="548"/>
      <c r="B658" s="548"/>
      <c r="C658" s="548"/>
    </row>
    <row r="659" spans="1:3" s="275" customFormat="1">
      <c r="A659" s="548"/>
      <c r="B659" s="548"/>
      <c r="C659" s="548"/>
    </row>
    <row r="660" spans="1:3" s="275" customFormat="1">
      <c r="A660" s="548"/>
      <c r="B660" s="548"/>
      <c r="C660" s="548"/>
    </row>
    <row r="661" spans="1:3" s="275" customFormat="1">
      <c r="A661" s="548"/>
      <c r="B661" s="548"/>
      <c r="C661" s="548"/>
    </row>
    <row r="662" spans="1:3" s="275" customFormat="1">
      <c r="A662" s="548"/>
      <c r="B662" s="548"/>
      <c r="C662" s="548"/>
    </row>
    <row r="663" spans="1:3" s="275" customFormat="1">
      <c r="A663" s="548"/>
      <c r="B663" s="548"/>
      <c r="C663" s="548"/>
    </row>
    <row r="664" spans="1:3" s="275" customFormat="1">
      <c r="A664" s="548"/>
      <c r="B664" s="548"/>
      <c r="C664" s="548"/>
    </row>
    <row r="665" spans="1:3" s="275" customFormat="1">
      <c r="A665" s="548"/>
      <c r="B665" s="548"/>
      <c r="C665" s="548"/>
    </row>
    <row r="666" spans="1:3" s="275" customFormat="1">
      <c r="A666" s="548"/>
      <c r="B666" s="548"/>
      <c r="C666" s="548"/>
    </row>
    <row r="667" spans="1:3" s="275" customFormat="1">
      <c r="A667" s="548"/>
      <c r="B667" s="548"/>
      <c r="C667" s="548"/>
    </row>
    <row r="668" spans="1:3" s="275" customFormat="1">
      <c r="A668" s="548"/>
      <c r="B668" s="548"/>
      <c r="C668" s="548"/>
    </row>
    <row r="669" spans="1:3" s="275" customFormat="1">
      <c r="A669" s="548"/>
      <c r="B669" s="548"/>
      <c r="C669" s="548"/>
    </row>
    <row r="670" spans="1:3" s="275" customFormat="1">
      <c r="A670" s="548"/>
      <c r="B670" s="548"/>
      <c r="C670" s="548"/>
    </row>
    <row r="671" spans="1:3" s="275" customFormat="1">
      <c r="A671" s="548"/>
      <c r="B671" s="548"/>
      <c r="C671" s="548"/>
    </row>
    <row r="672" spans="1:3" s="275" customFormat="1">
      <c r="A672" s="548"/>
      <c r="B672" s="548"/>
      <c r="C672" s="548"/>
    </row>
    <row r="673" spans="1:3" s="275" customFormat="1">
      <c r="A673" s="548"/>
      <c r="B673" s="548"/>
      <c r="C673" s="548"/>
    </row>
    <row r="674" spans="1:3" s="275" customFormat="1">
      <c r="A674" s="548"/>
      <c r="B674" s="548"/>
      <c r="C674" s="548"/>
    </row>
    <row r="675" spans="1:3" s="275" customFormat="1">
      <c r="A675" s="548"/>
      <c r="B675" s="548"/>
      <c r="C675" s="548"/>
    </row>
    <row r="676" spans="1:3" s="275" customFormat="1">
      <c r="A676" s="548"/>
      <c r="B676" s="548"/>
      <c r="C676" s="548"/>
    </row>
    <row r="677" spans="1:3" s="275" customFormat="1">
      <c r="A677" s="548"/>
      <c r="B677" s="548"/>
      <c r="C677" s="548"/>
    </row>
    <row r="678" spans="1:3" s="275" customFormat="1">
      <c r="A678" s="548"/>
      <c r="B678" s="548"/>
      <c r="C678" s="548"/>
    </row>
    <row r="679" spans="1:3" s="275" customFormat="1">
      <c r="A679" s="548"/>
      <c r="B679" s="548"/>
      <c r="C679" s="548"/>
    </row>
    <row r="680" spans="1:3" s="275" customFormat="1">
      <c r="A680" s="548"/>
      <c r="B680" s="548"/>
      <c r="C680" s="548"/>
    </row>
    <row r="681" spans="1:3" s="275" customFormat="1">
      <c r="A681" s="548"/>
      <c r="B681" s="548"/>
      <c r="C681" s="548"/>
    </row>
    <row r="682" spans="1:3" s="275" customFormat="1">
      <c r="A682" s="548"/>
      <c r="B682" s="548"/>
      <c r="C682" s="548"/>
    </row>
    <row r="683" spans="1:3" s="275" customFormat="1">
      <c r="A683" s="548"/>
      <c r="B683" s="548"/>
      <c r="C683" s="548"/>
    </row>
    <row r="684" spans="1:3" s="275" customFormat="1">
      <c r="A684" s="548"/>
      <c r="B684" s="548"/>
      <c r="C684" s="548"/>
    </row>
    <row r="685" spans="1:3" s="275" customFormat="1">
      <c r="A685" s="548"/>
      <c r="B685" s="548"/>
      <c r="C685" s="548"/>
    </row>
    <row r="686" spans="1:3" s="275" customFormat="1">
      <c r="A686" s="548"/>
      <c r="B686" s="548"/>
      <c r="C686" s="548"/>
    </row>
    <row r="687" spans="1:3" s="275" customFormat="1">
      <c r="A687" s="548"/>
      <c r="B687" s="548"/>
      <c r="C687" s="548"/>
    </row>
    <row r="688" spans="1:3" s="275" customFormat="1">
      <c r="A688" s="548"/>
      <c r="B688" s="548"/>
      <c r="C688" s="548"/>
    </row>
    <row r="689" spans="1:3" s="275" customFormat="1">
      <c r="A689" s="548"/>
      <c r="B689" s="548"/>
      <c r="C689" s="548"/>
    </row>
    <row r="690" spans="1:3" s="275" customFormat="1">
      <c r="A690" s="548"/>
      <c r="B690" s="548"/>
      <c r="C690" s="548"/>
    </row>
    <row r="691" spans="1:3" s="275" customFormat="1">
      <c r="A691" s="548"/>
      <c r="B691" s="548"/>
      <c r="C691" s="548"/>
    </row>
    <row r="692" spans="1:3" s="275" customFormat="1">
      <c r="A692" s="548"/>
      <c r="B692" s="548"/>
      <c r="C692" s="548"/>
    </row>
    <row r="693" spans="1:3" s="275" customFormat="1">
      <c r="A693" s="548"/>
      <c r="B693" s="548"/>
      <c r="C693" s="548"/>
    </row>
    <row r="694" spans="1:3" s="275" customFormat="1">
      <c r="A694" s="548"/>
      <c r="B694" s="548"/>
      <c r="C694" s="548"/>
    </row>
    <row r="695" spans="1:3" s="275" customFormat="1">
      <c r="A695" s="548"/>
      <c r="B695" s="548"/>
      <c r="C695" s="548"/>
    </row>
    <row r="696" spans="1:3" s="275" customFormat="1">
      <c r="A696" s="548"/>
      <c r="B696" s="548"/>
      <c r="C696" s="548"/>
    </row>
    <row r="697" spans="1:3" s="275" customFormat="1">
      <c r="A697" s="548"/>
      <c r="B697" s="548"/>
      <c r="C697" s="548"/>
    </row>
    <row r="698" spans="1:3" s="275" customFormat="1">
      <c r="A698" s="548"/>
      <c r="B698" s="548"/>
      <c r="C698" s="548"/>
    </row>
    <row r="699" spans="1:3" s="275" customFormat="1">
      <c r="A699" s="548"/>
      <c r="B699" s="548"/>
      <c r="C699" s="548"/>
    </row>
    <row r="700" spans="1:3" s="275" customFormat="1">
      <c r="A700" s="548"/>
      <c r="B700" s="548"/>
      <c r="C700" s="548"/>
    </row>
    <row r="701" spans="1:3" s="275" customFormat="1">
      <c r="A701" s="548"/>
      <c r="B701" s="548"/>
      <c r="C701" s="548"/>
    </row>
    <row r="702" spans="1:3" s="275" customFormat="1">
      <c r="A702" s="548"/>
      <c r="B702" s="548"/>
      <c r="C702" s="548"/>
    </row>
    <row r="703" spans="1:3" s="275" customFormat="1">
      <c r="A703" s="548"/>
      <c r="B703" s="548"/>
      <c r="C703" s="548"/>
    </row>
    <row r="704" spans="1:3" s="275" customFormat="1">
      <c r="A704" s="548"/>
      <c r="B704" s="548"/>
      <c r="C704" s="548"/>
    </row>
    <row r="705" spans="1:3" s="275" customFormat="1">
      <c r="A705" s="548"/>
      <c r="B705" s="548"/>
      <c r="C705" s="548"/>
    </row>
    <row r="706" spans="1:3" s="275" customFormat="1">
      <c r="A706" s="548"/>
      <c r="B706" s="548"/>
      <c r="C706" s="548"/>
    </row>
    <row r="707" spans="1:3" s="275" customFormat="1">
      <c r="A707" s="548"/>
      <c r="B707" s="548"/>
      <c r="C707" s="548"/>
    </row>
    <row r="708" spans="1:3" s="275" customFormat="1">
      <c r="A708" s="548"/>
      <c r="B708" s="548"/>
      <c r="C708" s="548"/>
    </row>
    <row r="709" spans="1:3" s="275" customFormat="1">
      <c r="A709" s="548"/>
      <c r="B709" s="548"/>
      <c r="C709" s="548"/>
    </row>
    <row r="710" spans="1:3" s="275" customFormat="1">
      <c r="A710" s="548"/>
      <c r="B710" s="548"/>
      <c r="C710" s="548"/>
    </row>
    <row r="711" spans="1:3" s="275" customFormat="1">
      <c r="A711" s="548"/>
      <c r="B711" s="548"/>
      <c r="C711" s="548"/>
    </row>
    <row r="712" spans="1:3" s="275" customFormat="1">
      <c r="A712" s="548"/>
      <c r="B712" s="548"/>
      <c r="C712" s="548"/>
    </row>
    <row r="713" spans="1:3" s="275" customFormat="1">
      <c r="A713" s="548"/>
      <c r="B713" s="548"/>
      <c r="C713" s="548"/>
    </row>
    <row r="714" spans="1:3" s="275" customFormat="1">
      <c r="A714" s="548"/>
      <c r="B714" s="548"/>
      <c r="C714" s="548"/>
    </row>
    <row r="715" spans="1:3" s="275" customFormat="1">
      <c r="A715" s="548"/>
      <c r="B715" s="548"/>
      <c r="C715" s="548"/>
    </row>
    <row r="716" spans="1:3" s="275" customFormat="1">
      <c r="A716" s="548"/>
      <c r="B716" s="548"/>
      <c r="C716" s="548"/>
    </row>
    <row r="717" spans="1:3" s="275" customFormat="1">
      <c r="A717" s="548"/>
      <c r="B717" s="548"/>
      <c r="C717" s="548"/>
    </row>
    <row r="718" spans="1:3" s="275" customFormat="1">
      <c r="A718" s="548"/>
      <c r="B718" s="548"/>
      <c r="C718" s="548"/>
    </row>
    <row r="719" spans="1:3" s="275" customFormat="1">
      <c r="A719" s="548"/>
      <c r="B719" s="548"/>
      <c r="C719" s="548"/>
    </row>
    <row r="720" spans="1:3" s="275" customFormat="1">
      <c r="A720" s="548"/>
      <c r="B720" s="548"/>
      <c r="C720" s="548"/>
    </row>
    <row r="721" spans="1:3" s="275" customFormat="1">
      <c r="A721" s="548"/>
      <c r="B721" s="548"/>
      <c r="C721" s="548"/>
    </row>
    <row r="722" spans="1:3" s="275" customFormat="1">
      <c r="A722" s="548"/>
      <c r="B722" s="548"/>
      <c r="C722" s="548"/>
    </row>
    <row r="723" spans="1:3" s="275" customFormat="1">
      <c r="A723" s="548"/>
      <c r="B723" s="548"/>
      <c r="C723" s="548"/>
    </row>
    <row r="724" spans="1:3" s="275" customFormat="1">
      <c r="A724" s="548"/>
      <c r="B724" s="548"/>
      <c r="C724" s="548"/>
    </row>
    <row r="725" spans="1:3" s="275" customFormat="1">
      <c r="A725" s="548"/>
      <c r="B725" s="548"/>
      <c r="C725" s="548"/>
    </row>
    <row r="726" spans="1:3" s="275" customFormat="1">
      <c r="A726" s="548"/>
      <c r="B726" s="548"/>
      <c r="C726" s="548"/>
    </row>
    <row r="727" spans="1:3" s="275" customFormat="1">
      <c r="A727" s="548"/>
      <c r="B727" s="548"/>
      <c r="C727" s="548"/>
    </row>
    <row r="728" spans="1:3" s="275" customFormat="1">
      <c r="A728" s="548"/>
      <c r="B728" s="548"/>
      <c r="C728" s="548"/>
    </row>
    <row r="729" spans="1:3" s="275" customFormat="1">
      <c r="A729" s="548"/>
      <c r="B729" s="548"/>
      <c r="C729" s="548"/>
    </row>
    <row r="730" spans="1:3" s="275" customFormat="1">
      <c r="A730" s="548"/>
      <c r="B730" s="548"/>
      <c r="C730" s="548"/>
    </row>
    <row r="731" spans="1:3" s="275" customFormat="1">
      <c r="A731" s="548"/>
      <c r="B731" s="548"/>
      <c r="C731" s="548"/>
    </row>
    <row r="732" spans="1:3" s="275" customFormat="1">
      <c r="A732" s="548"/>
      <c r="B732" s="548"/>
      <c r="C732" s="548"/>
    </row>
    <row r="733" spans="1:3" s="275" customFormat="1">
      <c r="A733" s="548"/>
      <c r="B733" s="548"/>
      <c r="C733" s="548"/>
    </row>
    <row r="734" spans="1:3" s="275" customFormat="1">
      <c r="A734" s="548"/>
      <c r="B734" s="548"/>
      <c r="C734" s="548"/>
    </row>
    <row r="735" spans="1:3" s="275" customFormat="1">
      <c r="A735" s="548"/>
      <c r="B735" s="548"/>
      <c r="C735" s="548"/>
    </row>
    <row r="736" spans="1:3" s="275" customFormat="1">
      <c r="A736" s="548"/>
      <c r="B736" s="548"/>
      <c r="C736" s="548"/>
    </row>
    <row r="737" spans="1:3" s="275" customFormat="1">
      <c r="A737" s="548"/>
      <c r="B737" s="548"/>
      <c r="C737" s="548"/>
    </row>
    <row r="738" spans="1:3" s="275" customFormat="1">
      <c r="A738" s="548"/>
      <c r="B738" s="548"/>
      <c r="C738" s="548"/>
    </row>
    <row r="739" spans="1:3" s="275" customFormat="1">
      <c r="A739" s="548"/>
      <c r="B739" s="548"/>
      <c r="C739" s="548"/>
    </row>
    <row r="740" spans="1:3" s="275" customFormat="1">
      <c r="A740" s="548"/>
      <c r="B740" s="548"/>
      <c r="C740" s="548"/>
    </row>
    <row r="741" spans="1:3" s="275" customFormat="1">
      <c r="A741" s="548"/>
      <c r="B741" s="548"/>
      <c r="C741" s="548"/>
    </row>
    <row r="742" spans="1:3" s="275" customFormat="1">
      <c r="A742" s="548"/>
      <c r="B742" s="548"/>
      <c r="C742" s="548"/>
    </row>
    <row r="743" spans="1:3" s="275" customFormat="1">
      <c r="A743" s="548"/>
      <c r="B743" s="548"/>
      <c r="C743" s="548"/>
    </row>
    <row r="744" spans="1:3" s="275" customFormat="1">
      <c r="A744" s="548"/>
      <c r="B744" s="548"/>
      <c r="C744" s="548"/>
    </row>
    <row r="745" spans="1:3" s="275" customFormat="1">
      <c r="A745" s="548"/>
      <c r="B745" s="548"/>
      <c r="C745" s="548"/>
    </row>
    <row r="746" spans="1:3" s="275" customFormat="1">
      <c r="A746" s="548"/>
      <c r="B746" s="548"/>
      <c r="C746" s="548"/>
    </row>
    <row r="747" spans="1:3" s="275" customFormat="1">
      <c r="A747" s="548"/>
      <c r="B747" s="548"/>
      <c r="C747" s="548"/>
    </row>
    <row r="748" spans="1:3" s="275" customFormat="1">
      <c r="A748" s="548"/>
      <c r="B748" s="548"/>
      <c r="C748" s="548"/>
    </row>
    <row r="749" spans="1:3" s="275" customFormat="1">
      <c r="A749" s="548"/>
      <c r="B749" s="548"/>
      <c r="C749" s="548"/>
    </row>
    <row r="750" spans="1:3" s="275" customFormat="1">
      <c r="A750" s="548"/>
      <c r="B750" s="548"/>
      <c r="C750" s="548"/>
    </row>
    <row r="751" spans="1:3" s="275" customFormat="1">
      <c r="A751" s="548"/>
      <c r="B751" s="548"/>
      <c r="C751" s="548"/>
    </row>
    <row r="752" spans="1:3" s="275" customFormat="1">
      <c r="A752" s="548"/>
      <c r="B752" s="548"/>
      <c r="C752" s="548"/>
    </row>
    <row r="753" spans="1:3" s="275" customFormat="1">
      <c r="A753" s="548"/>
      <c r="B753" s="548"/>
      <c r="C753" s="548"/>
    </row>
    <row r="754" spans="1:3" s="275" customFormat="1">
      <c r="A754" s="548"/>
      <c r="B754" s="548"/>
      <c r="C754" s="548"/>
    </row>
    <row r="755" spans="1:3" s="275" customFormat="1">
      <c r="A755" s="548"/>
      <c r="B755" s="548"/>
      <c r="C755" s="548"/>
    </row>
    <row r="756" spans="1:3" s="275" customFormat="1">
      <c r="A756" s="548"/>
      <c r="B756" s="548"/>
      <c r="C756" s="548"/>
    </row>
    <row r="757" spans="1:3" s="275" customFormat="1">
      <c r="A757" s="548"/>
      <c r="B757" s="548"/>
      <c r="C757" s="548"/>
    </row>
    <row r="758" spans="1:3" s="275" customFormat="1">
      <c r="A758" s="548"/>
      <c r="B758" s="548"/>
      <c r="C758" s="548"/>
    </row>
    <row r="759" spans="1:3" s="275" customFormat="1">
      <c r="A759" s="548"/>
      <c r="B759" s="548"/>
      <c r="C759" s="548"/>
    </row>
    <row r="760" spans="1:3" s="275" customFormat="1">
      <c r="A760" s="548"/>
      <c r="B760" s="548"/>
      <c r="C760" s="548"/>
    </row>
    <row r="761" spans="1:3" s="275" customFormat="1">
      <c r="A761" s="548"/>
      <c r="B761" s="548"/>
      <c r="C761" s="548"/>
    </row>
    <row r="762" spans="1:3" s="275" customFormat="1">
      <c r="A762" s="548"/>
      <c r="B762" s="548"/>
      <c r="C762" s="548"/>
    </row>
    <row r="763" spans="1:3" s="275" customFormat="1">
      <c r="A763" s="548"/>
      <c r="B763" s="548"/>
      <c r="C763" s="548"/>
    </row>
    <row r="764" spans="1:3" s="275" customFormat="1">
      <c r="A764" s="548"/>
      <c r="B764" s="548"/>
      <c r="C764" s="548"/>
    </row>
    <row r="765" spans="1:3" s="275" customFormat="1">
      <c r="A765" s="548"/>
      <c r="B765" s="548"/>
      <c r="C765" s="548"/>
    </row>
    <row r="766" spans="1:3" s="275" customFormat="1">
      <c r="A766" s="548"/>
      <c r="B766" s="548"/>
      <c r="C766" s="548"/>
    </row>
    <row r="767" spans="1:3" s="275" customFormat="1">
      <c r="A767" s="548"/>
      <c r="B767" s="548"/>
      <c r="C767" s="548"/>
    </row>
    <row r="768" spans="1:3" s="275" customFormat="1">
      <c r="A768" s="548"/>
      <c r="B768" s="548"/>
      <c r="C768" s="548"/>
    </row>
    <row r="769" spans="1:23" s="275" customFormat="1">
      <c r="A769" s="548"/>
      <c r="B769" s="548"/>
      <c r="C769" s="548"/>
    </row>
    <row r="770" spans="1:23">
      <c r="G770" s="275"/>
      <c r="H770" s="275"/>
      <c r="I770" s="275"/>
      <c r="J770" s="275"/>
      <c r="K770" s="275"/>
      <c r="L770" s="275"/>
      <c r="M770" s="275"/>
      <c r="N770" s="275"/>
      <c r="O770" s="275"/>
      <c r="P770" s="275"/>
      <c r="Q770" s="275"/>
      <c r="R770" s="275"/>
      <c r="S770" s="275"/>
      <c r="T770" s="275"/>
      <c r="U770" s="275"/>
      <c r="V770" s="275"/>
      <c r="W770" s="275"/>
    </row>
    <row r="771" spans="1:23">
      <c r="G771" s="275"/>
      <c r="H771" s="275"/>
      <c r="I771" s="275"/>
      <c r="J771" s="275"/>
      <c r="K771" s="275"/>
      <c r="L771" s="275"/>
      <c r="M771" s="275"/>
      <c r="N771" s="275"/>
      <c r="O771" s="275"/>
      <c r="P771" s="275"/>
      <c r="Q771" s="275"/>
      <c r="R771" s="275"/>
      <c r="S771" s="275"/>
      <c r="T771" s="275"/>
      <c r="U771" s="275"/>
      <c r="V771" s="275"/>
      <c r="W771" s="275"/>
    </row>
  </sheetData>
  <mergeCells count="4">
    <mergeCell ref="A5:C5"/>
    <mergeCell ref="B8:C8"/>
    <mergeCell ref="Y7:AA7"/>
    <mergeCell ref="Y8:AA8"/>
  </mergeCells>
  <hyperlinks>
    <hyperlink ref="J1" location="Index!A1" display="Return to Index" xr:uid="{00000000-0004-0000-0A00-000000000000}"/>
  </hyperlinks>
  <printOptions horizontalCentered="1"/>
  <pageMargins left="0.25" right="0.25" top="0.5" bottom="0.5" header="0.5" footer="0.5"/>
  <pageSetup scale="78" orientation="landscape" horizontalDpi="1200" verticalDpi="1200" r:id="rId1"/>
  <headerFooter alignWithMargins="0">
    <oddFooter>&amp;L&amp;8Planning &amp; Accountability&amp;R&amp;8&amp;D</oddFooter>
  </headerFooter>
  <rowBreaks count="1" manualBreakCount="1">
    <brk id="26" max="10"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1"/>
  </sheetPr>
  <dimension ref="A1:V772"/>
  <sheetViews>
    <sheetView showGridLines="0" zoomScale="85" zoomScaleNormal="85" workbookViewId="0">
      <pane xSplit="6" ySplit="10" topLeftCell="G16" activePane="bottomRight" state="frozen"/>
      <selection activeCell="B4" sqref="A1:XFD1048576"/>
      <selection pane="topRight" activeCell="B4" sqref="A1:XFD1048576"/>
      <selection pane="bottomLeft" activeCell="B4" sqref="A1:XFD1048576"/>
      <selection pane="bottomRight" activeCell="G13" sqref="G13"/>
    </sheetView>
  </sheetViews>
  <sheetFormatPr defaultColWidth="9.109375" defaultRowHeight="13.2" outlineLevelRow="1"/>
  <cols>
    <col min="1" max="1" width="7.33203125" style="282" customWidth="1"/>
    <col min="2" max="2" width="5" style="282" customWidth="1"/>
    <col min="3" max="3" width="9.44140625" style="282" customWidth="1"/>
    <col min="4" max="4" width="30.6640625" style="277" customWidth="1"/>
    <col min="5" max="6" width="10.33203125" style="277" customWidth="1"/>
    <col min="7" max="9" width="15.5546875" style="599" customWidth="1"/>
    <col min="10" max="10" width="17.33203125" style="599" customWidth="1"/>
    <col min="11" max="11" width="17.88671875" style="599" customWidth="1"/>
    <col min="12" max="14" width="16.44140625" style="599" customWidth="1"/>
    <col min="15" max="15" width="18.5546875" style="599" customWidth="1"/>
    <col min="16" max="16" width="16.109375" style="277" customWidth="1"/>
    <col min="17" max="17" width="14" style="277" customWidth="1"/>
    <col min="18" max="18" width="7.6640625" style="277" customWidth="1"/>
    <col min="19" max="19" width="4" style="277" customWidth="1"/>
    <col min="20" max="20" width="19.44140625" style="277" customWidth="1"/>
    <col min="21" max="21" width="16.5546875" style="277" customWidth="1"/>
    <col min="22" max="22" width="26.88671875" style="277" customWidth="1"/>
    <col min="23" max="16384" width="9.109375" style="277"/>
  </cols>
  <sheetData>
    <row r="1" spans="1:22" ht="13.8" thickBot="1">
      <c r="G1" s="293" t="s">
        <v>315</v>
      </c>
      <c r="H1" s="293"/>
      <c r="I1" s="275"/>
      <c r="J1" s="275"/>
      <c r="K1" s="275"/>
      <c r="L1" s="545" t="s">
        <v>51</v>
      </c>
      <c r="M1" s="275"/>
      <c r="N1" s="275"/>
      <c r="O1" s="275"/>
    </row>
    <row r="2" spans="1:22">
      <c r="G2" s="293" t="s">
        <v>342</v>
      </c>
      <c r="H2" s="293"/>
      <c r="I2" s="275"/>
      <c r="J2" s="275" t="s">
        <v>343</v>
      </c>
      <c r="K2" s="275"/>
      <c r="L2" s="275"/>
      <c r="M2" s="275"/>
      <c r="N2" s="275"/>
      <c r="O2" s="275"/>
    </row>
    <row r="3" spans="1:22">
      <c r="A3" s="546" t="s">
        <v>344</v>
      </c>
      <c r="G3" s="547">
        <v>44995</v>
      </c>
      <c r="H3" s="293"/>
      <c r="I3" s="275"/>
      <c r="J3" s="275"/>
      <c r="K3" s="275"/>
      <c r="L3" s="275"/>
      <c r="M3" s="275"/>
      <c r="N3" s="275"/>
      <c r="O3" s="275"/>
    </row>
    <row r="4" spans="1:22">
      <c r="G4" s="275"/>
      <c r="H4" s="275"/>
      <c r="I4" s="275"/>
      <c r="J4" s="275"/>
      <c r="K4" s="275"/>
      <c r="L4" s="275"/>
      <c r="M4" s="275"/>
      <c r="N4" s="275"/>
      <c r="O4" s="275"/>
    </row>
    <row r="5" spans="1:22">
      <c r="A5" s="1247" t="s">
        <v>345</v>
      </c>
      <c r="B5" s="1248"/>
      <c r="C5" s="1249"/>
      <c r="F5" s="282" t="s">
        <v>318</v>
      </c>
      <c r="G5" s="275"/>
      <c r="H5" s="275"/>
      <c r="I5" s="275"/>
      <c r="J5" s="275"/>
      <c r="K5" s="275"/>
      <c r="L5" s="275"/>
      <c r="M5" s="275"/>
      <c r="N5" s="275"/>
      <c r="O5" s="275"/>
    </row>
    <row r="6" spans="1:22">
      <c r="E6" s="282">
        <v>2022</v>
      </c>
      <c r="F6" s="282" t="s">
        <v>319</v>
      </c>
      <c r="G6" s="275"/>
      <c r="H6" s="275"/>
      <c r="I6" s="275"/>
      <c r="J6" s="275"/>
      <c r="K6" s="275"/>
      <c r="L6" s="275"/>
      <c r="M6" s="275"/>
      <c r="N6" s="275"/>
      <c r="O6" s="275"/>
    </row>
    <row r="7" spans="1:22">
      <c r="F7" s="282" t="s">
        <v>320</v>
      </c>
      <c r="G7" s="275"/>
      <c r="H7" s="275"/>
      <c r="I7" s="275"/>
      <c r="J7" s="275"/>
      <c r="K7" s="275"/>
      <c r="L7" s="275"/>
      <c r="M7" s="275"/>
      <c r="N7" s="275"/>
      <c r="O7" s="275"/>
    </row>
    <row r="8" spans="1:22" s="555" customFormat="1" ht="48.75" customHeight="1" thickBot="1">
      <c r="A8" s="549" t="s">
        <v>227</v>
      </c>
      <c r="B8" s="1250" t="s">
        <v>321</v>
      </c>
      <c r="C8" s="1250"/>
      <c r="D8" s="550" t="s">
        <v>322</v>
      </c>
      <c r="E8" s="550" t="s">
        <v>323</v>
      </c>
      <c r="F8" s="550" t="s">
        <v>99</v>
      </c>
      <c r="G8" s="601" t="s">
        <v>105</v>
      </c>
      <c r="H8" s="601" t="s">
        <v>346</v>
      </c>
      <c r="I8" s="601" t="s">
        <v>347</v>
      </c>
      <c r="J8" s="601" t="s">
        <v>58</v>
      </c>
      <c r="K8" s="601" t="s">
        <v>101</v>
      </c>
      <c r="L8" s="601" t="s">
        <v>274</v>
      </c>
      <c r="M8" s="553" t="s">
        <v>348</v>
      </c>
      <c r="N8" s="553" t="s">
        <v>348</v>
      </c>
      <c r="O8" s="601" t="s">
        <v>324</v>
      </c>
      <c r="P8" s="553" t="s">
        <v>348</v>
      </c>
      <c r="Q8" s="553" t="s">
        <v>326</v>
      </c>
      <c r="R8" s="553"/>
      <c r="S8" s="554"/>
      <c r="T8" s="277"/>
      <c r="U8" s="277"/>
      <c r="V8" s="277"/>
    </row>
    <row r="9" spans="1:22" s="609" customFormat="1" ht="18.75" customHeight="1">
      <c r="A9" s="602" t="s">
        <v>349</v>
      </c>
      <c r="B9" s="603"/>
      <c r="C9" s="603"/>
      <c r="D9" s="604"/>
      <c r="E9" s="603" t="s">
        <v>328</v>
      </c>
      <c r="F9" s="603" t="s">
        <v>329</v>
      </c>
      <c r="G9" s="605" t="s">
        <v>350</v>
      </c>
      <c r="H9" s="606" t="s">
        <v>351</v>
      </c>
      <c r="I9" s="606" t="s">
        <v>352</v>
      </c>
      <c r="J9" s="606" t="s">
        <v>353</v>
      </c>
      <c r="K9" s="606" t="s">
        <v>354</v>
      </c>
      <c r="L9" s="606" t="s">
        <v>355</v>
      </c>
      <c r="M9" s="606" t="s">
        <v>356</v>
      </c>
      <c r="N9" s="606" t="s">
        <v>357</v>
      </c>
      <c r="O9" s="606" t="s">
        <v>358</v>
      </c>
      <c r="P9" s="606" t="s">
        <v>359</v>
      </c>
      <c r="Q9" s="607" t="s">
        <v>360</v>
      </c>
      <c r="R9" s="608"/>
      <c r="T9" s="477"/>
      <c r="U9" s="477"/>
      <c r="V9" s="477"/>
    </row>
    <row r="10" spans="1:22" ht="18" customHeight="1">
      <c r="A10" s="277" t="s">
        <v>361</v>
      </c>
      <c r="D10" s="312"/>
      <c r="E10" s="417" t="s">
        <v>331</v>
      </c>
      <c r="F10" s="282" t="s">
        <v>56</v>
      </c>
      <c r="G10" s="610" t="s">
        <v>362</v>
      </c>
      <c r="H10" s="417" t="s">
        <v>363</v>
      </c>
      <c r="I10" s="417" t="s">
        <v>364</v>
      </c>
      <c r="J10" s="417" t="s">
        <v>365</v>
      </c>
      <c r="K10" s="417" t="s">
        <v>366</v>
      </c>
      <c r="L10" s="417" t="s">
        <v>367</v>
      </c>
      <c r="M10" s="417" t="s">
        <v>368</v>
      </c>
      <c r="N10" s="417" t="s">
        <v>369</v>
      </c>
      <c r="O10" s="417" t="s">
        <v>370</v>
      </c>
      <c r="P10" s="417" t="s">
        <v>371</v>
      </c>
      <c r="Q10" s="418" t="s">
        <v>372</v>
      </c>
      <c r="R10" s="568"/>
      <c r="T10" s="278"/>
      <c r="U10" s="278"/>
      <c r="V10" s="278"/>
    </row>
    <row r="11" spans="1:22" ht="14.25" customHeight="1">
      <c r="A11" s="282">
        <v>390</v>
      </c>
      <c r="C11" s="562"/>
      <c r="D11" s="384" t="s">
        <v>112</v>
      </c>
      <c r="E11" s="563">
        <f t="shared" ref="E11:E23" si="0">$E$6</f>
        <v>2022</v>
      </c>
      <c r="F11" s="562">
        <v>30</v>
      </c>
      <c r="G11" s="630">
        <f>'SWM Sum'!$C$6</f>
        <v>2301.35</v>
      </c>
      <c r="H11" s="631">
        <f>'SWM Sum'!$I$8</f>
        <v>2876.36</v>
      </c>
      <c r="I11" s="565">
        <f>'SWM Sum'!$G$41</f>
        <v>1790857051</v>
      </c>
      <c r="J11" s="565">
        <f>'SWM Sum'!$F$20</f>
        <v>27045240</v>
      </c>
      <c r="K11" s="565">
        <f>'SWM Sum'!$G$11</f>
        <v>260323607</v>
      </c>
      <c r="L11" s="565">
        <f>'SWM Sum'!$F$23</f>
        <v>322461621</v>
      </c>
      <c r="M11" s="632"/>
      <c r="N11" s="632"/>
      <c r="O11" s="565">
        <f>'SWM Sum'!$F$38</f>
        <v>1181026583</v>
      </c>
      <c r="P11" s="632"/>
      <c r="Q11" s="633">
        <f>'SWM Sum'!$G$14</f>
        <v>0</v>
      </c>
      <c r="R11" s="568"/>
      <c r="T11" s="278"/>
      <c r="U11" s="278"/>
      <c r="V11" s="278"/>
    </row>
    <row r="12" spans="1:22" ht="14.25" customHeight="1">
      <c r="A12" s="282">
        <v>400</v>
      </c>
      <c r="C12" s="562"/>
      <c r="D12" s="384" t="s">
        <v>128</v>
      </c>
      <c r="E12" s="563">
        <f t="shared" si="0"/>
        <v>2022</v>
      </c>
      <c r="F12" s="562">
        <v>104952</v>
      </c>
      <c r="G12" s="630">
        <f>'MBG Sum'!$C$6</f>
        <v>3859.84</v>
      </c>
      <c r="H12" s="631">
        <f>'MBG Sum'!$I$8</f>
        <v>1419.99</v>
      </c>
      <c r="I12" s="565">
        <f>'MBG Sum'!$G$41</f>
        <v>947374184</v>
      </c>
      <c r="J12" s="565">
        <f>'MBG Sum'!$F$20</f>
        <v>50392268</v>
      </c>
      <c r="K12" s="565">
        <f>'MBG Sum'!$G$11</f>
        <v>392636564</v>
      </c>
      <c r="L12" s="565">
        <f>'MBG Sum'!$F$23</f>
        <v>179173759</v>
      </c>
      <c r="M12" s="632"/>
      <c r="N12" s="632"/>
      <c r="O12" s="565">
        <f>'MBG Sum'!$F$38</f>
        <v>325171593</v>
      </c>
      <c r="P12" s="632"/>
      <c r="Q12" s="633">
        <f>'MBG Sum'!$G$14</f>
        <v>0</v>
      </c>
      <c r="R12" s="571"/>
      <c r="T12" s="300"/>
      <c r="U12" s="300"/>
      <c r="V12" s="300"/>
    </row>
    <row r="13" spans="1:22">
      <c r="A13" s="282">
        <v>410</v>
      </c>
      <c r="C13" s="562"/>
      <c r="D13" s="384" t="s">
        <v>125</v>
      </c>
      <c r="E13" s="563">
        <f t="shared" si="0"/>
        <v>2022</v>
      </c>
      <c r="F13" s="562">
        <v>11618</v>
      </c>
      <c r="G13" s="630">
        <f>'HSH Sum'!$C$6</f>
        <v>5267.72</v>
      </c>
      <c r="H13" s="631">
        <f>'HSH Sum'!$I$8</f>
        <v>1989.43</v>
      </c>
      <c r="I13" s="565">
        <f>'HSH Sum'!$G$41</f>
        <v>1644167712</v>
      </c>
      <c r="J13" s="565">
        <f>'HSH Sum'!$F$20</f>
        <v>69364466</v>
      </c>
      <c r="K13" s="565">
        <f>'HSH Sum'!$G$11</f>
        <v>260301322</v>
      </c>
      <c r="L13" s="565">
        <f>'HSH Sum'!$F$23</f>
        <v>249224368</v>
      </c>
      <c r="M13" s="632"/>
      <c r="N13" s="632"/>
      <c r="O13" s="565">
        <f>'HSH Sum'!$F$38</f>
        <v>1065277556</v>
      </c>
      <c r="P13" s="632"/>
      <c r="Q13" s="633">
        <f>'HSH Sum'!$G$14</f>
        <v>0</v>
      </c>
      <c r="R13" s="570"/>
      <c r="T13" s="300"/>
      <c r="U13" s="300"/>
      <c r="V13" s="300"/>
    </row>
    <row r="14" spans="1:22">
      <c r="A14" s="282">
        <v>420</v>
      </c>
      <c r="C14" s="562"/>
      <c r="D14" s="384" t="s">
        <v>114</v>
      </c>
      <c r="E14" s="563">
        <f t="shared" si="0"/>
        <v>2022</v>
      </c>
      <c r="F14" s="562">
        <v>40</v>
      </c>
      <c r="G14" s="630">
        <f>'HSSA Sum'!$C$6</f>
        <v>3971.78</v>
      </c>
      <c r="H14" s="631">
        <f>'HSSA Sum'!$I$8</f>
        <v>1604.18</v>
      </c>
      <c r="I14" s="565">
        <f>'HSSA Sum'!$G$41</f>
        <v>882444987</v>
      </c>
      <c r="J14" s="565">
        <f>'HSSA Sum'!$F$20</f>
        <v>52538344</v>
      </c>
      <c r="K14" s="565">
        <f>'HSSA Sum'!$G$11</f>
        <v>202667107</v>
      </c>
      <c r="L14" s="565">
        <f>'HSSA Sum'!$F$23</f>
        <v>207996481</v>
      </c>
      <c r="M14" s="632"/>
      <c r="N14" s="632"/>
      <c r="O14" s="565">
        <f>'HSSA Sum'!$F$38</f>
        <v>419243055</v>
      </c>
      <c r="P14" s="632"/>
      <c r="Q14" s="633">
        <f>'HSSA Sum'!$G$14</f>
        <v>0</v>
      </c>
      <c r="R14" s="569"/>
      <c r="T14" s="300"/>
      <c r="U14" s="300"/>
      <c r="V14" s="300"/>
    </row>
    <row r="15" spans="1:22">
      <c r="A15" s="282">
        <v>430</v>
      </c>
      <c r="C15" s="562"/>
      <c r="D15" s="384" t="s">
        <v>127</v>
      </c>
      <c r="E15" s="563">
        <f t="shared" si="0"/>
        <v>2022</v>
      </c>
      <c r="F15" s="562">
        <v>25554</v>
      </c>
      <c r="G15" s="630">
        <f>'MDA Sum'!$C$6</f>
        <v>382.05</v>
      </c>
      <c r="H15" s="631">
        <f>'MDA Sum'!$I$8</f>
        <v>1879.17</v>
      </c>
      <c r="I15" s="565">
        <f>'MDA Sum'!$G$41</f>
        <v>1542477595</v>
      </c>
      <c r="J15" s="565">
        <f>'MDA Sum'!$F$20</f>
        <v>1833860</v>
      </c>
      <c r="K15" s="565">
        <f>'MDA Sum'!$G$11</f>
        <v>261645065</v>
      </c>
      <c r="L15" s="565">
        <f>'MDA Sum'!$F$23</f>
        <v>306905101</v>
      </c>
      <c r="M15" s="632"/>
      <c r="N15" s="632"/>
      <c r="O15" s="565">
        <f>'MDA Sum'!$F$38</f>
        <v>972093569</v>
      </c>
      <c r="P15" s="632"/>
      <c r="Q15" s="633">
        <f>'MDA Sum'!$G$14</f>
        <v>0</v>
      </c>
      <c r="R15" s="570"/>
      <c r="T15" s="300"/>
      <c r="U15" s="300"/>
      <c r="V15" s="300"/>
    </row>
    <row r="16" spans="1:22">
      <c r="A16" s="282">
        <v>440</v>
      </c>
      <c r="C16" s="562"/>
      <c r="D16" s="384" t="s">
        <v>120</v>
      </c>
      <c r="E16" s="563">
        <f t="shared" si="0"/>
        <v>2022</v>
      </c>
      <c r="F16" s="562">
        <v>42439</v>
      </c>
      <c r="G16" s="630">
        <f>'THC Sum'!$C$6</f>
        <v>80.5</v>
      </c>
      <c r="H16" s="631">
        <f>'THC Sum'!$I$8</f>
        <v>235.1</v>
      </c>
      <c r="I16" s="565">
        <f>'THC Sum'!$G$41</f>
        <v>189284682</v>
      </c>
      <c r="J16" s="565">
        <f>'THC Sum'!$F$20</f>
        <v>645312</v>
      </c>
      <c r="K16" s="565">
        <f>'THC Sum'!$G$11</f>
        <v>61784935</v>
      </c>
      <c r="L16" s="565">
        <f>'THC Sum'!$F$23</f>
        <v>21490496</v>
      </c>
      <c r="M16" s="632"/>
      <c r="N16" s="632"/>
      <c r="O16" s="565">
        <f>'THC Sum'!$F$38</f>
        <v>105363939</v>
      </c>
      <c r="P16" s="632"/>
      <c r="Q16" s="633">
        <f>'THC Sum'!$G$14</f>
        <v>0</v>
      </c>
      <c r="R16" s="570"/>
      <c r="T16" s="300"/>
      <c r="U16" s="300"/>
      <c r="V16" s="300"/>
    </row>
    <row r="17" spans="1:22">
      <c r="A17" s="282">
        <v>450</v>
      </c>
      <c r="C17" s="562"/>
      <c r="D17" s="384" t="s">
        <v>116</v>
      </c>
      <c r="E17" s="563">
        <f t="shared" si="0"/>
        <v>2022</v>
      </c>
      <c r="F17" s="562">
        <v>89</v>
      </c>
      <c r="G17" s="630">
        <f>'TAMHSC Sum'!$C$6</f>
        <v>3607.6499999999996</v>
      </c>
      <c r="H17" s="631">
        <f>'TAMHSC Sum'!$I$8</f>
        <v>602.4</v>
      </c>
      <c r="I17" s="565">
        <f>'TAMHSC Sum'!$G$41</f>
        <v>386947530</v>
      </c>
      <c r="J17" s="565">
        <f>'TAMHSC Sum'!$F$20</f>
        <v>52579324</v>
      </c>
      <c r="K17" s="565">
        <f>'TAMHSC Sum'!$G$11</f>
        <v>183205223</v>
      </c>
      <c r="L17" s="565">
        <f>'TAMHSC Sum'!$F$23</f>
        <v>85141456</v>
      </c>
      <c r="M17" s="632"/>
      <c r="N17" s="632"/>
      <c r="O17" s="565">
        <f>'TAMHSC Sum'!$F$38</f>
        <v>66021527</v>
      </c>
      <c r="P17" s="632"/>
      <c r="Q17" s="633">
        <f>'TAMHSC Sum'!$G$14</f>
        <v>46943006</v>
      </c>
      <c r="R17" s="569"/>
      <c r="T17" s="300"/>
      <c r="U17" s="300"/>
      <c r="V17" s="300"/>
    </row>
    <row r="18" spans="1:22">
      <c r="A18" s="282">
        <v>460</v>
      </c>
      <c r="C18" s="562"/>
      <c r="D18" s="384" t="s">
        <v>118</v>
      </c>
      <c r="E18" s="563">
        <f t="shared" si="0"/>
        <v>2022</v>
      </c>
      <c r="F18" s="562">
        <v>130</v>
      </c>
      <c r="G18" s="630">
        <f>'UNTHS1 Sum'!$C$6</f>
        <v>2988.4</v>
      </c>
      <c r="H18" s="631">
        <f>'UNTHS1 Sum'!$I$8</f>
        <v>309.99</v>
      </c>
      <c r="I18" s="565">
        <f>'UNTHS1 Sum'!$G$41</f>
        <v>284338059</v>
      </c>
      <c r="J18" s="565">
        <f>'UNTHS1 Sum'!$F$20</f>
        <v>34477812</v>
      </c>
      <c r="K18" s="565">
        <f>'UNTHS1 Sum'!$G$11</f>
        <v>114368847</v>
      </c>
      <c r="L18" s="565">
        <f>'UNTHS1 Sum'!$F$23</f>
        <v>55261728</v>
      </c>
      <c r="M18" s="632"/>
      <c r="N18" s="632"/>
      <c r="O18" s="565">
        <f>'UNTHS1 Sum'!$F$38</f>
        <v>80229672</v>
      </c>
      <c r="P18" s="632"/>
      <c r="Q18" s="633">
        <f>'UNTHS1 Sum'!$G$14</f>
        <v>15125502</v>
      </c>
      <c r="R18" s="570"/>
      <c r="T18" s="300"/>
      <c r="U18" s="300"/>
      <c r="V18" s="300"/>
    </row>
    <row r="19" spans="1:22">
      <c r="A19" s="282">
        <v>470</v>
      </c>
      <c r="C19" s="562"/>
      <c r="D19" s="384" t="s">
        <v>123</v>
      </c>
      <c r="E19" s="563">
        <f t="shared" si="0"/>
        <v>2022</v>
      </c>
      <c r="F19" s="562">
        <v>412</v>
      </c>
      <c r="G19" s="630">
        <f>'TTUHSC Sum'!$C$6</f>
        <v>6016.07</v>
      </c>
      <c r="H19" s="631">
        <f>'TTUHSC Sum'!$I$8</f>
        <v>792.83</v>
      </c>
      <c r="I19" s="565">
        <f>'TTUHSC Sum'!$G$41</f>
        <v>557610319</v>
      </c>
      <c r="J19" s="565">
        <f>'TTUHSC Sum'!$F$20</f>
        <v>71519865</v>
      </c>
      <c r="K19" s="565">
        <f>'TTUHSC Sum'!$G$11</f>
        <v>195515892</v>
      </c>
      <c r="L19" s="565">
        <f>'TTUHSC Sum'!$F$23</f>
        <v>34704177</v>
      </c>
      <c r="M19" s="632"/>
      <c r="N19" s="632"/>
      <c r="O19" s="565">
        <f>'TTUHSC Sum'!$F$38</f>
        <v>255870385</v>
      </c>
      <c r="P19" s="632"/>
      <c r="Q19" s="633">
        <f>'TTUHSC Sum'!$G$14</f>
        <v>21652392</v>
      </c>
      <c r="R19" s="569"/>
      <c r="T19" s="300"/>
      <c r="U19" s="300"/>
      <c r="V19" s="300"/>
    </row>
    <row r="20" spans="1:22">
      <c r="A20" s="282">
        <v>480</v>
      </c>
      <c r="C20" s="562"/>
      <c r="D20" s="384" t="s">
        <v>243</v>
      </c>
      <c r="E20" s="563">
        <f t="shared" si="0"/>
        <v>2022</v>
      </c>
      <c r="F20" s="562">
        <v>862</v>
      </c>
      <c r="G20" s="630">
        <f>'TTUHSCEP Sum'!$C$6</f>
        <v>851.1</v>
      </c>
      <c r="H20" s="631">
        <f>'TTUHSCEP Sum'!$I$8</f>
        <v>333.28</v>
      </c>
      <c r="I20" s="565">
        <f>'TTUHSCEP Sum'!$G$41</f>
        <v>237028213</v>
      </c>
      <c r="J20" s="565">
        <f>'TTUHSCEP Sum'!$F$20</f>
        <v>13256992</v>
      </c>
      <c r="K20" s="565">
        <f>'TTUHSCEP Sum'!$G$11</f>
        <v>86757644</v>
      </c>
      <c r="L20" s="565">
        <f>'TTUHSCEP Sum'!$F$23</f>
        <v>4397437</v>
      </c>
      <c r="M20" s="632"/>
      <c r="N20" s="632"/>
      <c r="O20" s="565">
        <f>'TTUHSCEP Sum'!$F$38</f>
        <v>132616140</v>
      </c>
      <c r="P20" s="632"/>
      <c r="Q20" s="633">
        <f>'TTUHSCEP Sum'!$G$14</f>
        <v>5557572</v>
      </c>
      <c r="R20" s="570"/>
      <c r="T20" s="300"/>
      <c r="U20" s="300"/>
      <c r="V20" s="300"/>
    </row>
    <row r="21" spans="1:22">
      <c r="A21" s="282">
        <v>500</v>
      </c>
      <c r="C21" s="562"/>
      <c r="D21" s="384" t="s">
        <v>373</v>
      </c>
      <c r="E21" s="563">
        <f t="shared" si="0"/>
        <v>2022</v>
      </c>
      <c r="F21" s="562">
        <v>203599</v>
      </c>
      <c r="G21" s="630">
        <f>'RGVM Sum'!$C$6</f>
        <v>222</v>
      </c>
      <c r="H21" s="631">
        <f>'RGVM Sum'!$I$8</f>
        <v>156.05000000000001</v>
      </c>
      <c r="I21" s="565">
        <f>'RGVM Sum'!$G$41</f>
        <v>122869992</v>
      </c>
      <c r="J21" s="565">
        <f>'RGVM Sum'!$F$20</f>
        <v>4648799</v>
      </c>
      <c r="K21" s="565">
        <f>'RGVM Sum'!$G$11</f>
        <v>49474555</v>
      </c>
      <c r="L21" s="565">
        <f>'RGVM Sum'!$F$23</f>
        <v>7981482</v>
      </c>
      <c r="M21" s="632"/>
      <c r="N21" s="632"/>
      <c r="O21" s="565">
        <f>'RGVM Sum'!$F$38</f>
        <v>60765156</v>
      </c>
      <c r="P21" s="632"/>
      <c r="Q21" s="633">
        <f>'RGVM Sum'!$G$14</f>
        <v>0</v>
      </c>
      <c r="R21" s="570"/>
      <c r="T21" s="300"/>
      <c r="U21" s="300"/>
      <c r="V21" s="300"/>
    </row>
    <row r="22" spans="1:22">
      <c r="A22" s="282">
        <v>510</v>
      </c>
      <c r="C22" s="562"/>
      <c r="D22" s="384" t="s">
        <v>374</v>
      </c>
      <c r="E22" s="563">
        <f t="shared" si="0"/>
        <v>2022</v>
      </c>
      <c r="F22" s="562">
        <v>203658</v>
      </c>
      <c r="G22" s="630">
        <f>'AUSM Sum'!$C$6</f>
        <v>197</v>
      </c>
      <c r="H22" s="631">
        <f>'AUSM Sum'!$I$8</f>
        <v>290.3</v>
      </c>
      <c r="I22" s="565">
        <f>'AUSM Sum'!$G$41</f>
        <v>200842693</v>
      </c>
      <c r="J22" s="565">
        <f>'AUSM Sum'!$F$20</f>
        <v>3489213</v>
      </c>
      <c r="K22" s="565">
        <f>'AUSM Sum'!$G$11</f>
        <v>21205978</v>
      </c>
      <c r="L22" s="565">
        <f>'AUSM Sum'!$F$23</f>
        <v>12717100</v>
      </c>
      <c r="M22" s="632"/>
      <c r="N22" s="632"/>
      <c r="O22" s="565">
        <f>'AUSM Sum'!$F$38</f>
        <v>163430402</v>
      </c>
      <c r="P22" s="632"/>
      <c r="Q22" s="633">
        <f>'AUSM Sum'!$G$14</f>
        <v>25010190</v>
      </c>
      <c r="R22" s="570"/>
      <c r="T22" s="300"/>
      <c r="U22" s="300"/>
      <c r="V22" s="300"/>
    </row>
    <row r="23" spans="1:22">
      <c r="A23" s="282">
        <v>520</v>
      </c>
      <c r="C23" s="562"/>
      <c r="D23" s="384" t="s">
        <v>31</v>
      </c>
      <c r="E23" s="563">
        <f t="shared" si="0"/>
        <v>2022</v>
      </c>
      <c r="F23" s="562">
        <v>203652</v>
      </c>
      <c r="G23" s="630">
        <f>'UHM Sum'!$C$6</f>
        <v>60</v>
      </c>
      <c r="H23" s="631">
        <f>'UHM Sum'!$I$8</f>
        <v>93.2</v>
      </c>
      <c r="I23" s="565">
        <f>'UHM Sum'!$G$41</f>
        <v>22122730</v>
      </c>
      <c r="J23" s="565">
        <f>'UHM Sum'!$F$20</f>
        <v>1041735</v>
      </c>
      <c r="K23" s="565">
        <f>'UHM Sum'!$G$11</f>
        <v>14940263</v>
      </c>
      <c r="L23" s="565">
        <f>'UHM Sum'!$F$23</f>
        <v>531356</v>
      </c>
      <c r="M23" s="632"/>
      <c r="N23" s="632"/>
      <c r="O23" s="565">
        <f>'UHM Sum'!$F$38</f>
        <v>5609376</v>
      </c>
      <c r="P23" s="632"/>
      <c r="Q23" s="633">
        <f>'UHM Sum'!$G$14</f>
        <v>0</v>
      </c>
      <c r="R23" s="570"/>
      <c r="T23" s="300"/>
      <c r="U23" s="300"/>
      <c r="V23" s="300"/>
    </row>
    <row r="24" spans="1:22">
      <c r="C24" s="562"/>
      <c r="D24" s="384"/>
      <c r="E24" s="563"/>
      <c r="F24" s="562"/>
      <c r="G24" s="630"/>
      <c r="H24" s="631"/>
      <c r="I24" s="565"/>
      <c r="J24" s="565"/>
      <c r="K24" s="565"/>
      <c r="L24" s="565"/>
      <c r="M24" s="632"/>
      <c r="N24" s="632"/>
      <c r="O24" s="565"/>
      <c r="P24" s="632"/>
      <c r="Q24" s="633"/>
      <c r="R24" s="570"/>
      <c r="T24" s="300"/>
      <c r="U24" s="300"/>
      <c r="V24" s="300"/>
    </row>
    <row r="25" spans="1:22" ht="13.8" thickBot="1">
      <c r="A25" s="572"/>
      <c r="B25" s="572"/>
      <c r="C25" s="572">
        <f>COUNTA(D11:D24)</f>
        <v>13</v>
      </c>
      <c r="D25" s="573" t="s">
        <v>129</v>
      </c>
      <c r="E25" s="572">
        <f t="shared" ref="E25" si="1">$E$6</f>
        <v>2022</v>
      </c>
      <c r="F25" s="574">
        <v>445566</v>
      </c>
      <c r="G25" s="634">
        <f>'Smmy Sum'!$C$19</f>
        <v>29805.46</v>
      </c>
      <c r="H25" s="635">
        <f>'Smmy Sum'!$I$21</f>
        <v>12614.230000000001</v>
      </c>
      <c r="I25" s="576">
        <f>'Smmy Sum'!$G$54</f>
        <v>8808365747</v>
      </c>
      <c r="J25" s="576">
        <f>'Smmy Sum'!$F$33</f>
        <v>382833230</v>
      </c>
      <c r="K25" s="576">
        <f>'Smmy Sum'!$G$24</f>
        <v>2104827002</v>
      </c>
      <c r="L25" s="576">
        <f>'Smmy Sum'!$F$36</f>
        <v>1487986562</v>
      </c>
      <c r="M25" s="636"/>
      <c r="N25" s="636"/>
      <c r="O25" s="576">
        <f>'Smmy Sum'!$F$51</f>
        <v>4832718953</v>
      </c>
      <c r="P25" s="636"/>
      <c r="Q25" s="637">
        <f>'Smmy Sum'!$G$27</f>
        <v>114288662</v>
      </c>
      <c r="R25" s="579"/>
      <c r="T25" s="275"/>
      <c r="U25" s="275"/>
      <c r="V25" s="275"/>
    </row>
    <row r="26" spans="1:22" s="275" customFormat="1" ht="13.8" thickTop="1">
      <c r="A26" s="548"/>
      <c r="B26" s="548"/>
      <c r="C26" s="548"/>
      <c r="P26" s="580"/>
      <c r="Q26" s="580"/>
      <c r="R26" s="580"/>
    </row>
    <row r="27" spans="1:22" s="275" customFormat="1">
      <c r="A27" s="548"/>
      <c r="B27" s="275" t="s">
        <v>286</v>
      </c>
      <c r="C27" s="548"/>
      <c r="P27" s="580"/>
      <c r="Q27" s="580"/>
      <c r="R27" s="580"/>
    </row>
    <row r="28" spans="1:22" s="275" customFormat="1">
      <c r="A28" s="548"/>
      <c r="B28" s="275" t="s">
        <v>287</v>
      </c>
      <c r="C28" s="548"/>
      <c r="G28" s="548"/>
      <c r="H28" s="548"/>
      <c r="I28" s="548" t="s">
        <v>375</v>
      </c>
      <c r="J28" s="548" t="s">
        <v>375</v>
      </c>
      <c r="K28" s="548" t="s">
        <v>375</v>
      </c>
      <c r="L28" s="548"/>
      <c r="M28" s="548"/>
      <c r="N28" s="548"/>
      <c r="O28" s="548" t="s">
        <v>375</v>
      </c>
      <c r="P28" s="580"/>
      <c r="Q28" s="580"/>
      <c r="R28" s="580"/>
    </row>
    <row r="29" spans="1:22" s="275" customFormat="1" ht="39.6">
      <c r="A29" s="548"/>
      <c r="B29" s="548"/>
      <c r="C29" s="275" t="s">
        <v>263</v>
      </c>
      <c r="G29" s="548"/>
      <c r="H29" s="548"/>
      <c r="I29" s="583" t="s">
        <v>271</v>
      </c>
      <c r="J29" s="582" t="s">
        <v>165</v>
      </c>
      <c r="K29" s="581" t="s">
        <v>101</v>
      </c>
      <c r="L29" s="582" t="s">
        <v>168</v>
      </c>
      <c r="M29" s="582" t="s">
        <v>376</v>
      </c>
      <c r="N29" s="582" t="s">
        <v>377</v>
      </c>
      <c r="O29" s="582" t="s">
        <v>172</v>
      </c>
    </row>
    <row r="30" spans="1:22" s="275" customFormat="1" ht="39.6" hidden="1" outlineLevel="1">
      <c r="A30" s="548"/>
      <c r="B30" s="548"/>
      <c r="C30" s="548"/>
      <c r="D30" s="275" t="s">
        <v>131</v>
      </c>
      <c r="G30" s="548"/>
      <c r="H30" s="548"/>
      <c r="I30" s="585" t="s">
        <v>378</v>
      </c>
      <c r="J30" s="582" t="s">
        <v>166</v>
      </c>
      <c r="K30" s="581" t="s">
        <v>134</v>
      </c>
      <c r="L30" s="584"/>
      <c r="M30" s="584"/>
      <c r="N30" s="584"/>
      <c r="O30" s="582" t="s">
        <v>173</v>
      </c>
    </row>
    <row r="31" spans="1:22" s="275" customFormat="1" ht="26.4" hidden="1" outlineLevel="1">
      <c r="A31" s="548"/>
      <c r="B31" s="548"/>
      <c r="C31" s="548"/>
      <c r="G31" s="586"/>
      <c r="H31" s="586"/>
      <c r="I31" s="585" t="s">
        <v>379</v>
      </c>
      <c r="J31" s="585" t="s">
        <v>380</v>
      </c>
      <c r="K31" s="581" t="s">
        <v>136</v>
      </c>
      <c r="L31" s="586"/>
      <c r="M31" s="586"/>
      <c r="N31" s="586"/>
      <c r="O31" s="582" t="s">
        <v>174</v>
      </c>
    </row>
    <row r="32" spans="1:22" s="275" customFormat="1" ht="39.6" hidden="1" outlineLevel="1">
      <c r="A32" s="548"/>
      <c r="B32" s="548"/>
      <c r="C32" s="548"/>
      <c r="G32" s="277"/>
      <c r="H32" s="277"/>
      <c r="I32" s="585" t="s">
        <v>381</v>
      </c>
      <c r="J32" s="277"/>
      <c r="K32" s="586"/>
      <c r="L32" s="277"/>
      <c r="M32" s="277"/>
      <c r="N32" s="277"/>
      <c r="O32" s="582" t="s">
        <v>175</v>
      </c>
    </row>
    <row r="33" spans="1:20" s="275" customFormat="1" ht="26.4" hidden="1" outlineLevel="1">
      <c r="A33" s="548"/>
      <c r="B33" s="548"/>
      <c r="C33" s="548"/>
      <c r="O33" s="587" t="s">
        <v>382</v>
      </c>
    </row>
    <row r="34" spans="1:20" s="275" customFormat="1" ht="26.4" hidden="1" outlineLevel="1">
      <c r="A34" s="548"/>
      <c r="B34" s="548"/>
      <c r="C34" s="548"/>
      <c r="O34" s="582" t="s">
        <v>177</v>
      </c>
    </row>
    <row r="35" spans="1:20" s="275" customFormat="1" hidden="1" outlineLevel="1">
      <c r="A35" s="548"/>
      <c r="B35" s="548"/>
      <c r="C35" s="548"/>
      <c r="G35" s="293"/>
      <c r="H35" s="293"/>
      <c r="I35" s="293"/>
      <c r="J35" s="293"/>
      <c r="K35" s="293"/>
      <c r="L35" s="293"/>
      <c r="M35" s="293"/>
      <c r="N35" s="293"/>
      <c r="O35" s="293"/>
    </row>
    <row r="36" spans="1:20" s="275" customFormat="1" hidden="1" outlineLevel="1">
      <c r="A36" s="548"/>
      <c r="B36" s="548"/>
      <c r="C36" s="548"/>
      <c r="G36" s="588"/>
      <c r="H36" s="588"/>
      <c r="I36" s="588"/>
      <c r="J36" s="588"/>
      <c r="K36" s="588"/>
      <c r="L36" s="588"/>
      <c r="M36" s="588"/>
      <c r="N36" s="588"/>
      <c r="O36" s="588"/>
    </row>
    <row r="37" spans="1:20" s="275" customFormat="1" hidden="1" outlineLevel="1">
      <c r="A37" s="548"/>
      <c r="B37" s="548"/>
      <c r="C37" s="548"/>
      <c r="G37" s="588"/>
      <c r="H37" s="588"/>
      <c r="I37" s="588"/>
      <c r="J37" s="588"/>
      <c r="K37" s="588"/>
      <c r="L37" s="588"/>
      <c r="M37" s="588"/>
      <c r="N37" s="588"/>
      <c r="O37" s="588"/>
    </row>
    <row r="38" spans="1:20" s="275" customFormat="1" hidden="1" outlineLevel="1">
      <c r="A38" s="548"/>
      <c r="B38" s="548"/>
      <c r="C38" s="548"/>
      <c r="G38" s="588"/>
      <c r="H38" s="588"/>
      <c r="I38" s="588"/>
      <c r="J38" s="588"/>
      <c r="K38" s="588"/>
      <c r="L38" s="588"/>
      <c r="M38" s="588"/>
      <c r="N38" s="588"/>
      <c r="O38" s="588"/>
    </row>
    <row r="39" spans="1:20" s="275" customFormat="1" hidden="1" outlineLevel="1">
      <c r="A39" s="548"/>
      <c r="B39" s="548"/>
      <c r="C39" s="548"/>
      <c r="G39" s="588"/>
      <c r="H39" s="588"/>
      <c r="I39" s="588"/>
      <c r="J39" s="588"/>
      <c r="K39" s="588"/>
      <c r="L39" s="588"/>
      <c r="M39" s="588"/>
      <c r="N39" s="588"/>
      <c r="O39" s="588"/>
    </row>
    <row r="40" spans="1:20" s="275" customFormat="1" collapsed="1">
      <c r="A40" s="548"/>
      <c r="B40" s="548"/>
      <c r="C40" s="548"/>
      <c r="T40" s="318"/>
    </row>
    <row r="41" spans="1:20" s="275" customFormat="1">
      <c r="A41" s="548"/>
      <c r="B41" s="548"/>
      <c r="C41" s="548"/>
    </row>
    <row r="42" spans="1:20" s="275" customFormat="1">
      <c r="A42" s="548"/>
      <c r="B42" s="548"/>
      <c r="C42" s="548"/>
      <c r="G42" s="589" t="str">
        <f>IF(SUM(G11:G24)&lt;&gt;'Smmy Sum'!$C$19,"Error","Balanced")</f>
        <v>Balanced</v>
      </c>
      <c r="H42" s="589" t="str">
        <f>IF(SUM(H11:H24)&lt;&gt;'Smmy Sum'!$I$21,"Error","Balanced")</f>
        <v>Error</v>
      </c>
      <c r="I42" s="589" t="str">
        <f>IF(SUM(I11:I24)&lt;&gt;'Smmy Sum'!$G$54,"Error","Balanced")</f>
        <v>Balanced</v>
      </c>
      <c r="J42" s="589" t="str">
        <f>IF(SUM(J11:J24)&lt;&gt;'Smmy Sum'!$F$33,"Error","Balanced")</f>
        <v>Balanced</v>
      </c>
      <c r="K42" s="589" t="str">
        <f>IF(SUM(K11:K24)&lt;&gt;'Smmy Sum'!$G$24,"Error","Balanced")</f>
        <v>Balanced</v>
      </c>
      <c r="L42" s="589" t="str">
        <f>IF(SUM(L11:L24)&lt;&gt;'Smmy Sum'!$F$36,"Error","Balanced")</f>
        <v>Balanced</v>
      </c>
      <c r="M42" s="589"/>
      <c r="N42" s="589"/>
      <c r="O42" s="589" t="str">
        <f>IF(SUM(O11:O24)&lt;&gt;'Smmy Sum'!$F$51,"Error","Balanced")</f>
        <v>Balanced</v>
      </c>
      <c r="P42" s="589"/>
      <c r="Q42" s="589" t="str">
        <f>IF(SUM(Q11:Q24)&lt;&gt;'Smmy Sum'!$G$27,"Error","Balanced")</f>
        <v>Balanced</v>
      </c>
      <c r="R42" s="589"/>
    </row>
    <row r="43" spans="1:20" s="275" customFormat="1">
      <c r="A43" s="548"/>
      <c r="B43" s="548"/>
      <c r="C43" s="548"/>
    </row>
    <row r="44" spans="1:20" s="275" customFormat="1">
      <c r="A44" s="548"/>
      <c r="B44" s="548"/>
      <c r="C44" s="548"/>
      <c r="G44" s="548" t="s">
        <v>303</v>
      </c>
      <c r="H44" s="548" t="s">
        <v>383</v>
      </c>
      <c r="I44" s="548" t="s">
        <v>384</v>
      </c>
      <c r="J44" s="548" t="s">
        <v>385</v>
      </c>
      <c r="K44" s="548" t="s">
        <v>386</v>
      </c>
      <c r="L44" s="548" t="s">
        <v>387</v>
      </c>
      <c r="M44" s="548"/>
      <c r="N44" s="548"/>
      <c r="O44" s="548" t="s">
        <v>388</v>
      </c>
      <c r="P44" s="548"/>
      <c r="Q44" s="548" t="s">
        <v>389</v>
      </c>
      <c r="R44" s="548"/>
    </row>
    <row r="45" spans="1:20" s="275" customFormat="1">
      <c r="A45" s="548"/>
      <c r="B45" s="548"/>
      <c r="C45" s="548"/>
    </row>
    <row r="46" spans="1:20" s="275" customFormat="1">
      <c r="A46" s="548"/>
      <c r="B46" s="548"/>
      <c r="C46" s="548"/>
    </row>
    <row r="47" spans="1:20" s="275" customFormat="1">
      <c r="A47" s="548"/>
      <c r="B47" s="548"/>
      <c r="C47" s="548"/>
    </row>
    <row r="48" spans="1:20" s="275" customFormat="1">
      <c r="A48" s="548"/>
      <c r="B48" s="548"/>
      <c r="C48" s="548"/>
    </row>
    <row r="49" spans="1:3" s="275" customFormat="1">
      <c r="A49" s="548"/>
      <c r="B49" s="548"/>
      <c r="C49" s="548"/>
    </row>
    <row r="50" spans="1:3" s="275" customFormat="1">
      <c r="A50" s="548"/>
      <c r="B50" s="548"/>
      <c r="C50" s="548"/>
    </row>
    <row r="51" spans="1:3" s="275" customFormat="1">
      <c r="A51" s="548"/>
      <c r="B51" s="548"/>
      <c r="C51" s="548"/>
    </row>
    <row r="52" spans="1:3" s="275" customFormat="1">
      <c r="A52" s="548"/>
      <c r="B52" s="548"/>
      <c r="C52" s="548"/>
    </row>
    <row r="53" spans="1:3" s="275" customFormat="1">
      <c r="A53" s="548"/>
      <c r="B53" s="548"/>
      <c r="C53" s="548"/>
    </row>
    <row r="54" spans="1:3" s="275" customFormat="1">
      <c r="A54" s="548"/>
      <c r="B54" s="548"/>
      <c r="C54" s="548"/>
    </row>
    <row r="55" spans="1:3" s="275" customFormat="1">
      <c r="A55" s="548"/>
      <c r="B55" s="548"/>
      <c r="C55" s="548"/>
    </row>
    <row r="56" spans="1:3" s="275" customFormat="1">
      <c r="A56" s="548"/>
      <c r="B56" s="548"/>
      <c r="C56" s="548"/>
    </row>
    <row r="57" spans="1:3" s="275" customFormat="1">
      <c r="A57" s="548"/>
      <c r="B57" s="548"/>
      <c r="C57" s="548"/>
    </row>
    <row r="58" spans="1:3" s="275" customFormat="1">
      <c r="A58" s="548"/>
      <c r="B58" s="548"/>
      <c r="C58" s="548"/>
    </row>
    <row r="59" spans="1:3" s="275" customFormat="1">
      <c r="A59" s="548"/>
      <c r="B59" s="548"/>
      <c r="C59" s="548"/>
    </row>
    <row r="60" spans="1:3" s="275" customFormat="1">
      <c r="A60" s="548"/>
      <c r="B60" s="548"/>
      <c r="C60" s="548"/>
    </row>
    <row r="61" spans="1:3" s="275" customFormat="1">
      <c r="A61" s="548"/>
      <c r="B61" s="548"/>
      <c r="C61" s="548"/>
    </row>
    <row r="62" spans="1:3" s="275" customFormat="1">
      <c r="A62" s="548"/>
      <c r="B62" s="548"/>
      <c r="C62" s="548"/>
    </row>
    <row r="63" spans="1:3" s="275" customFormat="1">
      <c r="A63" s="548"/>
      <c r="B63" s="548"/>
      <c r="C63" s="548"/>
    </row>
    <row r="64" spans="1:3" s="275" customFormat="1">
      <c r="A64" s="548"/>
      <c r="B64" s="548"/>
      <c r="C64" s="548"/>
    </row>
    <row r="65" spans="1:3" s="275" customFormat="1">
      <c r="A65" s="548"/>
      <c r="B65" s="548"/>
      <c r="C65" s="548"/>
    </row>
    <row r="66" spans="1:3" s="275" customFormat="1">
      <c r="A66" s="548"/>
      <c r="B66" s="548"/>
      <c r="C66" s="548"/>
    </row>
    <row r="67" spans="1:3" s="275" customFormat="1">
      <c r="A67" s="548"/>
      <c r="B67" s="548"/>
      <c r="C67" s="548"/>
    </row>
    <row r="68" spans="1:3" s="275" customFormat="1">
      <c r="A68" s="548"/>
      <c r="B68" s="548"/>
      <c r="C68" s="548"/>
    </row>
    <row r="69" spans="1:3" s="275" customFormat="1">
      <c r="A69" s="548"/>
      <c r="B69" s="548"/>
      <c r="C69" s="548"/>
    </row>
    <row r="70" spans="1:3" s="275" customFormat="1">
      <c r="A70" s="548"/>
      <c r="B70" s="548"/>
      <c r="C70" s="548"/>
    </row>
    <row r="71" spans="1:3" s="275" customFormat="1">
      <c r="A71" s="548"/>
      <c r="B71" s="548"/>
      <c r="C71" s="548"/>
    </row>
    <row r="72" spans="1:3" s="275" customFormat="1">
      <c r="A72" s="548"/>
      <c r="B72" s="548"/>
      <c r="C72" s="548"/>
    </row>
    <row r="73" spans="1:3" s="275" customFormat="1">
      <c r="A73" s="548"/>
      <c r="B73" s="548"/>
      <c r="C73" s="548"/>
    </row>
    <row r="74" spans="1:3" s="275" customFormat="1">
      <c r="A74" s="548"/>
      <c r="B74" s="548"/>
      <c r="C74" s="548"/>
    </row>
    <row r="75" spans="1:3" s="275" customFormat="1">
      <c r="A75" s="548"/>
      <c r="B75" s="548"/>
      <c r="C75" s="548"/>
    </row>
    <row r="76" spans="1:3" s="275" customFormat="1">
      <c r="A76" s="548"/>
      <c r="B76" s="548"/>
      <c r="C76" s="548"/>
    </row>
    <row r="77" spans="1:3" s="275" customFormat="1">
      <c r="A77" s="548"/>
      <c r="B77" s="548"/>
      <c r="C77" s="548"/>
    </row>
    <row r="78" spans="1:3" s="275" customFormat="1">
      <c r="A78" s="548"/>
      <c r="B78" s="548"/>
      <c r="C78" s="548"/>
    </row>
    <row r="79" spans="1:3" s="275" customFormat="1">
      <c r="A79" s="548"/>
      <c r="B79" s="548"/>
      <c r="C79" s="548"/>
    </row>
    <row r="80" spans="1:3" s="275" customFormat="1">
      <c r="A80" s="548"/>
      <c r="B80" s="548"/>
      <c r="C80" s="548"/>
    </row>
    <row r="81" spans="1:3" s="275" customFormat="1">
      <c r="A81" s="548"/>
      <c r="B81" s="548"/>
      <c r="C81" s="548"/>
    </row>
    <row r="82" spans="1:3" s="275" customFormat="1">
      <c r="A82" s="548"/>
      <c r="B82" s="548"/>
      <c r="C82" s="548"/>
    </row>
    <row r="83" spans="1:3" s="275" customFormat="1">
      <c r="A83" s="548"/>
      <c r="B83" s="548"/>
      <c r="C83" s="548"/>
    </row>
    <row r="84" spans="1:3" s="275" customFormat="1">
      <c r="A84" s="548"/>
      <c r="B84" s="548"/>
      <c r="C84" s="548"/>
    </row>
    <row r="85" spans="1:3" s="275" customFormat="1">
      <c r="A85" s="548"/>
      <c r="B85" s="548"/>
      <c r="C85" s="548"/>
    </row>
    <row r="86" spans="1:3" s="275" customFormat="1">
      <c r="A86" s="548"/>
      <c r="B86" s="548"/>
      <c r="C86" s="548"/>
    </row>
    <row r="87" spans="1:3" s="275" customFormat="1">
      <c r="A87" s="548"/>
      <c r="B87" s="548"/>
      <c r="C87" s="548"/>
    </row>
    <row r="88" spans="1:3" s="275" customFormat="1">
      <c r="A88" s="548"/>
      <c r="B88" s="548"/>
      <c r="C88" s="548"/>
    </row>
    <row r="89" spans="1:3" s="275" customFormat="1">
      <c r="A89" s="548"/>
      <c r="B89" s="548"/>
      <c r="C89" s="548"/>
    </row>
    <row r="90" spans="1:3" s="275" customFormat="1">
      <c r="A90" s="548"/>
      <c r="B90" s="548"/>
      <c r="C90" s="548"/>
    </row>
    <row r="91" spans="1:3" s="275" customFormat="1">
      <c r="A91" s="548"/>
      <c r="B91" s="548"/>
      <c r="C91" s="548"/>
    </row>
    <row r="92" spans="1:3" s="275" customFormat="1">
      <c r="A92" s="548"/>
      <c r="B92" s="548"/>
      <c r="C92" s="548"/>
    </row>
    <row r="93" spans="1:3" s="275" customFormat="1">
      <c r="A93" s="548"/>
      <c r="B93" s="548"/>
      <c r="C93" s="548"/>
    </row>
    <row r="94" spans="1:3" s="275" customFormat="1">
      <c r="A94" s="548"/>
      <c r="B94" s="548"/>
      <c r="C94" s="548"/>
    </row>
    <row r="95" spans="1:3" s="275" customFormat="1">
      <c r="A95" s="548"/>
      <c r="B95" s="548"/>
      <c r="C95" s="548"/>
    </row>
    <row r="96" spans="1:3" s="275" customFormat="1">
      <c r="A96" s="548"/>
      <c r="B96" s="548"/>
      <c r="C96" s="548"/>
    </row>
    <row r="97" spans="1:3" s="275" customFormat="1">
      <c r="A97" s="548"/>
      <c r="B97" s="548"/>
      <c r="C97" s="548"/>
    </row>
    <row r="98" spans="1:3" s="275" customFormat="1">
      <c r="A98" s="548"/>
      <c r="B98" s="548"/>
      <c r="C98" s="548"/>
    </row>
    <row r="99" spans="1:3" s="275" customFormat="1">
      <c r="A99" s="548"/>
      <c r="B99" s="548"/>
      <c r="C99" s="548"/>
    </row>
    <row r="100" spans="1:3" s="275" customFormat="1">
      <c r="A100" s="548"/>
      <c r="B100" s="548"/>
      <c r="C100" s="548"/>
    </row>
    <row r="101" spans="1:3" s="275" customFormat="1">
      <c r="A101" s="548"/>
      <c r="B101" s="548"/>
      <c r="C101" s="548"/>
    </row>
    <row r="102" spans="1:3" s="275" customFormat="1">
      <c r="A102" s="548"/>
      <c r="B102" s="548"/>
      <c r="C102" s="548"/>
    </row>
    <row r="103" spans="1:3" s="275" customFormat="1">
      <c r="A103" s="548"/>
      <c r="B103" s="548"/>
      <c r="C103" s="548"/>
    </row>
    <row r="104" spans="1:3" s="275" customFormat="1">
      <c r="A104" s="548"/>
      <c r="B104" s="548"/>
      <c r="C104" s="548"/>
    </row>
    <row r="105" spans="1:3" s="275" customFormat="1">
      <c r="A105" s="548"/>
      <c r="B105" s="548"/>
      <c r="C105" s="548"/>
    </row>
    <row r="106" spans="1:3" s="275" customFormat="1">
      <c r="A106" s="548"/>
      <c r="B106" s="548"/>
      <c r="C106" s="548"/>
    </row>
    <row r="107" spans="1:3" s="275" customFormat="1">
      <c r="A107" s="548"/>
      <c r="B107" s="548"/>
      <c r="C107" s="548"/>
    </row>
    <row r="108" spans="1:3" s="275" customFormat="1">
      <c r="A108" s="548"/>
      <c r="B108" s="548"/>
      <c r="C108" s="548"/>
    </row>
    <row r="109" spans="1:3" s="275" customFormat="1">
      <c r="A109" s="548"/>
      <c r="B109" s="548"/>
      <c r="C109" s="548"/>
    </row>
    <row r="110" spans="1:3" s="275" customFormat="1">
      <c r="A110" s="548"/>
      <c r="B110" s="548"/>
      <c r="C110" s="548"/>
    </row>
    <row r="111" spans="1:3" s="275" customFormat="1">
      <c r="A111" s="548"/>
      <c r="B111" s="548"/>
      <c r="C111" s="548"/>
    </row>
    <row r="112" spans="1:3" s="275" customFormat="1">
      <c r="A112" s="548"/>
      <c r="B112" s="548"/>
      <c r="C112" s="548"/>
    </row>
    <row r="113" spans="1:3" s="275" customFormat="1">
      <c r="A113" s="548"/>
      <c r="B113" s="548"/>
      <c r="C113" s="548"/>
    </row>
    <row r="114" spans="1:3" s="275" customFormat="1">
      <c r="A114" s="548"/>
      <c r="B114" s="548"/>
      <c r="C114" s="548"/>
    </row>
    <row r="115" spans="1:3" s="275" customFormat="1">
      <c r="A115" s="548"/>
      <c r="B115" s="548"/>
      <c r="C115" s="548"/>
    </row>
    <row r="116" spans="1:3" s="275" customFormat="1">
      <c r="A116" s="548"/>
      <c r="B116" s="548"/>
      <c r="C116" s="548"/>
    </row>
    <row r="117" spans="1:3" s="275" customFormat="1">
      <c r="A117" s="548"/>
      <c r="B117" s="548"/>
      <c r="C117" s="548"/>
    </row>
    <row r="118" spans="1:3" s="275" customFormat="1">
      <c r="A118" s="548"/>
      <c r="B118" s="548"/>
      <c r="C118" s="548"/>
    </row>
    <row r="119" spans="1:3" s="275" customFormat="1">
      <c r="A119" s="548"/>
      <c r="B119" s="548"/>
      <c r="C119" s="548"/>
    </row>
    <row r="120" spans="1:3" s="275" customFormat="1">
      <c r="A120" s="548"/>
      <c r="B120" s="548"/>
      <c r="C120" s="548"/>
    </row>
    <row r="121" spans="1:3" s="275" customFormat="1">
      <c r="A121" s="548"/>
      <c r="B121" s="548"/>
      <c r="C121" s="548"/>
    </row>
    <row r="122" spans="1:3" s="275" customFormat="1">
      <c r="A122" s="548"/>
      <c r="B122" s="548"/>
      <c r="C122" s="548"/>
    </row>
    <row r="123" spans="1:3" s="275" customFormat="1">
      <c r="A123" s="548"/>
      <c r="B123" s="548"/>
      <c r="C123" s="548"/>
    </row>
    <row r="124" spans="1:3" s="275" customFormat="1">
      <c r="A124" s="548"/>
      <c r="B124" s="548"/>
      <c r="C124" s="548"/>
    </row>
    <row r="125" spans="1:3" s="275" customFormat="1">
      <c r="A125" s="548"/>
      <c r="B125" s="548"/>
      <c r="C125" s="548"/>
    </row>
    <row r="126" spans="1:3" s="275" customFormat="1">
      <c r="A126" s="548"/>
      <c r="B126" s="548"/>
      <c r="C126" s="548"/>
    </row>
    <row r="127" spans="1:3" s="275" customFormat="1">
      <c r="A127" s="548"/>
      <c r="B127" s="548"/>
      <c r="C127" s="548"/>
    </row>
    <row r="128" spans="1:3" s="275" customFormat="1">
      <c r="A128" s="548"/>
      <c r="B128" s="548"/>
      <c r="C128" s="548"/>
    </row>
    <row r="129" spans="1:3" s="275" customFormat="1">
      <c r="A129" s="548"/>
      <c r="B129" s="548"/>
      <c r="C129" s="548"/>
    </row>
    <row r="130" spans="1:3" s="275" customFormat="1">
      <c r="A130" s="548"/>
      <c r="B130" s="548"/>
      <c r="C130" s="548"/>
    </row>
    <row r="131" spans="1:3" s="275" customFormat="1">
      <c r="A131" s="548"/>
      <c r="B131" s="548"/>
      <c r="C131" s="548"/>
    </row>
    <row r="132" spans="1:3" s="275" customFormat="1">
      <c r="A132" s="548"/>
      <c r="B132" s="548"/>
      <c r="C132" s="548"/>
    </row>
    <row r="133" spans="1:3" s="275" customFormat="1">
      <c r="A133" s="548"/>
      <c r="B133" s="548"/>
      <c r="C133" s="548"/>
    </row>
    <row r="134" spans="1:3" s="275" customFormat="1">
      <c r="A134" s="548"/>
      <c r="B134" s="548"/>
      <c r="C134" s="548"/>
    </row>
    <row r="135" spans="1:3" s="275" customFormat="1">
      <c r="A135" s="548"/>
      <c r="B135" s="548"/>
      <c r="C135" s="548"/>
    </row>
    <row r="136" spans="1:3" s="275" customFormat="1">
      <c r="A136" s="548"/>
      <c r="B136" s="548"/>
      <c r="C136" s="548"/>
    </row>
    <row r="137" spans="1:3" s="275" customFormat="1">
      <c r="A137" s="548"/>
      <c r="B137" s="548"/>
      <c r="C137" s="548"/>
    </row>
    <row r="138" spans="1:3" s="275" customFormat="1">
      <c r="A138" s="548"/>
      <c r="B138" s="548"/>
      <c r="C138" s="548"/>
    </row>
    <row r="139" spans="1:3" s="275" customFormat="1">
      <c r="A139" s="548"/>
      <c r="B139" s="548"/>
      <c r="C139" s="548"/>
    </row>
    <row r="140" spans="1:3" s="275" customFormat="1">
      <c r="A140" s="548"/>
      <c r="B140" s="548"/>
      <c r="C140" s="548"/>
    </row>
    <row r="141" spans="1:3" s="275" customFormat="1">
      <c r="A141" s="548"/>
      <c r="B141" s="548"/>
      <c r="C141" s="548"/>
    </row>
    <row r="142" spans="1:3" s="275" customFormat="1">
      <c r="A142" s="548"/>
      <c r="B142" s="548"/>
      <c r="C142" s="548"/>
    </row>
    <row r="143" spans="1:3" s="275" customFormat="1">
      <c r="A143" s="548"/>
      <c r="B143" s="548"/>
      <c r="C143" s="548"/>
    </row>
    <row r="144" spans="1:3" s="275" customFormat="1">
      <c r="A144" s="548"/>
      <c r="B144" s="548"/>
      <c r="C144" s="548"/>
    </row>
    <row r="145" spans="1:3" s="275" customFormat="1">
      <c r="A145" s="548"/>
      <c r="B145" s="548"/>
      <c r="C145" s="548"/>
    </row>
    <row r="146" spans="1:3" s="275" customFormat="1">
      <c r="A146" s="548"/>
      <c r="B146" s="548"/>
      <c r="C146" s="548"/>
    </row>
    <row r="147" spans="1:3" s="275" customFormat="1">
      <c r="A147" s="548"/>
      <c r="B147" s="548"/>
      <c r="C147" s="548"/>
    </row>
    <row r="148" spans="1:3" s="275" customFormat="1">
      <c r="A148" s="548"/>
      <c r="B148" s="548"/>
      <c r="C148" s="548"/>
    </row>
    <row r="149" spans="1:3" s="275" customFormat="1">
      <c r="A149" s="548"/>
      <c r="B149" s="548"/>
      <c r="C149" s="548"/>
    </row>
    <row r="150" spans="1:3" s="275" customFormat="1">
      <c r="A150" s="548"/>
      <c r="B150" s="548"/>
      <c r="C150" s="548"/>
    </row>
    <row r="151" spans="1:3" s="275" customFormat="1">
      <c r="A151" s="548"/>
      <c r="B151" s="548"/>
      <c r="C151" s="548"/>
    </row>
    <row r="152" spans="1:3" s="275" customFormat="1">
      <c r="A152" s="548"/>
      <c r="B152" s="548"/>
      <c r="C152" s="548"/>
    </row>
    <row r="153" spans="1:3" s="275" customFormat="1">
      <c r="A153" s="548"/>
      <c r="B153" s="548"/>
      <c r="C153" s="548"/>
    </row>
    <row r="154" spans="1:3" s="275" customFormat="1">
      <c r="A154" s="548"/>
      <c r="B154" s="548"/>
      <c r="C154" s="548"/>
    </row>
    <row r="155" spans="1:3" s="275" customFormat="1">
      <c r="A155" s="548"/>
      <c r="B155" s="548"/>
      <c r="C155" s="548"/>
    </row>
    <row r="156" spans="1:3" s="275" customFormat="1">
      <c r="A156" s="548"/>
      <c r="B156" s="548"/>
      <c r="C156" s="548"/>
    </row>
    <row r="157" spans="1:3" s="275" customFormat="1">
      <c r="A157" s="548"/>
      <c r="B157" s="548"/>
      <c r="C157" s="548"/>
    </row>
    <row r="158" spans="1:3" s="275" customFormat="1">
      <c r="A158" s="548"/>
      <c r="B158" s="548"/>
      <c r="C158" s="548"/>
    </row>
    <row r="159" spans="1:3" s="275" customFormat="1">
      <c r="A159" s="548"/>
      <c r="B159" s="548"/>
      <c r="C159" s="548"/>
    </row>
    <row r="160" spans="1:3" s="275" customFormat="1">
      <c r="A160" s="548"/>
      <c r="B160" s="548"/>
      <c r="C160" s="548"/>
    </row>
    <row r="161" spans="1:3" s="275" customFormat="1">
      <c r="A161" s="548"/>
      <c r="B161" s="548"/>
      <c r="C161" s="548"/>
    </row>
    <row r="162" spans="1:3" s="275" customFormat="1">
      <c r="A162" s="548"/>
      <c r="B162" s="548"/>
      <c r="C162" s="548"/>
    </row>
    <row r="163" spans="1:3" s="275" customFormat="1">
      <c r="A163" s="548"/>
      <c r="B163" s="548"/>
      <c r="C163" s="548"/>
    </row>
    <row r="164" spans="1:3" s="275" customFormat="1">
      <c r="A164" s="548"/>
      <c r="B164" s="548"/>
      <c r="C164" s="548"/>
    </row>
    <row r="165" spans="1:3" s="275" customFormat="1">
      <c r="A165" s="548"/>
      <c r="B165" s="548"/>
      <c r="C165" s="548"/>
    </row>
    <row r="166" spans="1:3" s="275" customFormat="1">
      <c r="A166" s="548"/>
      <c r="B166" s="548"/>
      <c r="C166" s="548"/>
    </row>
    <row r="167" spans="1:3" s="275" customFormat="1">
      <c r="A167" s="548"/>
      <c r="B167" s="548"/>
      <c r="C167" s="548"/>
    </row>
    <row r="168" spans="1:3" s="275" customFormat="1">
      <c r="A168" s="548"/>
      <c r="B168" s="548"/>
      <c r="C168" s="548"/>
    </row>
    <row r="169" spans="1:3" s="275" customFormat="1">
      <c r="A169" s="548"/>
      <c r="B169" s="548"/>
      <c r="C169" s="548"/>
    </row>
    <row r="170" spans="1:3" s="275" customFormat="1">
      <c r="A170" s="548"/>
      <c r="B170" s="548"/>
      <c r="C170" s="548"/>
    </row>
    <row r="171" spans="1:3" s="275" customFormat="1">
      <c r="A171" s="548"/>
      <c r="B171" s="548"/>
      <c r="C171" s="548"/>
    </row>
    <row r="172" spans="1:3" s="275" customFormat="1">
      <c r="A172" s="548"/>
      <c r="B172" s="548"/>
      <c r="C172" s="548"/>
    </row>
    <row r="173" spans="1:3" s="275" customFormat="1">
      <c r="A173" s="548"/>
      <c r="B173" s="548"/>
      <c r="C173" s="548"/>
    </row>
    <row r="174" spans="1:3" s="275" customFormat="1">
      <c r="A174" s="548"/>
      <c r="B174" s="548"/>
      <c r="C174" s="548"/>
    </row>
    <row r="175" spans="1:3" s="275" customFormat="1">
      <c r="A175" s="548"/>
      <c r="B175" s="548"/>
      <c r="C175" s="548"/>
    </row>
    <row r="176" spans="1:3" s="275" customFormat="1">
      <c r="A176" s="548"/>
      <c r="B176" s="548"/>
      <c r="C176" s="548"/>
    </row>
    <row r="177" spans="1:3" s="275" customFormat="1">
      <c r="A177" s="548"/>
      <c r="B177" s="548"/>
      <c r="C177" s="548"/>
    </row>
    <row r="178" spans="1:3" s="275" customFormat="1">
      <c r="A178" s="548"/>
      <c r="B178" s="548"/>
      <c r="C178" s="548"/>
    </row>
    <row r="179" spans="1:3" s="275" customFormat="1">
      <c r="A179" s="548"/>
      <c r="B179" s="548"/>
      <c r="C179" s="548"/>
    </row>
    <row r="180" spans="1:3" s="275" customFormat="1">
      <c r="A180" s="548"/>
      <c r="B180" s="548"/>
      <c r="C180" s="548"/>
    </row>
    <row r="181" spans="1:3" s="275" customFormat="1">
      <c r="A181" s="548"/>
      <c r="B181" s="548"/>
      <c r="C181" s="548"/>
    </row>
    <row r="182" spans="1:3" s="275" customFormat="1">
      <c r="A182" s="548"/>
      <c r="B182" s="548"/>
      <c r="C182" s="548"/>
    </row>
    <row r="183" spans="1:3" s="275" customFormat="1">
      <c r="A183" s="548"/>
      <c r="B183" s="548"/>
      <c r="C183" s="548"/>
    </row>
    <row r="184" spans="1:3" s="275" customFormat="1">
      <c r="A184" s="548"/>
      <c r="B184" s="548"/>
      <c r="C184" s="548"/>
    </row>
    <row r="185" spans="1:3" s="275" customFormat="1">
      <c r="A185" s="548"/>
      <c r="B185" s="548"/>
      <c r="C185" s="548"/>
    </row>
    <row r="186" spans="1:3" s="275" customFormat="1">
      <c r="A186" s="548"/>
      <c r="B186" s="548"/>
      <c r="C186" s="548"/>
    </row>
    <row r="187" spans="1:3" s="275" customFormat="1">
      <c r="A187" s="548"/>
      <c r="B187" s="548"/>
      <c r="C187" s="548"/>
    </row>
    <row r="188" spans="1:3" s="275" customFormat="1">
      <c r="A188" s="548"/>
      <c r="B188" s="548"/>
      <c r="C188" s="548"/>
    </row>
    <row r="189" spans="1:3" s="275" customFormat="1">
      <c r="A189" s="548"/>
      <c r="B189" s="548"/>
      <c r="C189" s="548"/>
    </row>
    <row r="190" spans="1:3" s="275" customFormat="1">
      <c r="A190" s="548"/>
      <c r="B190" s="548"/>
      <c r="C190" s="548"/>
    </row>
    <row r="191" spans="1:3" s="275" customFormat="1">
      <c r="A191" s="548"/>
      <c r="B191" s="548"/>
      <c r="C191" s="548"/>
    </row>
    <row r="192" spans="1:3" s="275" customFormat="1">
      <c r="A192" s="548"/>
      <c r="B192" s="548"/>
      <c r="C192" s="548"/>
    </row>
    <row r="193" spans="1:3" s="275" customFormat="1">
      <c r="A193" s="548"/>
      <c r="B193" s="548"/>
      <c r="C193" s="548"/>
    </row>
    <row r="194" spans="1:3" s="275" customFormat="1">
      <c r="A194" s="548"/>
      <c r="B194" s="548"/>
      <c r="C194" s="548"/>
    </row>
    <row r="195" spans="1:3" s="275" customFormat="1">
      <c r="A195" s="548"/>
      <c r="B195" s="548"/>
      <c r="C195" s="548"/>
    </row>
    <row r="196" spans="1:3" s="275" customFormat="1">
      <c r="A196" s="548"/>
      <c r="B196" s="548"/>
      <c r="C196" s="548"/>
    </row>
    <row r="197" spans="1:3" s="275" customFormat="1">
      <c r="A197" s="548"/>
      <c r="B197" s="548"/>
      <c r="C197" s="548"/>
    </row>
    <row r="198" spans="1:3" s="275" customFormat="1">
      <c r="A198" s="548"/>
      <c r="B198" s="548"/>
      <c r="C198" s="548"/>
    </row>
    <row r="199" spans="1:3" s="275" customFormat="1">
      <c r="A199" s="548"/>
      <c r="B199" s="548"/>
      <c r="C199" s="548"/>
    </row>
    <row r="200" spans="1:3" s="275" customFormat="1">
      <c r="A200" s="548"/>
      <c r="B200" s="548"/>
      <c r="C200" s="548"/>
    </row>
    <row r="201" spans="1:3" s="275" customFormat="1">
      <c r="A201" s="548"/>
      <c r="B201" s="548"/>
      <c r="C201" s="548"/>
    </row>
    <row r="202" spans="1:3" s="275" customFormat="1">
      <c r="A202" s="548"/>
      <c r="B202" s="548"/>
      <c r="C202" s="548"/>
    </row>
    <row r="203" spans="1:3" s="275" customFormat="1">
      <c r="A203" s="548"/>
      <c r="B203" s="548"/>
      <c r="C203" s="548"/>
    </row>
    <row r="204" spans="1:3" s="275" customFormat="1">
      <c r="A204" s="548"/>
      <c r="B204" s="548"/>
      <c r="C204" s="548"/>
    </row>
    <row r="205" spans="1:3" s="275" customFormat="1">
      <c r="A205" s="548"/>
      <c r="B205" s="548"/>
      <c r="C205" s="548"/>
    </row>
    <row r="206" spans="1:3" s="275" customFormat="1">
      <c r="A206" s="548"/>
      <c r="B206" s="548"/>
      <c r="C206" s="548"/>
    </row>
    <row r="207" spans="1:3" s="275" customFormat="1">
      <c r="A207" s="548"/>
      <c r="B207" s="548"/>
      <c r="C207" s="548"/>
    </row>
    <row r="208" spans="1:3" s="275" customFormat="1">
      <c r="A208" s="548"/>
      <c r="B208" s="548"/>
      <c r="C208" s="548"/>
    </row>
    <row r="209" spans="1:3" s="275" customFormat="1">
      <c r="A209" s="548"/>
      <c r="B209" s="548"/>
      <c r="C209" s="548"/>
    </row>
    <row r="210" spans="1:3" s="275" customFormat="1">
      <c r="A210" s="548"/>
      <c r="B210" s="548"/>
      <c r="C210" s="548"/>
    </row>
    <row r="211" spans="1:3" s="275" customFormat="1">
      <c r="A211" s="548"/>
      <c r="B211" s="548"/>
      <c r="C211" s="548"/>
    </row>
    <row r="212" spans="1:3" s="275" customFormat="1">
      <c r="A212" s="548"/>
      <c r="B212" s="548"/>
      <c r="C212" s="548"/>
    </row>
    <row r="213" spans="1:3" s="275" customFormat="1">
      <c r="A213" s="548"/>
      <c r="B213" s="548"/>
      <c r="C213" s="548"/>
    </row>
    <row r="214" spans="1:3" s="275" customFormat="1">
      <c r="A214" s="548"/>
      <c r="B214" s="548"/>
      <c r="C214" s="548"/>
    </row>
    <row r="215" spans="1:3" s="275" customFormat="1">
      <c r="A215" s="548"/>
      <c r="B215" s="548"/>
      <c r="C215" s="548"/>
    </row>
    <row r="216" spans="1:3" s="275" customFormat="1">
      <c r="A216" s="548"/>
      <c r="B216" s="548"/>
      <c r="C216" s="548"/>
    </row>
    <row r="217" spans="1:3" s="275" customFormat="1">
      <c r="A217" s="548"/>
      <c r="B217" s="548"/>
      <c r="C217" s="548"/>
    </row>
    <row r="218" spans="1:3" s="275" customFormat="1">
      <c r="A218" s="548"/>
      <c r="B218" s="548"/>
      <c r="C218" s="548"/>
    </row>
    <row r="219" spans="1:3" s="275" customFormat="1">
      <c r="A219" s="548"/>
      <c r="B219" s="548"/>
      <c r="C219" s="548"/>
    </row>
    <row r="220" spans="1:3" s="275" customFormat="1">
      <c r="A220" s="548"/>
      <c r="B220" s="548"/>
      <c r="C220" s="548"/>
    </row>
    <row r="221" spans="1:3" s="275" customFormat="1">
      <c r="A221" s="548"/>
      <c r="B221" s="548"/>
      <c r="C221" s="548"/>
    </row>
    <row r="222" spans="1:3" s="275" customFormat="1">
      <c r="A222" s="548"/>
      <c r="B222" s="548"/>
      <c r="C222" s="548"/>
    </row>
    <row r="223" spans="1:3" s="275" customFormat="1">
      <c r="A223" s="548"/>
      <c r="B223" s="548"/>
      <c r="C223" s="548"/>
    </row>
    <row r="224" spans="1:3" s="275" customFormat="1">
      <c r="A224" s="548"/>
      <c r="B224" s="548"/>
      <c r="C224" s="548"/>
    </row>
    <row r="225" spans="1:3" s="275" customFormat="1">
      <c r="A225" s="548"/>
      <c r="B225" s="548"/>
      <c r="C225" s="548"/>
    </row>
    <row r="226" spans="1:3" s="275" customFormat="1">
      <c r="A226" s="548"/>
      <c r="B226" s="548"/>
      <c r="C226" s="548"/>
    </row>
    <row r="227" spans="1:3" s="275" customFormat="1">
      <c r="A227" s="548"/>
      <c r="B227" s="548"/>
      <c r="C227" s="548"/>
    </row>
    <row r="228" spans="1:3" s="275" customFormat="1">
      <c r="A228" s="548"/>
      <c r="B228" s="548"/>
      <c r="C228" s="548"/>
    </row>
    <row r="229" spans="1:3" s="275" customFormat="1">
      <c r="A229" s="548"/>
      <c r="B229" s="548"/>
      <c r="C229" s="548"/>
    </row>
    <row r="230" spans="1:3" s="275" customFormat="1">
      <c r="A230" s="548"/>
      <c r="B230" s="548"/>
      <c r="C230" s="548"/>
    </row>
    <row r="231" spans="1:3" s="275" customFormat="1">
      <c r="A231" s="548"/>
      <c r="B231" s="548"/>
      <c r="C231" s="548"/>
    </row>
    <row r="232" spans="1:3" s="275" customFormat="1">
      <c r="A232" s="548"/>
      <c r="B232" s="548"/>
      <c r="C232" s="548"/>
    </row>
    <row r="233" spans="1:3" s="275" customFormat="1">
      <c r="A233" s="548"/>
      <c r="B233" s="548"/>
      <c r="C233" s="548"/>
    </row>
    <row r="234" spans="1:3" s="275" customFormat="1">
      <c r="A234" s="548"/>
      <c r="B234" s="548"/>
      <c r="C234" s="548"/>
    </row>
    <row r="235" spans="1:3" s="275" customFormat="1">
      <c r="A235" s="548"/>
      <c r="B235" s="548"/>
      <c r="C235" s="548"/>
    </row>
    <row r="236" spans="1:3" s="275" customFormat="1">
      <c r="A236" s="548"/>
      <c r="B236" s="548"/>
      <c r="C236" s="548"/>
    </row>
    <row r="237" spans="1:3" s="275" customFormat="1">
      <c r="A237" s="548"/>
      <c r="B237" s="548"/>
      <c r="C237" s="548"/>
    </row>
    <row r="238" spans="1:3" s="275" customFormat="1">
      <c r="A238" s="548"/>
      <c r="B238" s="548"/>
      <c r="C238" s="548"/>
    </row>
    <row r="239" spans="1:3" s="275" customFormat="1">
      <c r="A239" s="548"/>
      <c r="B239" s="548"/>
      <c r="C239" s="548"/>
    </row>
    <row r="240" spans="1:3" s="275" customFormat="1">
      <c r="A240" s="548"/>
      <c r="B240" s="548"/>
      <c r="C240" s="548"/>
    </row>
    <row r="241" spans="1:3" s="275" customFormat="1">
      <c r="A241" s="548"/>
      <c r="B241" s="548"/>
      <c r="C241" s="548"/>
    </row>
    <row r="242" spans="1:3" s="275" customFormat="1">
      <c r="A242" s="548"/>
      <c r="B242" s="548"/>
      <c r="C242" s="548"/>
    </row>
    <row r="243" spans="1:3" s="275" customFormat="1">
      <c r="A243" s="548"/>
      <c r="B243" s="548"/>
      <c r="C243" s="548"/>
    </row>
    <row r="244" spans="1:3" s="275" customFormat="1">
      <c r="A244" s="548"/>
      <c r="B244" s="548"/>
      <c r="C244" s="548"/>
    </row>
    <row r="245" spans="1:3" s="275" customFormat="1">
      <c r="A245" s="548"/>
      <c r="B245" s="548"/>
      <c r="C245" s="548"/>
    </row>
    <row r="246" spans="1:3" s="275" customFormat="1">
      <c r="A246" s="548"/>
      <c r="B246" s="548"/>
      <c r="C246" s="548"/>
    </row>
    <row r="247" spans="1:3" s="275" customFormat="1">
      <c r="A247" s="548"/>
      <c r="B247" s="548"/>
      <c r="C247" s="548"/>
    </row>
    <row r="248" spans="1:3" s="275" customFormat="1">
      <c r="A248" s="548"/>
      <c r="B248" s="548"/>
      <c r="C248" s="548"/>
    </row>
    <row r="249" spans="1:3" s="275" customFormat="1">
      <c r="A249" s="548"/>
      <c r="B249" s="548"/>
      <c r="C249" s="548"/>
    </row>
    <row r="250" spans="1:3" s="275" customFormat="1">
      <c r="A250" s="548"/>
      <c r="B250" s="548"/>
      <c r="C250" s="548"/>
    </row>
    <row r="251" spans="1:3" s="275" customFormat="1">
      <c r="A251" s="548"/>
      <c r="B251" s="548"/>
      <c r="C251" s="548"/>
    </row>
    <row r="252" spans="1:3" s="275" customFormat="1">
      <c r="A252" s="548"/>
      <c r="B252" s="548"/>
      <c r="C252" s="548"/>
    </row>
    <row r="253" spans="1:3" s="275" customFormat="1">
      <c r="A253" s="548"/>
      <c r="B253" s="548"/>
      <c r="C253" s="548"/>
    </row>
    <row r="254" spans="1:3" s="275" customFormat="1">
      <c r="A254" s="548"/>
      <c r="B254" s="548"/>
      <c r="C254" s="548"/>
    </row>
    <row r="255" spans="1:3" s="275" customFormat="1">
      <c r="A255" s="548"/>
      <c r="B255" s="548"/>
      <c r="C255" s="548"/>
    </row>
    <row r="256" spans="1:3" s="275" customFormat="1">
      <c r="A256" s="548"/>
      <c r="B256" s="548"/>
      <c r="C256" s="548"/>
    </row>
    <row r="257" spans="1:3" s="275" customFormat="1">
      <c r="A257" s="548"/>
      <c r="B257" s="548"/>
      <c r="C257" s="548"/>
    </row>
    <row r="258" spans="1:3" s="275" customFormat="1">
      <c r="A258" s="548"/>
      <c r="B258" s="548"/>
      <c r="C258" s="548"/>
    </row>
    <row r="259" spans="1:3" s="275" customFormat="1">
      <c r="A259" s="548"/>
      <c r="B259" s="548"/>
      <c r="C259" s="548"/>
    </row>
    <row r="260" spans="1:3" s="275" customFormat="1">
      <c r="A260" s="548"/>
      <c r="B260" s="548"/>
      <c r="C260" s="548"/>
    </row>
    <row r="261" spans="1:3" s="275" customFormat="1">
      <c r="A261" s="548"/>
      <c r="B261" s="548"/>
      <c r="C261" s="548"/>
    </row>
    <row r="262" spans="1:3" s="275" customFormat="1">
      <c r="A262" s="548"/>
      <c r="B262" s="548"/>
      <c r="C262" s="548"/>
    </row>
    <row r="263" spans="1:3" s="275" customFormat="1">
      <c r="A263" s="548"/>
      <c r="B263" s="548"/>
      <c r="C263" s="548"/>
    </row>
    <row r="264" spans="1:3" s="275" customFormat="1">
      <c r="A264" s="548"/>
      <c r="B264" s="548"/>
      <c r="C264" s="548"/>
    </row>
    <row r="265" spans="1:3" s="275" customFormat="1">
      <c r="A265" s="548"/>
      <c r="B265" s="548"/>
      <c r="C265" s="548"/>
    </row>
    <row r="266" spans="1:3" s="275" customFormat="1">
      <c r="A266" s="548"/>
      <c r="B266" s="548"/>
      <c r="C266" s="548"/>
    </row>
    <row r="267" spans="1:3" s="275" customFormat="1">
      <c r="A267" s="548"/>
      <c r="B267" s="548"/>
      <c r="C267" s="548"/>
    </row>
    <row r="268" spans="1:3" s="275" customFormat="1">
      <c r="A268" s="548"/>
      <c r="B268" s="548"/>
      <c r="C268" s="548"/>
    </row>
    <row r="269" spans="1:3" s="275" customFormat="1">
      <c r="A269" s="548"/>
      <c r="B269" s="548"/>
      <c r="C269" s="548"/>
    </row>
    <row r="270" spans="1:3" s="275" customFormat="1">
      <c r="A270" s="548"/>
      <c r="B270" s="548"/>
      <c r="C270" s="548"/>
    </row>
    <row r="271" spans="1:3" s="275" customFormat="1">
      <c r="A271" s="548"/>
      <c r="B271" s="548"/>
      <c r="C271" s="548"/>
    </row>
    <row r="272" spans="1:3" s="275" customFormat="1">
      <c r="A272" s="548"/>
      <c r="B272" s="548"/>
      <c r="C272" s="548"/>
    </row>
    <row r="273" spans="1:3" s="275" customFormat="1">
      <c r="A273" s="548"/>
      <c r="B273" s="548"/>
      <c r="C273" s="548"/>
    </row>
    <row r="274" spans="1:3" s="275" customFormat="1">
      <c r="A274" s="548"/>
      <c r="B274" s="548"/>
      <c r="C274" s="548"/>
    </row>
    <row r="275" spans="1:3" s="275" customFormat="1">
      <c r="A275" s="548"/>
      <c r="B275" s="548"/>
      <c r="C275" s="548"/>
    </row>
    <row r="276" spans="1:3" s="275" customFormat="1">
      <c r="A276" s="548"/>
      <c r="B276" s="548"/>
      <c r="C276" s="548"/>
    </row>
    <row r="277" spans="1:3" s="275" customFormat="1">
      <c r="A277" s="548"/>
      <c r="B277" s="548"/>
      <c r="C277" s="548"/>
    </row>
    <row r="278" spans="1:3" s="275" customFormat="1">
      <c r="A278" s="548"/>
      <c r="B278" s="548"/>
      <c r="C278" s="548"/>
    </row>
    <row r="279" spans="1:3" s="275" customFormat="1">
      <c r="A279" s="548"/>
      <c r="B279" s="548"/>
      <c r="C279" s="548"/>
    </row>
    <row r="280" spans="1:3" s="275" customFormat="1">
      <c r="A280" s="548"/>
      <c r="B280" s="548"/>
      <c r="C280" s="548"/>
    </row>
    <row r="281" spans="1:3" s="275" customFormat="1">
      <c r="A281" s="548"/>
      <c r="B281" s="548"/>
      <c r="C281" s="548"/>
    </row>
    <row r="282" spans="1:3" s="275" customFormat="1">
      <c r="A282" s="548"/>
      <c r="B282" s="548"/>
      <c r="C282" s="548"/>
    </row>
    <row r="283" spans="1:3" s="275" customFormat="1">
      <c r="A283" s="548"/>
      <c r="B283" s="548"/>
      <c r="C283" s="548"/>
    </row>
    <row r="284" spans="1:3" s="275" customFormat="1">
      <c r="A284" s="548"/>
      <c r="B284" s="548"/>
      <c r="C284" s="548"/>
    </row>
    <row r="285" spans="1:3" s="275" customFormat="1">
      <c r="A285" s="548"/>
      <c r="B285" s="548"/>
      <c r="C285" s="548"/>
    </row>
    <row r="286" spans="1:3" s="275" customFormat="1">
      <c r="A286" s="548"/>
      <c r="B286" s="548"/>
      <c r="C286" s="548"/>
    </row>
    <row r="287" spans="1:3" s="275" customFormat="1">
      <c r="A287" s="548"/>
      <c r="B287" s="548"/>
      <c r="C287" s="548"/>
    </row>
    <row r="288" spans="1:3" s="275" customFormat="1">
      <c r="A288" s="548"/>
      <c r="B288" s="548"/>
      <c r="C288" s="548"/>
    </row>
    <row r="289" spans="1:3" s="275" customFormat="1">
      <c r="A289" s="548"/>
      <c r="B289" s="548"/>
      <c r="C289" s="548"/>
    </row>
    <row r="290" spans="1:3" s="275" customFormat="1">
      <c r="A290" s="548"/>
      <c r="B290" s="548"/>
      <c r="C290" s="548"/>
    </row>
    <row r="291" spans="1:3" s="275" customFormat="1">
      <c r="A291" s="548"/>
      <c r="B291" s="548"/>
      <c r="C291" s="548"/>
    </row>
    <row r="292" spans="1:3" s="275" customFormat="1">
      <c r="A292" s="548"/>
      <c r="B292" s="548"/>
      <c r="C292" s="548"/>
    </row>
    <row r="293" spans="1:3" s="275" customFormat="1">
      <c r="A293" s="548"/>
      <c r="B293" s="548"/>
      <c r="C293" s="548"/>
    </row>
    <row r="294" spans="1:3" s="275" customFormat="1">
      <c r="A294" s="548"/>
      <c r="B294" s="548"/>
      <c r="C294" s="548"/>
    </row>
    <row r="295" spans="1:3" s="275" customFormat="1">
      <c r="A295" s="548"/>
      <c r="B295" s="548"/>
      <c r="C295" s="548"/>
    </row>
    <row r="296" spans="1:3" s="275" customFormat="1">
      <c r="A296" s="548"/>
      <c r="B296" s="548"/>
      <c r="C296" s="548"/>
    </row>
    <row r="297" spans="1:3" s="275" customFormat="1">
      <c r="A297" s="548"/>
      <c r="B297" s="548"/>
      <c r="C297" s="548"/>
    </row>
    <row r="298" spans="1:3" s="275" customFormat="1">
      <c r="A298" s="548"/>
      <c r="B298" s="548"/>
      <c r="C298" s="548"/>
    </row>
    <row r="299" spans="1:3" s="275" customFormat="1">
      <c r="A299" s="548"/>
      <c r="B299" s="548"/>
      <c r="C299" s="548"/>
    </row>
    <row r="300" spans="1:3" s="275" customFormat="1">
      <c r="A300" s="548"/>
      <c r="B300" s="548"/>
      <c r="C300" s="548"/>
    </row>
    <row r="301" spans="1:3" s="275" customFormat="1">
      <c r="A301" s="548"/>
      <c r="B301" s="548"/>
      <c r="C301" s="548"/>
    </row>
    <row r="302" spans="1:3" s="275" customFormat="1">
      <c r="A302" s="548"/>
      <c r="B302" s="548"/>
      <c r="C302" s="548"/>
    </row>
    <row r="303" spans="1:3" s="275" customFormat="1">
      <c r="A303" s="548"/>
      <c r="B303" s="548"/>
      <c r="C303" s="548"/>
    </row>
    <row r="304" spans="1:3" s="275" customFormat="1">
      <c r="A304" s="548"/>
      <c r="B304" s="548"/>
      <c r="C304" s="548"/>
    </row>
    <row r="305" spans="1:3" s="275" customFormat="1">
      <c r="A305" s="548"/>
      <c r="B305" s="548"/>
      <c r="C305" s="548"/>
    </row>
    <row r="306" spans="1:3" s="275" customFormat="1">
      <c r="A306" s="548"/>
      <c r="B306" s="548"/>
      <c r="C306" s="548"/>
    </row>
    <row r="307" spans="1:3" s="275" customFormat="1">
      <c r="A307" s="548"/>
      <c r="B307" s="548"/>
      <c r="C307" s="548"/>
    </row>
    <row r="308" spans="1:3" s="275" customFormat="1">
      <c r="A308" s="548"/>
      <c r="B308" s="548"/>
      <c r="C308" s="548"/>
    </row>
    <row r="309" spans="1:3" s="275" customFormat="1">
      <c r="A309" s="548"/>
      <c r="B309" s="548"/>
      <c r="C309" s="548"/>
    </row>
    <row r="310" spans="1:3" s="275" customFormat="1">
      <c r="A310" s="548"/>
      <c r="B310" s="548"/>
      <c r="C310" s="548"/>
    </row>
    <row r="311" spans="1:3" s="275" customFormat="1">
      <c r="A311" s="548"/>
      <c r="B311" s="548"/>
      <c r="C311" s="548"/>
    </row>
    <row r="312" spans="1:3" s="275" customFormat="1">
      <c r="A312" s="548"/>
      <c r="B312" s="548"/>
      <c r="C312" s="548"/>
    </row>
    <row r="313" spans="1:3" s="275" customFormat="1">
      <c r="A313" s="548"/>
      <c r="B313" s="548"/>
      <c r="C313" s="548"/>
    </row>
    <row r="314" spans="1:3" s="275" customFormat="1">
      <c r="A314" s="548"/>
      <c r="B314" s="548"/>
      <c r="C314" s="548"/>
    </row>
    <row r="315" spans="1:3" s="275" customFormat="1">
      <c r="A315" s="548"/>
      <c r="B315" s="548"/>
      <c r="C315" s="548"/>
    </row>
    <row r="316" spans="1:3" s="275" customFormat="1">
      <c r="A316" s="548"/>
      <c r="B316" s="548"/>
      <c r="C316" s="548"/>
    </row>
    <row r="317" spans="1:3" s="275" customFormat="1">
      <c r="A317" s="548"/>
      <c r="B317" s="548"/>
      <c r="C317" s="548"/>
    </row>
    <row r="318" spans="1:3" s="275" customFormat="1">
      <c r="A318" s="548"/>
      <c r="B318" s="548"/>
      <c r="C318" s="548"/>
    </row>
    <row r="319" spans="1:3" s="275" customFormat="1">
      <c r="A319" s="548"/>
      <c r="B319" s="548"/>
      <c r="C319" s="548"/>
    </row>
    <row r="320" spans="1:3" s="275" customFormat="1">
      <c r="A320" s="548"/>
      <c r="B320" s="548"/>
      <c r="C320" s="548"/>
    </row>
    <row r="321" spans="1:3" s="275" customFormat="1">
      <c r="A321" s="548"/>
      <c r="B321" s="548"/>
      <c r="C321" s="548"/>
    </row>
    <row r="322" spans="1:3" s="275" customFormat="1">
      <c r="A322" s="548"/>
      <c r="B322" s="548"/>
      <c r="C322" s="548"/>
    </row>
    <row r="323" spans="1:3" s="275" customFormat="1">
      <c r="A323" s="548"/>
      <c r="B323" s="548"/>
      <c r="C323" s="548"/>
    </row>
    <row r="324" spans="1:3" s="275" customFormat="1">
      <c r="A324" s="548"/>
      <c r="B324" s="548"/>
      <c r="C324" s="548"/>
    </row>
    <row r="325" spans="1:3" s="275" customFormat="1">
      <c r="A325" s="548"/>
      <c r="B325" s="548"/>
      <c r="C325" s="548"/>
    </row>
    <row r="326" spans="1:3" s="275" customFormat="1">
      <c r="A326" s="548"/>
      <c r="B326" s="548"/>
      <c r="C326" s="548"/>
    </row>
    <row r="327" spans="1:3" s="275" customFormat="1">
      <c r="A327" s="548"/>
      <c r="B327" s="548"/>
      <c r="C327" s="548"/>
    </row>
    <row r="328" spans="1:3" s="275" customFormat="1">
      <c r="A328" s="548"/>
      <c r="B328" s="548"/>
      <c r="C328" s="548"/>
    </row>
    <row r="329" spans="1:3" s="275" customFormat="1">
      <c r="A329" s="548"/>
      <c r="B329" s="548"/>
      <c r="C329" s="548"/>
    </row>
    <row r="330" spans="1:3" s="275" customFormat="1">
      <c r="A330" s="548"/>
      <c r="B330" s="548"/>
      <c r="C330" s="548"/>
    </row>
    <row r="331" spans="1:3" s="275" customFormat="1">
      <c r="A331" s="548"/>
      <c r="B331" s="548"/>
      <c r="C331" s="548"/>
    </row>
    <row r="332" spans="1:3" s="275" customFormat="1">
      <c r="A332" s="548"/>
      <c r="B332" s="548"/>
      <c r="C332" s="548"/>
    </row>
    <row r="333" spans="1:3" s="275" customFormat="1">
      <c r="A333" s="548"/>
      <c r="B333" s="548"/>
      <c r="C333" s="548"/>
    </row>
    <row r="334" spans="1:3" s="275" customFormat="1">
      <c r="A334" s="548"/>
      <c r="B334" s="548"/>
      <c r="C334" s="548"/>
    </row>
    <row r="335" spans="1:3" s="275" customFormat="1">
      <c r="A335" s="548"/>
      <c r="B335" s="548"/>
      <c r="C335" s="548"/>
    </row>
    <row r="336" spans="1:3" s="275" customFormat="1">
      <c r="A336" s="548"/>
      <c r="B336" s="548"/>
      <c r="C336" s="548"/>
    </row>
    <row r="337" spans="1:3" s="275" customFormat="1">
      <c r="A337" s="548"/>
      <c r="B337" s="548"/>
      <c r="C337" s="548"/>
    </row>
    <row r="338" spans="1:3" s="275" customFormat="1">
      <c r="A338" s="548"/>
      <c r="B338" s="548"/>
      <c r="C338" s="548"/>
    </row>
    <row r="339" spans="1:3" s="275" customFormat="1">
      <c r="A339" s="548"/>
      <c r="B339" s="548"/>
      <c r="C339" s="548"/>
    </row>
    <row r="340" spans="1:3" s="275" customFormat="1">
      <c r="A340" s="548"/>
      <c r="B340" s="548"/>
      <c r="C340" s="548"/>
    </row>
    <row r="341" spans="1:3" s="275" customFormat="1">
      <c r="A341" s="548"/>
      <c r="B341" s="548"/>
      <c r="C341" s="548"/>
    </row>
    <row r="342" spans="1:3" s="275" customFormat="1">
      <c r="A342" s="548"/>
      <c r="B342" s="548"/>
      <c r="C342" s="548"/>
    </row>
    <row r="343" spans="1:3" s="275" customFormat="1">
      <c r="A343" s="548"/>
      <c r="B343" s="548"/>
      <c r="C343" s="548"/>
    </row>
    <row r="344" spans="1:3" s="275" customFormat="1">
      <c r="A344" s="548"/>
      <c r="B344" s="548"/>
      <c r="C344" s="548"/>
    </row>
    <row r="345" spans="1:3" s="275" customFormat="1">
      <c r="A345" s="548"/>
      <c r="B345" s="548"/>
      <c r="C345" s="548"/>
    </row>
    <row r="346" spans="1:3" s="275" customFormat="1">
      <c r="A346" s="548"/>
      <c r="B346" s="548"/>
      <c r="C346" s="548"/>
    </row>
    <row r="347" spans="1:3" s="275" customFormat="1">
      <c r="A347" s="548"/>
      <c r="B347" s="548"/>
      <c r="C347" s="548"/>
    </row>
    <row r="348" spans="1:3" s="275" customFormat="1">
      <c r="A348" s="548"/>
      <c r="B348" s="548"/>
      <c r="C348" s="548"/>
    </row>
    <row r="349" spans="1:3" s="275" customFormat="1">
      <c r="A349" s="548"/>
      <c r="B349" s="548"/>
      <c r="C349" s="548"/>
    </row>
    <row r="350" spans="1:3" s="275" customFormat="1">
      <c r="A350" s="548"/>
      <c r="B350" s="548"/>
      <c r="C350" s="548"/>
    </row>
    <row r="351" spans="1:3" s="275" customFormat="1">
      <c r="A351" s="548"/>
      <c r="B351" s="548"/>
      <c r="C351" s="548"/>
    </row>
    <row r="352" spans="1:3" s="275" customFormat="1">
      <c r="A352" s="548"/>
      <c r="B352" s="548"/>
      <c r="C352" s="548"/>
    </row>
    <row r="353" spans="1:3" s="275" customFormat="1">
      <c r="A353" s="548"/>
      <c r="B353" s="548"/>
      <c r="C353" s="548"/>
    </row>
    <row r="354" spans="1:3" s="275" customFormat="1">
      <c r="A354" s="548"/>
      <c r="B354" s="548"/>
      <c r="C354" s="548"/>
    </row>
    <row r="355" spans="1:3" s="275" customFormat="1">
      <c r="A355" s="548"/>
      <c r="B355" s="548"/>
      <c r="C355" s="548"/>
    </row>
    <row r="356" spans="1:3" s="275" customFormat="1">
      <c r="A356" s="548"/>
      <c r="B356" s="548"/>
      <c r="C356" s="548"/>
    </row>
    <row r="357" spans="1:3" s="275" customFormat="1">
      <c r="A357" s="548"/>
      <c r="B357" s="548"/>
      <c r="C357" s="548"/>
    </row>
    <row r="358" spans="1:3" s="275" customFormat="1">
      <c r="A358" s="548"/>
      <c r="B358" s="548"/>
      <c r="C358" s="548"/>
    </row>
    <row r="359" spans="1:3" s="275" customFormat="1">
      <c r="A359" s="548"/>
      <c r="B359" s="548"/>
      <c r="C359" s="548"/>
    </row>
    <row r="360" spans="1:3" s="275" customFormat="1">
      <c r="A360" s="548"/>
      <c r="B360" s="548"/>
      <c r="C360" s="548"/>
    </row>
    <row r="361" spans="1:3" s="275" customFormat="1">
      <c r="A361" s="548"/>
      <c r="B361" s="548"/>
      <c r="C361" s="548"/>
    </row>
    <row r="362" spans="1:3" s="275" customFormat="1">
      <c r="A362" s="548"/>
      <c r="B362" s="548"/>
      <c r="C362" s="548"/>
    </row>
    <row r="363" spans="1:3" s="275" customFormat="1">
      <c r="A363" s="548"/>
      <c r="B363" s="548"/>
      <c r="C363" s="548"/>
    </row>
    <row r="364" spans="1:3" s="275" customFormat="1">
      <c r="A364" s="548"/>
      <c r="B364" s="548"/>
      <c r="C364" s="548"/>
    </row>
    <row r="365" spans="1:3" s="275" customFormat="1">
      <c r="A365" s="548"/>
      <c r="B365" s="548"/>
      <c r="C365" s="548"/>
    </row>
    <row r="366" spans="1:3" s="275" customFormat="1">
      <c r="A366" s="548"/>
      <c r="B366" s="548"/>
      <c r="C366" s="548"/>
    </row>
    <row r="367" spans="1:3" s="275" customFormat="1">
      <c r="A367" s="548"/>
      <c r="B367" s="548"/>
      <c r="C367" s="548"/>
    </row>
    <row r="368" spans="1:3" s="275" customFormat="1">
      <c r="A368" s="548"/>
      <c r="B368" s="548"/>
      <c r="C368" s="548"/>
    </row>
    <row r="369" spans="1:3" s="275" customFormat="1">
      <c r="A369" s="548"/>
      <c r="B369" s="548"/>
      <c r="C369" s="548"/>
    </row>
    <row r="370" spans="1:3" s="275" customFormat="1">
      <c r="A370" s="548"/>
      <c r="B370" s="548"/>
      <c r="C370" s="548"/>
    </row>
    <row r="371" spans="1:3" s="275" customFormat="1">
      <c r="A371" s="548"/>
      <c r="B371" s="548"/>
      <c r="C371" s="548"/>
    </row>
    <row r="372" spans="1:3" s="275" customFormat="1">
      <c r="A372" s="548"/>
      <c r="B372" s="548"/>
      <c r="C372" s="548"/>
    </row>
    <row r="373" spans="1:3" s="275" customFormat="1">
      <c r="A373" s="548"/>
      <c r="B373" s="548"/>
      <c r="C373" s="548"/>
    </row>
    <row r="374" spans="1:3" s="275" customFormat="1">
      <c r="A374" s="548"/>
      <c r="B374" s="548"/>
      <c r="C374" s="548"/>
    </row>
    <row r="375" spans="1:3" s="275" customFormat="1">
      <c r="A375" s="548"/>
      <c r="B375" s="548"/>
      <c r="C375" s="548"/>
    </row>
    <row r="376" spans="1:3" s="275" customFormat="1">
      <c r="A376" s="548"/>
      <c r="B376" s="548"/>
      <c r="C376" s="548"/>
    </row>
    <row r="377" spans="1:3" s="275" customFormat="1">
      <c r="A377" s="548"/>
      <c r="B377" s="548"/>
      <c r="C377" s="548"/>
    </row>
    <row r="378" spans="1:3" s="275" customFormat="1">
      <c r="A378" s="548"/>
      <c r="B378" s="548"/>
      <c r="C378" s="548"/>
    </row>
    <row r="379" spans="1:3" s="275" customFormat="1">
      <c r="A379" s="548"/>
      <c r="B379" s="548"/>
      <c r="C379" s="548"/>
    </row>
    <row r="380" spans="1:3" s="275" customFormat="1">
      <c r="A380" s="548"/>
      <c r="B380" s="548"/>
      <c r="C380" s="548"/>
    </row>
    <row r="381" spans="1:3" s="275" customFormat="1">
      <c r="A381" s="548"/>
      <c r="B381" s="548"/>
      <c r="C381" s="548"/>
    </row>
    <row r="382" spans="1:3" s="275" customFormat="1">
      <c r="A382" s="548"/>
      <c r="B382" s="548"/>
      <c r="C382" s="548"/>
    </row>
    <row r="383" spans="1:3" s="275" customFormat="1">
      <c r="A383" s="548"/>
      <c r="B383" s="548"/>
      <c r="C383" s="548"/>
    </row>
    <row r="384" spans="1:3" s="275" customFormat="1">
      <c r="A384" s="548"/>
      <c r="B384" s="548"/>
      <c r="C384" s="548"/>
    </row>
    <row r="385" spans="1:3" s="275" customFormat="1">
      <c r="A385" s="548"/>
      <c r="B385" s="548"/>
      <c r="C385" s="548"/>
    </row>
    <row r="386" spans="1:3" s="275" customFormat="1">
      <c r="A386" s="548"/>
      <c r="B386" s="548"/>
      <c r="C386" s="548"/>
    </row>
    <row r="387" spans="1:3" s="275" customFormat="1">
      <c r="A387" s="548"/>
      <c r="B387" s="548"/>
      <c r="C387" s="548"/>
    </row>
    <row r="388" spans="1:3" s="275" customFormat="1">
      <c r="A388" s="548"/>
      <c r="B388" s="548"/>
      <c r="C388" s="548"/>
    </row>
    <row r="389" spans="1:3" s="275" customFormat="1">
      <c r="A389" s="548"/>
      <c r="B389" s="548"/>
      <c r="C389" s="548"/>
    </row>
    <row r="390" spans="1:3" s="275" customFormat="1">
      <c r="A390" s="548"/>
      <c r="B390" s="548"/>
      <c r="C390" s="548"/>
    </row>
    <row r="391" spans="1:3" s="275" customFormat="1">
      <c r="A391" s="548"/>
      <c r="B391" s="548"/>
      <c r="C391" s="548"/>
    </row>
    <row r="392" spans="1:3" s="275" customFormat="1">
      <c r="A392" s="548"/>
      <c r="B392" s="548"/>
      <c r="C392" s="548"/>
    </row>
    <row r="393" spans="1:3" s="275" customFormat="1">
      <c r="A393" s="548"/>
      <c r="B393" s="548"/>
      <c r="C393" s="548"/>
    </row>
    <row r="394" spans="1:3" s="275" customFormat="1">
      <c r="A394" s="548"/>
      <c r="B394" s="548"/>
      <c r="C394" s="548"/>
    </row>
    <row r="395" spans="1:3" s="275" customFormat="1">
      <c r="A395" s="548"/>
      <c r="B395" s="548"/>
      <c r="C395" s="548"/>
    </row>
    <row r="396" spans="1:3" s="275" customFormat="1">
      <c r="A396" s="548"/>
      <c r="B396" s="548"/>
      <c r="C396" s="548"/>
    </row>
    <row r="397" spans="1:3" s="275" customFormat="1">
      <c r="A397" s="548"/>
      <c r="B397" s="548"/>
      <c r="C397" s="548"/>
    </row>
    <row r="398" spans="1:3" s="275" customFormat="1">
      <c r="A398" s="548"/>
      <c r="B398" s="548"/>
      <c r="C398" s="548"/>
    </row>
    <row r="399" spans="1:3" s="275" customFormat="1">
      <c r="A399" s="548"/>
      <c r="B399" s="548"/>
      <c r="C399" s="548"/>
    </row>
    <row r="400" spans="1:3" s="275" customFormat="1">
      <c r="A400" s="548"/>
      <c r="B400" s="548"/>
      <c r="C400" s="548"/>
    </row>
    <row r="401" spans="1:3" s="275" customFormat="1">
      <c r="A401" s="548"/>
      <c r="B401" s="548"/>
      <c r="C401" s="548"/>
    </row>
    <row r="402" spans="1:3" s="275" customFormat="1">
      <c r="A402" s="548"/>
      <c r="B402" s="548"/>
      <c r="C402" s="548"/>
    </row>
    <row r="403" spans="1:3" s="275" customFormat="1">
      <c r="A403" s="548"/>
      <c r="B403" s="548"/>
      <c r="C403" s="548"/>
    </row>
    <row r="404" spans="1:3" s="275" customFormat="1">
      <c r="A404" s="548"/>
      <c r="B404" s="548"/>
      <c r="C404" s="548"/>
    </row>
    <row r="405" spans="1:3" s="275" customFormat="1">
      <c r="A405" s="548"/>
      <c r="B405" s="548"/>
      <c r="C405" s="548"/>
    </row>
    <row r="406" spans="1:3" s="275" customFormat="1">
      <c r="A406" s="548"/>
      <c r="B406" s="548"/>
      <c r="C406" s="548"/>
    </row>
    <row r="407" spans="1:3" s="275" customFormat="1">
      <c r="A407" s="548"/>
      <c r="B407" s="548"/>
      <c r="C407" s="548"/>
    </row>
    <row r="408" spans="1:3" s="275" customFormat="1">
      <c r="A408" s="548"/>
      <c r="B408" s="548"/>
      <c r="C408" s="548"/>
    </row>
    <row r="409" spans="1:3" s="275" customFormat="1">
      <c r="A409" s="548"/>
      <c r="B409" s="548"/>
      <c r="C409" s="548"/>
    </row>
    <row r="410" spans="1:3" s="275" customFormat="1">
      <c r="A410" s="548"/>
      <c r="B410" s="548"/>
      <c r="C410" s="548"/>
    </row>
    <row r="411" spans="1:3" s="275" customFormat="1">
      <c r="A411" s="548"/>
      <c r="B411" s="548"/>
      <c r="C411" s="548"/>
    </row>
    <row r="412" spans="1:3" s="275" customFormat="1">
      <c r="A412" s="548"/>
      <c r="B412" s="548"/>
      <c r="C412" s="548"/>
    </row>
    <row r="413" spans="1:3" s="275" customFormat="1">
      <c r="A413" s="548"/>
      <c r="B413" s="548"/>
      <c r="C413" s="548"/>
    </row>
    <row r="414" spans="1:3" s="275" customFormat="1">
      <c r="A414" s="548"/>
      <c r="B414" s="548"/>
      <c r="C414" s="548"/>
    </row>
    <row r="415" spans="1:3" s="275" customFormat="1">
      <c r="A415" s="548"/>
      <c r="B415" s="548"/>
      <c r="C415" s="548"/>
    </row>
    <row r="416" spans="1:3" s="275" customFormat="1">
      <c r="A416" s="548"/>
      <c r="B416" s="548"/>
      <c r="C416" s="548"/>
    </row>
    <row r="417" spans="1:3" s="275" customFormat="1">
      <c r="A417" s="548"/>
      <c r="B417" s="548"/>
      <c r="C417" s="548"/>
    </row>
    <row r="418" spans="1:3" s="275" customFormat="1">
      <c r="A418" s="548"/>
      <c r="B418" s="548"/>
      <c r="C418" s="548"/>
    </row>
    <row r="419" spans="1:3" s="275" customFormat="1">
      <c r="A419" s="548"/>
      <c r="B419" s="548"/>
      <c r="C419" s="548"/>
    </row>
    <row r="420" spans="1:3" s="275" customFormat="1">
      <c r="A420" s="548"/>
      <c r="B420" s="548"/>
      <c r="C420" s="548"/>
    </row>
    <row r="421" spans="1:3" s="275" customFormat="1">
      <c r="A421" s="548"/>
      <c r="B421" s="548"/>
      <c r="C421" s="548"/>
    </row>
    <row r="422" spans="1:3" s="275" customFormat="1">
      <c r="A422" s="548"/>
      <c r="B422" s="548"/>
      <c r="C422" s="548"/>
    </row>
    <row r="423" spans="1:3" s="275" customFormat="1">
      <c r="A423" s="548"/>
      <c r="B423" s="548"/>
      <c r="C423" s="548"/>
    </row>
    <row r="424" spans="1:3" s="275" customFormat="1">
      <c r="A424" s="548"/>
      <c r="B424" s="548"/>
      <c r="C424" s="548"/>
    </row>
    <row r="425" spans="1:3" s="275" customFormat="1">
      <c r="A425" s="548"/>
      <c r="B425" s="548"/>
      <c r="C425" s="548"/>
    </row>
    <row r="426" spans="1:3" s="275" customFormat="1">
      <c r="A426" s="548"/>
      <c r="B426" s="548"/>
      <c r="C426" s="548"/>
    </row>
    <row r="427" spans="1:3" s="275" customFormat="1">
      <c r="A427" s="548"/>
      <c r="B427" s="548"/>
      <c r="C427" s="548"/>
    </row>
    <row r="428" spans="1:3" s="275" customFormat="1">
      <c r="A428" s="548"/>
      <c r="B428" s="548"/>
      <c r="C428" s="548"/>
    </row>
    <row r="429" spans="1:3" s="275" customFormat="1">
      <c r="A429" s="548"/>
      <c r="B429" s="548"/>
      <c r="C429" s="548"/>
    </row>
    <row r="430" spans="1:3" s="275" customFormat="1">
      <c r="A430" s="548"/>
      <c r="B430" s="548"/>
      <c r="C430" s="548"/>
    </row>
    <row r="431" spans="1:3" s="275" customFormat="1">
      <c r="A431" s="548"/>
      <c r="B431" s="548"/>
      <c r="C431" s="548"/>
    </row>
    <row r="432" spans="1:3" s="275" customFormat="1">
      <c r="A432" s="548"/>
      <c r="B432" s="548"/>
      <c r="C432" s="548"/>
    </row>
    <row r="433" spans="1:3" s="275" customFormat="1">
      <c r="A433" s="548"/>
      <c r="B433" s="548"/>
      <c r="C433" s="548"/>
    </row>
    <row r="434" spans="1:3" s="275" customFormat="1">
      <c r="A434" s="548"/>
      <c r="B434" s="548"/>
      <c r="C434" s="548"/>
    </row>
    <row r="435" spans="1:3" s="275" customFormat="1">
      <c r="A435" s="548"/>
      <c r="B435" s="548"/>
      <c r="C435" s="548"/>
    </row>
    <row r="436" spans="1:3" s="275" customFormat="1">
      <c r="A436" s="548"/>
      <c r="B436" s="548"/>
      <c r="C436" s="548"/>
    </row>
    <row r="437" spans="1:3" s="275" customFormat="1">
      <c r="A437" s="548"/>
      <c r="B437" s="548"/>
      <c r="C437" s="548"/>
    </row>
    <row r="438" spans="1:3" s="275" customFormat="1">
      <c r="A438" s="548"/>
      <c r="B438" s="548"/>
      <c r="C438" s="548"/>
    </row>
    <row r="439" spans="1:3" s="275" customFormat="1">
      <c r="A439" s="548"/>
      <c r="B439" s="548"/>
      <c r="C439" s="548"/>
    </row>
    <row r="440" spans="1:3" s="275" customFormat="1">
      <c r="A440" s="548"/>
      <c r="B440" s="548"/>
      <c r="C440" s="548"/>
    </row>
    <row r="441" spans="1:3" s="275" customFormat="1">
      <c r="A441" s="548"/>
      <c r="B441" s="548"/>
      <c r="C441" s="548"/>
    </row>
    <row r="442" spans="1:3" s="275" customFormat="1">
      <c r="A442" s="548"/>
      <c r="B442" s="548"/>
      <c r="C442" s="548"/>
    </row>
    <row r="443" spans="1:3" s="275" customFormat="1">
      <c r="A443" s="548"/>
      <c r="B443" s="548"/>
      <c r="C443" s="548"/>
    </row>
    <row r="444" spans="1:3" s="275" customFormat="1">
      <c r="A444" s="548"/>
      <c r="B444" s="548"/>
      <c r="C444" s="548"/>
    </row>
    <row r="445" spans="1:3" s="275" customFormat="1">
      <c r="A445" s="548"/>
      <c r="B445" s="548"/>
      <c r="C445" s="548"/>
    </row>
    <row r="446" spans="1:3" s="275" customFormat="1">
      <c r="A446" s="548"/>
      <c r="B446" s="548"/>
      <c r="C446" s="548"/>
    </row>
    <row r="447" spans="1:3" s="275" customFormat="1">
      <c r="A447" s="548"/>
      <c r="B447" s="548"/>
      <c r="C447" s="548"/>
    </row>
    <row r="448" spans="1:3" s="275" customFormat="1">
      <c r="A448" s="548"/>
      <c r="B448" s="548"/>
      <c r="C448" s="548"/>
    </row>
    <row r="449" spans="1:3" s="275" customFormat="1">
      <c r="A449" s="548"/>
      <c r="B449" s="548"/>
      <c r="C449" s="548"/>
    </row>
    <row r="450" spans="1:3" s="275" customFormat="1">
      <c r="A450" s="548"/>
      <c r="B450" s="548"/>
      <c r="C450" s="548"/>
    </row>
    <row r="451" spans="1:3" s="275" customFormat="1">
      <c r="A451" s="548"/>
      <c r="B451" s="548"/>
      <c r="C451" s="548"/>
    </row>
    <row r="452" spans="1:3" s="275" customFormat="1">
      <c r="A452" s="548"/>
      <c r="B452" s="548"/>
      <c r="C452" s="548"/>
    </row>
    <row r="453" spans="1:3" s="275" customFormat="1">
      <c r="A453" s="548"/>
      <c r="B453" s="548"/>
      <c r="C453" s="548"/>
    </row>
    <row r="454" spans="1:3" s="275" customFormat="1">
      <c r="A454" s="548"/>
      <c r="B454" s="548"/>
      <c r="C454" s="548"/>
    </row>
    <row r="455" spans="1:3" s="275" customFormat="1">
      <c r="A455" s="548"/>
      <c r="B455" s="548"/>
      <c r="C455" s="548"/>
    </row>
    <row r="456" spans="1:3" s="275" customFormat="1">
      <c r="A456" s="548"/>
      <c r="B456" s="548"/>
      <c r="C456" s="548"/>
    </row>
    <row r="457" spans="1:3" s="275" customFormat="1">
      <c r="A457" s="548"/>
      <c r="B457" s="548"/>
      <c r="C457" s="548"/>
    </row>
    <row r="458" spans="1:3" s="275" customFormat="1">
      <c r="A458" s="548"/>
      <c r="B458" s="548"/>
      <c r="C458" s="548"/>
    </row>
    <row r="459" spans="1:3" s="275" customFormat="1">
      <c r="A459" s="548"/>
      <c r="B459" s="548"/>
      <c r="C459" s="548"/>
    </row>
    <row r="460" spans="1:3" s="275" customFormat="1">
      <c r="A460" s="548"/>
      <c r="B460" s="548"/>
      <c r="C460" s="548"/>
    </row>
    <row r="461" spans="1:3" s="275" customFormat="1">
      <c r="A461" s="548"/>
      <c r="B461" s="548"/>
      <c r="C461" s="548"/>
    </row>
    <row r="462" spans="1:3" s="275" customFormat="1">
      <c r="A462" s="548"/>
      <c r="B462" s="548"/>
      <c r="C462" s="548"/>
    </row>
    <row r="463" spans="1:3" s="275" customFormat="1">
      <c r="A463" s="548"/>
      <c r="B463" s="548"/>
      <c r="C463" s="548"/>
    </row>
    <row r="464" spans="1:3" s="275" customFormat="1">
      <c r="A464" s="548"/>
      <c r="B464" s="548"/>
      <c r="C464" s="548"/>
    </row>
    <row r="465" spans="1:3" s="275" customFormat="1">
      <c r="A465" s="548"/>
      <c r="B465" s="548"/>
      <c r="C465" s="548"/>
    </row>
    <row r="466" spans="1:3" s="275" customFormat="1">
      <c r="A466" s="548"/>
      <c r="B466" s="548"/>
      <c r="C466" s="548"/>
    </row>
    <row r="467" spans="1:3" s="275" customFormat="1">
      <c r="A467" s="548"/>
      <c r="B467" s="548"/>
      <c r="C467" s="548"/>
    </row>
    <row r="468" spans="1:3" s="275" customFormat="1">
      <c r="A468" s="548"/>
      <c r="B468" s="548"/>
      <c r="C468" s="548"/>
    </row>
    <row r="469" spans="1:3" s="275" customFormat="1">
      <c r="A469" s="548"/>
      <c r="B469" s="548"/>
      <c r="C469" s="548"/>
    </row>
    <row r="470" spans="1:3" s="275" customFormat="1">
      <c r="A470" s="548"/>
      <c r="B470" s="548"/>
      <c r="C470" s="548"/>
    </row>
    <row r="471" spans="1:3" s="275" customFormat="1">
      <c r="A471" s="548"/>
      <c r="B471" s="548"/>
      <c r="C471" s="548"/>
    </row>
    <row r="472" spans="1:3" s="275" customFormat="1">
      <c r="A472" s="548"/>
      <c r="B472" s="548"/>
      <c r="C472" s="548"/>
    </row>
    <row r="473" spans="1:3" s="275" customFormat="1">
      <c r="A473" s="548"/>
      <c r="B473" s="548"/>
      <c r="C473" s="548"/>
    </row>
    <row r="474" spans="1:3" s="275" customFormat="1">
      <c r="A474" s="548"/>
      <c r="B474" s="548"/>
      <c r="C474" s="548"/>
    </row>
    <row r="475" spans="1:3" s="275" customFormat="1">
      <c r="A475" s="548"/>
      <c r="B475" s="548"/>
      <c r="C475" s="548"/>
    </row>
    <row r="476" spans="1:3" s="275" customFormat="1">
      <c r="A476" s="548"/>
      <c r="B476" s="548"/>
      <c r="C476" s="548"/>
    </row>
    <row r="477" spans="1:3" s="275" customFormat="1">
      <c r="A477" s="548"/>
      <c r="B477" s="548"/>
      <c r="C477" s="548"/>
    </row>
    <row r="478" spans="1:3" s="275" customFormat="1">
      <c r="A478" s="548"/>
      <c r="B478" s="548"/>
      <c r="C478" s="548"/>
    </row>
    <row r="479" spans="1:3" s="275" customFormat="1">
      <c r="A479" s="548"/>
      <c r="B479" s="548"/>
      <c r="C479" s="548"/>
    </row>
    <row r="480" spans="1:3" s="275" customFormat="1">
      <c r="A480" s="548"/>
      <c r="B480" s="548"/>
      <c r="C480" s="548"/>
    </row>
    <row r="481" spans="1:3" s="275" customFormat="1">
      <c r="A481" s="548"/>
      <c r="B481" s="548"/>
      <c r="C481" s="548"/>
    </row>
    <row r="482" spans="1:3" s="275" customFormat="1">
      <c r="A482" s="548"/>
      <c r="B482" s="548"/>
      <c r="C482" s="548"/>
    </row>
    <row r="483" spans="1:3" s="275" customFormat="1">
      <c r="A483" s="548"/>
      <c r="B483" s="548"/>
      <c r="C483" s="548"/>
    </row>
    <row r="484" spans="1:3" s="275" customFormat="1">
      <c r="A484" s="548"/>
      <c r="B484" s="548"/>
      <c r="C484" s="548"/>
    </row>
    <row r="485" spans="1:3" s="275" customFormat="1">
      <c r="A485" s="548"/>
      <c r="B485" s="548"/>
      <c r="C485" s="548"/>
    </row>
    <row r="486" spans="1:3" s="275" customFormat="1">
      <c r="A486" s="548"/>
      <c r="B486" s="548"/>
      <c r="C486" s="548"/>
    </row>
    <row r="487" spans="1:3" s="275" customFormat="1">
      <c r="A487" s="548"/>
      <c r="B487" s="548"/>
      <c r="C487" s="548"/>
    </row>
    <row r="488" spans="1:3" s="275" customFormat="1">
      <c r="A488" s="548"/>
      <c r="B488" s="548"/>
      <c r="C488" s="548"/>
    </row>
    <row r="489" spans="1:3" s="275" customFormat="1">
      <c r="A489" s="548"/>
      <c r="B489" s="548"/>
      <c r="C489" s="548"/>
    </row>
    <row r="490" spans="1:3" s="275" customFormat="1">
      <c r="A490" s="548"/>
      <c r="B490" s="548"/>
      <c r="C490" s="548"/>
    </row>
    <row r="491" spans="1:3" s="275" customFormat="1">
      <c r="A491" s="548"/>
      <c r="B491" s="548"/>
      <c r="C491" s="548"/>
    </row>
    <row r="492" spans="1:3" s="275" customFormat="1">
      <c r="A492" s="548"/>
      <c r="B492" s="548"/>
      <c r="C492" s="548"/>
    </row>
    <row r="493" spans="1:3" s="275" customFormat="1">
      <c r="A493" s="548"/>
      <c r="B493" s="548"/>
      <c r="C493" s="548"/>
    </row>
    <row r="494" spans="1:3" s="275" customFormat="1">
      <c r="A494" s="548"/>
      <c r="B494" s="548"/>
      <c r="C494" s="548"/>
    </row>
    <row r="495" spans="1:3" s="275" customFormat="1">
      <c r="A495" s="548"/>
      <c r="B495" s="548"/>
      <c r="C495" s="548"/>
    </row>
    <row r="496" spans="1:3" s="275" customFormat="1">
      <c r="A496" s="548"/>
      <c r="B496" s="548"/>
      <c r="C496" s="548"/>
    </row>
    <row r="497" spans="1:3" s="275" customFormat="1">
      <c r="A497" s="548"/>
      <c r="B497" s="548"/>
      <c r="C497" s="548"/>
    </row>
    <row r="498" spans="1:3" s="275" customFormat="1">
      <c r="A498" s="548"/>
      <c r="B498" s="548"/>
      <c r="C498" s="548"/>
    </row>
    <row r="499" spans="1:3" s="275" customFormat="1">
      <c r="A499" s="548"/>
      <c r="B499" s="548"/>
      <c r="C499" s="548"/>
    </row>
    <row r="500" spans="1:3" s="275" customFormat="1">
      <c r="A500" s="548"/>
      <c r="B500" s="548"/>
      <c r="C500" s="548"/>
    </row>
    <row r="501" spans="1:3" s="275" customFormat="1">
      <c r="A501" s="548"/>
      <c r="B501" s="548"/>
      <c r="C501" s="548"/>
    </row>
    <row r="502" spans="1:3" s="275" customFormat="1">
      <c r="A502" s="548"/>
      <c r="B502" s="548"/>
      <c r="C502" s="548"/>
    </row>
    <row r="503" spans="1:3" s="275" customFormat="1">
      <c r="A503" s="548"/>
      <c r="B503" s="548"/>
      <c r="C503" s="548"/>
    </row>
    <row r="504" spans="1:3" s="275" customFormat="1">
      <c r="A504" s="548"/>
      <c r="B504" s="548"/>
      <c r="C504" s="548"/>
    </row>
    <row r="505" spans="1:3" s="275" customFormat="1">
      <c r="A505" s="548"/>
      <c r="B505" s="548"/>
      <c r="C505" s="548"/>
    </row>
    <row r="506" spans="1:3" s="275" customFormat="1">
      <c r="A506" s="548"/>
      <c r="B506" s="548"/>
      <c r="C506" s="548"/>
    </row>
    <row r="507" spans="1:3" s="275" customFormat="1">
      <c r="A507" s="548"/>
      <c r="B507" s="548"/>
      <c r="C507" s="548"/>
    </row>
    <row r="508" spans="1:3" s="275" customFormat="1">
      <c r="A508" s="548"/>
      <c r="B508" s="548"/>
      <c r="C508" s="548"/>
    </row>
    <row r="509" spans="1:3" s="275" customFormat="1">
      <c r="A509" s="548"/>
      <c r="B509" s="548"/>
      <c r="C509" s="548"/>
    </row>
    <row r="510" spans="1:3" s="275" customFormat="1">
      <c r="A510" s="548"/>
      <c r="B510" s="548"/>
      <c r="C510" s="548"/>
    </row>
    <row r="511" spans="1:3" s="275" customFormat="1">
      <c r="A511" s="548"/>
      <c r="B511" s="548"/>
      <c r="C511" s="548"/>
    </row>
    <row r="512" spans="1:3" s="275" customFormat="1">
      <c r="A512" s="548"/>
      <c r="B512" s="548"/>
      <c r="C512" s="548"/>
    </row>
    <row r="513" spans="1:3" s="275" customFormat="1">
      <c r="A513" s="548"/>
      <c r="B513" s="548"/>
      <c r="C513" s="548"/>
    </row>
    <row r="514" spans="1:3" s="275" customFormat="1">
      <c r="A514" s="548"/>
      <c r="B514" s="548"/>
      <c r="C514" s="548"/>
    </row>
    <row r="515" spans="1:3" s="275" customFormat="1">
      <c r="A515" s="548"/>
      <c r="B515" s="548"/>
      <c r="C515" s="548"/>
    </row>
    <row r="516" spans="1:3" s="275" customFormat="1">
      <c r="A516" s="548"/>
      <c r="B516" s="548"/>
      <c r="C516" s="548"/>
    </row>
    <row r="517" spans="1:3" s="275" customFormat="1">
      <c r="A517" s="548"/>
      <c r="B517" s="548"/>
      <c r="C517" s="548"/>
    </row>
    <row r="518" spans="1:3" s="275" customFormat="1">
      <c r="A518" s="548"/>
      <c r="B518" s="548"/>
      <c r="C518" s="548"/>
    </row>
    <row r="519" spans="1:3" s="275" customFormat="1">
      <c r="A519" s="548"/>
      <c r="B519" s="548"/>
      <c r="C519" s="548"/>
    </row>
    <row r="520" spans="1:3" s="275" customFormat="1">
      <c r="A520" s="548"/>
      <c r="B520" s="548"/>
      <c r="C520" s="548"/>
    </row>
    <row r="521" spans="1:3" s="275" customFormat="1">
      <c r="A521" s="548"/>
      <c r="B521" s="548"/>
      <c r="C521" s="548"/>
    </row>
    <row r="522" spans="1:3" s="275" customFormat="1">
      <c r="A522" s="548"/>
      <c r="B522" s="548"/>
      <c r="C522" s="548"/>
    </row>
    <row r="523" spans="1:3" s="275" customFormat="1">
      <c r="A523" s="548"/>
      <c r="B523" s="548"/>
      <c r="C523" s="548"/>
    </row>
    <row r="524" spans="1:3" s="275" customFormat="1">
      <c r="A524" s="548"/>
      <c r="B524" s="548"/>
      <c r="C524" s="548"/>
    </row>
    <row r="525" spans="1:3" s="275" customFormat="1">
      <c r="A525" s="548"/>
      <c r="B525" s="548"/>
      <c r="C525" s="548"/>
    </row>
    <row r="526" spans="1:3" s="275" customFormat="1">
      <c r="A526" s="548"/>
      <c r="B526" s="548"/>
      <c r="C526" s="548"/>
    </row>
    <row r="527" spans="1:3" s="275" customFormat="1">
      <c r="A527" s="548"/>
      <c r="B527" s="548"/>
      <c r="C527" s="548"/>
    </row>
    <row r="528" spans="1:3" s="275" customFormat="1">
      <c r="A528" s="548"/>
      <c r="B528" s="548"/>
      <c r="C528" s="548"/>
    </row>
    <row r="529" spans="1:3" s="275" customFormat="1">
      <c r="A529" s="548"/>
      <c r="B529" s="548"/>
      <c r="C529" s="548"/>
    </row>
    <row r="530" spans="1:3" s="275" customFormat="1">
      <c r="A530" s="548"/>
      <c r="B530" s="548"/>
      <c r="C530" s="548"/>
    </row>
    <row r="531" spans="1:3" s="275" customFormat="1">
      <c r="A531" s="548"/>
      <c r="B531" s="548"/>
      <c r="C531" s="548"/>
    </row>
    <row r="532" spans="1:3" s="275" customFormat="1">
      <c r="A532" s="548"/>
      <c r="B532" s="548"/>
      <c r="C532" s="548"/>
    </row>
    <row r="533" spans="1:3" s="275" customFormat="1">
      <c r="A533" s="548"/>
      <c r="B533" s="548"/>
      <c r="C533" s="548"/>
    </row>
    <row r="534" spans="1:3" s="275" customFormat="1">
      <c r="A534" s="548"/>
      <c r="B534" s="548"/>
      <c r="C534" s="548"/>
    </row>
    <row r="535" spans="1:3" s="275" customFormat="1">
      <c r="A535" s="548"/>
      <c r="B535" s="548"/>
      <c r="C535" s="548"/>
    </row>
    <row r="536" spans="1:3" s="275" customFormat="1">
      <c r="A536" s="548"/>
      <c r="B536" s="548"/>
      <c r="C536" s="548"/>
    </row>
    <row r="537" spans="1:3" s="275" customFormat="1">
      <c r="A537" s="548"/>
      <c r="B537" s="548"/>
      <c r="C537" s="548"/>
    </row>
    <row r="538" spans="1:3" s="275" customFormat="1">
      <c r="A538" s="548"/>
      <c r="B538" s="548"/>
      <c r="C538" s="548"/>
    </row>
    <row r="539" spans="1:3" s="275" customFormat="1">
      <c r="A539" s="548"/>
      <c r="B539" s="548"/>
      <c r="C539" s="548"/>
    </row>
    <row r="540" spans="1:3" s="275" customFormat="1">
      <c r="A540" s="548"/>
      <c r="B540" s="548"/>
      <c r="C540" s="548"/>
    </row>
    <row r="541" spans="1:3" s="275" customFormat="1">
      <c r="A541" s="548"/>
      <c r="B541" s="548"/>
      <c r="C541" s="548"/>
    </row>
    <row r="542" spans="1:3" s="275" customFormat="1">
      <c r="A542" s="548"/>
      <c r="B542" s="548"/>
      <c r="C542" s="548"/>
    </row>
    <row r="543" spans="1:3" s="275" customFormat="1">
      <c r="A543" s="548"/>
      <c r="B543" s="548"/>
      <c r="C543" s="548"/>
    </row>
    <row r="544" spans="1:3" s="275" customFormat="1">
      <c r="A544" s="548"/>
      <c r="B544" s="548"/>
      <c r="C544" s="548"/>
    </row>
    <row r="545" spans="1:3" s="275" customFormat="1">
      <c r="A545" s="548"/>
      <c r="B545" s="548"/>
      <c r="C545" s="548"/>
    </row>
    <row r="546" spans="1:3" s="275" customFormat="1">
      <c r="A546" s="548"/>
      <c r="B546" s="548"/>
      <c r="C546" s="548"/>
    </row>
    <row r="547" spans="1:3" s="275" customFormat="1">
      <c r="A547" s="548"/>
      <c r="B547" s="548"/>
      <c r="C547" s="548"/>
    </row>
    <row r="548" spans="1:3" s="275" customFormat="1">
      <c r="A548" s="548"/>
      <c r="B548" s="548"/>
      <c r="C548" s="548"/>
    </row>
    <row r="549" spans="1:3" s="275" customFormat="1">
      <c r="A549" s="548"/>
      <c r="B549" s="548"/>
      <c r="C549" s="548"/>
    </row>
    <row r="550" spans="1:3" s="275" customFormat="1">
      <c r="A550" s="548"/>
      <c r="B550" s="548"/>
      <c r="C550" s="548"/>
    </row>
    <row r="551" spans="1:3" s="275" customFormat="1">
      <c r="A551" s="548"/>
      <c r="B551" s="548"/>
      <c r="C551" s="548"/>
    </row>
    <row r="552" spans="1:3" s="275" customFormat="1">
      <c r="A552" s="548"/>
      <c r="B552" s="548"/>
      <c r="C552" s="548"/>
    </row>
    <row r="553" spans="1:3" s="275" customFormat="1">
      <c r="A553" s="548"/>
      <c r="B553" s="548"/>
      <c r="C553" s="548"/>
    </row>
    <row r="554" spans="1:3" s="275" customFormat="1">
      <c r="A554" s="548"/>
      <c r="B554" s="548"/>
      <c r="C554" s="548"/>
    </row>
    <row r="555" spans="1:3" s="275" customFormat="1">
      <c r="A555" s="548"/>
      <c r="B555" s="548"/>
      <c r="C555" s="548"/>
    </row>
    <row r="556" spans="1:3" s="275" customFormat="1">
      <c r="A556" s="548"/>
      <c r="B556" s="548"/>
      <c r="C556" s="548"/>
    </row>
    <row r="557" spans="1:3" s="275" customFormat="1">
      <c r="A557" s="548"/>
      <c r="B557" s="548"/>
      <c r="C557" s="548"/>
    </row>
    <row r="558" spans="1:3" s="275" customFormat="1">
      <c r="A558" s="548"/>
      <c r="B558" s="548"/>
      <c r="C558" s="548"/>
    </row>
    <row r="559" spans="1:3" s="275" customFormat="1">
      <c r="A559" s="548"/>
      <c r="B559" s="548"/>
      <c r="C559" s="548"/>
    </row>
    <row r="560" spans="1:3" s="275" customFormat="1">
      <c r="A560" s="548"/>
      <c r="B560" s="548"/>
      <c r="C560" s="548"/>
    </row>
    <row r="561" spans="1:3" s="275" customFormat="1">
      <c r="A561" s="548"/>
      <c r="B561" s="548"/>
      <c r="C561" s="548"/>
    </row>
    <row r="562" spans="1:3" s="275" customFormat="1">
      <c r="A562" s="548"/>
      <c r="B562" s="548"/>
      <c r="C562" s="548"/>
    </row>
    <row r="563" spans="1:3" s="275" customFormat="1">
      <c r="A563" s="548"/>
      <c r="B563" s="548"/>
      <c r="C563" s="548"/>
    </row>
    <row r="564" spans="1:3" s="275" customFormat="1">
      <c r="A564" s="548"/>
      <c r="B564" s="548"/>
      <c r="C564" s="548"/>
    </row>
    <row r="565" spans="1:3" s="275" customFormat="1">
      <c r="A565" s="548"/>
      <c r="B565" s="548"/>
      <c r="C565" s="548"/>
    </row>
    <row r="566" spans="1:3" s="275" customFormat="1">
      <c r="A566" s="548"/>
      <c r="B566" s="548"/>
      <c r="C566" s="548"/>
    </row>
    <row r="567" spans="1:3" s="275" customFormat="1">
      <c r="A567" s="548"/>
      <c r="B567" s="548"/>
      <c r="C567" s="548"/>
    </row>
    <row r="568" spans="1:3" s="275" customFormat="1">
      <c r="A568" s="548"/>
      <c r="B568" s="548"/>
      <c r="C568" s="548"/>
    </row>
    <row r="569" spans="1:3" s="275" customFormat="1">
      <c r="A569" s="548"/>
      <c r="B569" s="548"/>
      <c r="C569" s="548"/>
    </row>
    <row r="570" spans="1:3" s="275" customFormat="1">
      <c r="A570" s="548"/>
      <c r="B570" s="548"/>
      <c r="C570" s="548"/>
    </row>
    <row r="571" spans="1:3" s="275" customFormat="1">
      <c r="A571" s="548"/>
      <c r="B571" s="548"/>
      <c r="C571" s="548"/>
    </row>
    <row r="572" spans="1:3" s="275" customFormat="1">
      <c r="A572" s="548"/>
      <c r="B572" s="548"/>
      <c r="C572" s="548"/>
    </row>
    <row r="573" spans="1:3" s="275" customFormat="1">
      <c r="A573" s="548"/>
      <c r="B573" s="548"/>
      <c r="C573" s="548"/>
    </row>
    <row r="574" spans="1:3" s="275" customFormat="1">
      <c r="A574" s="548"/>
      <c r="B574" s="548"/>
      <c r="C574" s="548"/>
    </row>
    <row r="575" spans="1:3" s="275" customFormat="1">
      <c r="A575" s="548"/>
      <c r="B575" s="548"/>
      <c r="C575" s="548"/>
    </row>
    <row r="576" spans="1:3" s="275" customFormat="1">
      <c r="A576" s="548"/>
      <c r="B576" s="548"/>
      <c r="C576" s="548"/>
    </row>
    <row r="577" spans="1:3" s="275" customFormat="1">
      <c r="A577" s="548"/>
      <c r="B577" s="548"/>
      <c r="C577" s="548"/>
    </row>
    <row r="578" spans="1:3" s="275" customFormat="1">
      <c r="A578" s="548"/>
      <c r="B578" s="548"/>
      <c r="C578" s="548"/>
    </row>
    <row r="579" spans="1:3" s="275" customFormat="1">
      <c r="A579" s="548"/>
      <c r="B579" s="548"/>
      <c r="C579" s="548"/>
    </row>
    <row r="580" spans="1:3" s="275" customFormat="1">
      <c r="A580" s="548"/>
      <c r="B580" s="548"/>
      <c r="C580" s="548"/>
    </row>
    <row r="581" spans="1:3" s="275" customFormat="1">
      <c r="A581" s="548"/>
      <c r="B581" s="548"/>
      <c r="C581" s="548"/>
    </row>
    <row r="582" spans="1:3" s="275" customFormat="1">
      <c r="A582" s="548"/>
      <c r="B582" s="548"/>
      <c r="C582" s="548"/>
    </row>
    <row r="583" spans="1:3" s="275" customFormat="1">
      <c r="A583" s="548"/>
      <c r="B583" s="548"/>
      <c r="C583" s="548"/>
    </row>
    <row r="584" spans="1:3" s="275" customFormat="1">
      <c r="A584" s="548"/>
      <c r="B584" s="548"/>
      <c r="C584" s="548"/>
    </row>
    <row r="585" spans="1:3" s="275" customFormat="1">
      <c r="A585" s="548"/>
      <c r="B585" s="548"/>
      <c r="C585" s="548"/>
    </row>
    <row r="586" spans="1:3" s="275" customFormat="1">
      <c r="A586" s="548"/>
      <c r="B586" s="548"/>
      <c r="C586" s="548"/>
    </row>
    <row r="587" spans="1:3" s="275" customFormat="1">
      <c r="A587" s="548"/>
      <c r="B587" s="548"/>
      <c r="C587" s="548"/>
    </row>
    <row r="588" spans="1:3" s="275" customFormat="1">
      <c r="A588" s="548"/>
      <c r="B588" s="548"/>
      <c r="C588" s="548"/>
    </row>
    <row r="589" spans="1:3" s="275" customFormat="1">
      <c r="A589" s="548"/>
      <c r="B589" s="548"/>
      <c r="C589" s="548"/>
    </row>
    <row r="590" spans="1:3" s="275" customFormat="1">
      <c r="A590" s="548"/>
      <c r="B590" s="548"/>
      <c r="C590" s="548"/>
    </row>
    <row r="591" spans="1:3" s="275" customFormat="1">
      <c r="A591" s="548"/>
      <c r="B591" s="548"/>
      <c r="C591" s="548"/>
    </row>
    <row r="592" spans="1:3" s="275" customFormat="1">
      <c r="A592" s="548"/>
      <c r="B592" s="548"/>
      <c r="C592" s="548"/>
    </row>
    <row r="593" spans="1:3" s="275" customFormat="1">
      <c r="A593" s="548"/>
      <c r="B593" s="548"/>
      <c r="C593" s="548"/>
    </row>
    <row r="594" spans="1:3" s="275" customFormat="1">
      <c r="A594" s="548"/>
      <c r="B594" s="548"/>
      <c r="C594" s="548"/>
    </row>
    <row r="595" spans="1:3" s="275" customFormat="1">
      <c r="A595" s="548"/>
      <c r="B595" s="548"/>
      <c r="C595" s="548"/>
    </row>
    <row r="596" spans="1:3" s="275" customFormat="1">
      <c r="A596" s="548"/>
      <c r="B596" s="548"/>
      <c r="C596" s="548"/>
    </row>
    <row r="597" spans="1:3" s="275" customFormat="1">
      <c r="A597" s="548"/>
      <c r="B597" s="548"/>
      <c r="C597" s="548"/>
    </row>
    <row r="598" spans="1:3" s="275" customFormat="1">
      <c r="A598" s="548"/>
      <c r="B598" s="548"/>
      <c r="C598" s="548"/>
    </row>
    <row r="599" spans="1:3" s="275" customFormat="1">
      <c r="A599" s="548"/>
      <c r="B599" s="548"/>
      <c r="C599" s="548"/>
    </row>
    <row r="600" spans="1:3" s="275" customFormat="1">
      <c r="A600" s="548"/>
      <c r="B600" s="548"/>
      <c r="C600" s="548"/>
    </row>
    <row r="601" spans="1:3" s="275" customFormat="1">
      <c r="A601" s="548"/>
      <c r="B601" s="548"/>
      <c r="C601" s="548"/>
    </row>
    <row r="602" spans="1:3" s="275" customFormat="1">
      <c r="A602" s="548"/>
      <c r="B602" s="548"/>
      <c r="C602" s="548"/>
    </row>
    <row r="603" spans="1:3" s="275" customFormat="1">
      <c r="A603" s="548"/>
      <c r="B603" s="548"/>
      <c r="C603" s="548"/>
    </row>
    <row r="604" spans="1:3" s="275" customFormat="1">
      <c r="A604" s="548"/>
      <c r="B604" s="548"/>
      <c r="C604" s="548"/>
    </row>
    <row r="605" spans="1:3" s="275" customFormat="1">
      <c r="A605" s="548"/>
      <c r="B605" s="548"/>
      <c r="C605" s="548"/>
    </row>
    <row r="606" spans="1:3" s="275" customFormat="1">
      <c r="A606" s="548"/>
      <c r="B606" s="548"/>
      <c r="C606" s="548"/>
    </row>
    <row r="607" spans="1:3" s="275" customFormat="1">
      <c r="A607" s="548"/>
      <c r="B607" s="548"/>
      <c r="C607" s="548"/>
    </row>
    <row r="608" spans="1:3" s="275" customFormat="1">
      <c r="A608" s="548"/>
      <c r="B608" s="548"/>
      <c r="C608" s="548"/>
    </row>
    <row r="609" spans="1:3" s="275" customFormat="1">
      <c r="A609" s="548"/>
      <c r="B609" s="548"/>
      <c r="C609" s="548"/>
    </row>
    <row r="610" spans="1:3" s="275" customFormat="1">
      <c r="A610" s="548"/>
      <c r="B610" s="548"/>
      <c r="C610" s="548"/>
    </row>
    <row r="611" spans="1:3" s="275" customFormat="1">
      <c r="A611" s="548"/>
      <c r="B611" s="548"/>
      <c r="C611" s="548"/>
    </row>
    <row r="612" spans="1:3" s="275" customFormat="1">
      <c r="A612" s="548"/>
      <c r="B612" s="548"/>
      <c r="C612" s="548"/>
    </row>
    <row r="613" spans="1:3" s="275" customFormat="1">
      <c r="A613" s="548"/>
      <c r="B613" s="548"/>
      <c r="C613" s="548"/>
    </row>
    <row r="614" spans="1:3" s="275" customFormat="1">
      <c r="A614" s="548"/>
      <c r="B614" s="548"/>
      <c r="C614" s="548"/>
    </row>
    <row r="615" spans="1:3" s="275" customFormat="1">
      <c r="A615" s="548"/>
      <c r="B615" s="548"/>
      <c r="C615" s="548"/>
    </row>
    <row r="616" spans="1:3" s="275" customFormat="1">
      <c r="A616" s="548"/>
      <c r="B616" s="548"/>
      <c r="C616" s="548"/>
    </row>
    <row r="617" spans="1:3" s="275" customFormat="1">
      <c r="A617" s="548"/>
      <c r="B617" s="548"/>
      <c r="C617" s="548"/>
    </row>
    <row r="618" spans="1:3" s="275" customFormat="1">
      <c r="A618" s="548"/>
      <c r="B618" s="548"/>
      <c r="C618" s="548"/>
    </row>
    <row r="619" spans="1:3" s="275" customFormat="1">
      <c r="A619" s="548"/>
      <c r="B619" s="548"/>
      <c r="C619" s="548"/>
    </row>
    <row r="620" spans="1:3" s="275" customFormat="1">
      <c r="A620" s="548"/>
      <c r="B620" s="548"/>
      <c r="C620" s="548"/>
    </row>
    <row r="621" spans="1:3" s="275" customFormat="1">
      <c r="A621" s="548"/>
      <c r="B621" s="548"/>
      <c r="C621" s="548"/>
    </row>
    <row r="622" spans="1:3" s="275" customFormat="1">
      <c r="A622" s="548"/>
      <c r="B622" s="548"/>
      <c r="C622" s="548"/>
    </row>
    <row r="623" spans="1:3" s="275" customFormat="1">
      <c r="A623" s="548"/>
      <c r="B623" s="548"/>
      <c r="C623" s="548"/>
    </row>
    <row r="624" spans="1:3" s="275" customFormat="1">
      <c r="A624" s="548"/>
      <c r="B624" s="548"/>
      <c r="C624" s="548"/>
    </row>
    <row r="625" spans="1:3" s="275" customFormat="1">
      <c r="A625" s="548"/>
      <c r="B625" s="548"/>
      <c r="C625" s="548"/>
    </row>
    <row r="626" spans="1:3" s="275" customFormat="1">
      <c r="A626" s="548"/>
      <c r="B626" s="548"/>
      <c r="C626" s="548"/>
    </row>
    <row r="627" spans="1:3" s="275" customFormat="1">
      <c r="A627" s="548"/>
      <c r="B627" s="548"/>
      <c r="C627" s="548"/>
    </row>
    <row r="628" spans="1:3" s="275" customFormat="1">
      <c r="A628" s="548"/>
      <c r="B628" s="548"/>
      <c r="C628" s="548"/>
    </row>
    <row r="629" spans="1:3" s="275" customFormat="1">
      <c r="A629" s="548"/>
      <c r="B629" s="548"/>
      <c r="C629" s="548"/>
    </row>
    <row r="630" spans="1:3" s="275" customFormat="1">
      <c r="A630" s="548"/>
      <c r="B630" s="548"/>
      <c r="C630" s="548"/>
    </row>
    <row r="631" spans="1:3" s="275" customFormat="1">
      <c r="A631" s="548"/>
      <c r="B631" s="548"/>
      <c r="C631" s="548"/>
    </row>
    <row r="632" spans="1:3" s="275" customFormat="1">
      <c r="A632" s="548"/>
      <c r="B632" s="548"/>
      <c r="C632" s="548"/>
    </row>
    <row r="633" spans="1:3" s="275" customFormat="1">
      <c r="A633" s="548"/>
      <c r="B633" s="548"/>
      <c r="C633" s="548"/>
    </row>
    <row r="634" spans="1:3" s="275" customFormat="1">
      <c r="A634" s="548"/>
      <c r="B634" s="548"/>
      <c r="C634" s="548"/>
    </row>
    <row r="635" spans="1:3" s="275" customFormat="1">
      <c r="A635" s="548"/>
      <c r="B635" s="548"/>
      <c r="C635" s="548"/>
    </row>
    <row r="636" spans="1:3" s="275" customFormat="1">
      <c r="A636" s="548"/>
      <c r="B636" s="548"/>
      <c r="C636" s="548"/>
    </row>
    <row r="637" spans="1:3" s="275" customFormat="1">
      <c r="A637" s="548"/>
      <c r="B637" s="548"/>
      <c r="C637" s="548"/>
    </row>
    <row r="638" spans="1:3" s="275" customFormat="1">
      <c r="A638" s="548"/>
      <c r="B638" s="548"/>
      <c r="C638" s="548"/>
    </row>
    <row r="639" spans="1:3" s="275" customFormat="1">
      <c r="A639" s="548"/>
      <c r="B639" s="548"/>
      <c r="C639" s="548"/>
    </row>
    <row r="640" spans="1:3" s="275" customFormat="1">
      <c r="A640" s="548"/>
      <c r="B640" s="548"/>
      <c r="C640" s="548"/>
    </row>
    <row r="641" spans="1:3" s="275" customFormat="1">
      <c r="A641" s="548"/>
      <c r="B641" s="548"/>
      <c r="C641" s="548"/>
    </row>
    <row r="642" spans="1:3" s="275" customFormat="1">
      <c r="A642" s="548"/>
      <c r="B642" s="548"/>
      <c r="C642" s="548"/>
    </row>
    <row r="643" spans="1:3" s="275" customFormat="1">
      <c r="A643" s="548"/>
      <c r="B643" s="548"/>
      <c r="C643" s="548"/>
    </row>
    <row r="644" spans="1:3" s="275" customFormat="1">
      <c r="A644" s="548"/>
      <c r="B644" s="548"/>
      <c r="C644" s="548"/>
    </row>
    <row r="645" spans="1:3" s="275" customFormat="1">
      <c r="A645" s="548"/>
      <c r="B645" s="548"/>
      <c r="C645" s="548"/>
    </row>
    <row r="646" spans="1:3" s="275" customFormat="1">
      <c r="A646" s="548"/>
      <c r="B646" s="548"/>
      <c r="C646" s="548"/>
    </row>
    <row r="647" spans="1:3" s="275" customFormat="1">
      <c r="A647" s="548"/>
      <c r="B647" s="548"/>
      <c r="C647" s="548"/>
    </row>
    <row r="648" spans="1:3" s="275" customFormat="1">
      <c r="A648" s="548"/>
      <c r="B648" s="548"/>
      <c r="C648" s="548"/>
    </row>
    <row r="649" spans="1:3" s="275" customFormat="1">
      <c r="A649" s="548"/>
      <c r="B649" s="548"/>
      <c r="C649" s="548"/>
    </row>
    <row r="650" spans="1:3" s="275" customFormat="1">
      <c r="A650" s="548"/>
      <c r="B650" s="548"/>
      <c r="C650" s="548"/>
    </row>
    <row r="651" spans="1:3" s="275" customFormat="1">
      <c r="A651" s="548"/>
      <c r="B651" s="548"/>
      <c r="C651" s="548"/>
    </row>
    <row r="652" spans="1:3" s="275" customFormat="1">
      <c r="A652" s="548"/>
      <c r="B652" s="548"/>
      <c r="C652" s="548"/>
    </row>
    <row r="653" spans="1:3" s="275" customFormat="1">
      <c r="A653" s="548"/>
      <c r="B653" s="548"/>
      <c r="C653" s="548"/>
    </row>
    <row r="654" spans="1:3" s="275" customFormat="1">
      <c r="A654" s="548"/>
      <c r="B654" s="548"/>
      <c r="C654" s="548"/>
    </row>
    <row r="655" spans="1:3" s="275" customFormat="1">
      <c r="A655" s="548"/>
      <c r="B655" s="548"/>
      <c r="C655" s="548"/>
    </row>
    <row r="656" spans="1:3" s="275" customFormat="1">
      <c r="A656" s="548"/>
      <c r="B656" s="548"/>
      <c r="C656" s="548"/>
    </row>
    <row r="657" spans="1:3" s="275" customFormat="1">
      <c r="A657" s="548"/>
      <c r="B657" s="548"/>
      <c r="C657" s="548"/>
    </row>
    <row r="658" spans="1:3" s="275" customFormat="1">
      <c r="A658" s="548"/>
      <c r="B658" s="548"/>
      <c r="C658" s="548"/>
    </row>
    <row r="659" spans="1:3" s="275" customFormat="1">
      <c r="A659" s="548"/>
      <c r="B659" s="548"/>
      <c r="C659" s="548"/>
    </row>
    <row r="660" spans="1:3" s="275" customFormat="1">
      <c r="A660" s="548"/>
      <c r="B660" s="548"/>
      <c r="C660" s="548"/>
    </row>
    <row r="661" spans="1:3" s="275" customFormat="1">
      <c r="A661" s="548"/>
      <c r="B661" s="548"/>
      <c r="C661" s="548"/>
    </row>
    <row r="662" spans="1:3" s="275" customFormat="1">
      <c r="A662" s="548"/>
      <c r="B662" s="548"/>
      <c r="C662" s="548"/>
    </row>
    <row r="663" spans="1:3" s="275" customFormat="1">
      <c r="A663" s="548"/>
      <c r="B663" s="548"/>
      <c r="C663" s="548"/>
    </row>
    <row r="664" spans="1:3" s="275" customFormat="1">
      <c r="A664" s="548"/>
      <c r="B664" s="548"/>
      <c r="C664" s="548"/>
    </row>
    <row r="665" spans="1:3" s="275" customFormat="1">
      <c r="A665" s="548"/>
      <c r="B665" s="548"/>
      <c r="C665" s="548"/>
    </row>
    <row r="666" spans="1:3" s="275" customFormat="1">
      <c r="A666" s="548"/>
      <c r="B666" s="548"/>
      <c r="C666" s="548"/>
    </row>
    <row r="667" spans="1:3" s="275" customFormat="1">
      <c r="A667" s="548"/>
      <c r="B667" s="548"/>
      <c r="C667" s="548"/>
    </row>
    <row r="668" spans="1:3" s="275" customFormat="1">
      <c r="A668" s="548"/>
      <c r="B668" s="548"/>
      <c r="C668" s="548"/>
    </row>
    <row r="669" spans="1:3" s="275" customFormat="1">
      <c r="A669" s="548"/>
      <c r="B669" s="548"/>
      <c r="C669" s="548"/>
    </row>
    <row r="670" spans="1:3" s="275" customFormat="1">
      <c r="A670" s="548"/>
      <c r="B670" s="548"/>
      <c r="C670" s="548"/>
    </row>
    <row r="671" spans="1:3" s="275" customFormat="1">
      <c r="A671" s="548"/>
      <c r="B671" s="548"/>
      <c r="C671" s="548"/>
    </row>
    <row r="672" spans="1:3" s="275" customFormat="1">
      <c r="A672" s="548"/>
      <c r="B672" s="548"/>
      <c r="C672" s="548"/>
    </row>
    <row r="673" spans="1:3" s="275" customFormat="1">
      <c r="A673" s="548"/>
      <c r="B673" s="548"/>
      <c r="C673" s="548"/>
    </row>
    <row r="674" spans="1:3" s="275" customFormat="1">
      <c r="A674" s="548"/>
      <c r="B674" s="548"/>
      <c r="C674" s="548"/>
    </row>
    <row r="675" spans="1:3" s="275" customFormat="1">
      <c r="A675" s="548"/>
      <c r="B675" s="548"/>
      <c r="C675" s="548"/>
    </row>
    <row r="676" spans="1:3" s="275" customFormat="1">
      <c r="A676" s="548"/>
      <c r="B676" s="548"/>
      <c r="C676" s="548"/>
    </row>
    <row r="677" spans="1:3" s="275" customFormat="1">
      <c r="A677" s="548"/>
      <c r="B677" s="548"/>
      <c r="C677" s="548"/>
    </row>
    <row r="678" spans="1:3" s="275" customFormat="1">
      <c r="A678" s="548"/>
      <c r="B678" s="548"/>
      <c r="C678" s="548"/>
    </row>
    <row r="679" spans="1:3" s="275" customFormat="1">
      <c r="A679" s="548"/>
      <c r="B679" s="548"/>
      <c r="C679" s="548"/>
    </row>
    <row r="680" spans="1:3" s="275" customFormat="1">
      <c r="A680" s="548"/>
      <c r="B680" s="548"/>
      <c r="C680" s="548"/>
    </row>
    <row r="681" spans="1:3" s="275" customFormat="1">
      <c r="A681" s="548"/>
      <c r="B681" s="548"/>
      <c r="C681" s="548"/>
    </row>
    <row r="682" spans="1:3" s="275" customFormat="1">
      <c r="A682" s="548"/>
      <c r="B682" s="548"/>
      <c r="C682" s="548"/>
    </row>
    <row r="683" spans="1:3" s="275" customFormat="1">
      <c r="A683" s="548"/>
      <c r="B683" s="548"/>
      <c r="C683" s="548"/>
    </row>
    <row r="684" spans="1:3" s="275" customFormat="1">
      <c r="A684" s="548"/>
      <c r="B684" s="548"/>
      <c r="C684" s="548"/>
    </row>
    <row r="685" spans="1:3" s="275" customFormat="1">
      <c r="A685" s="548"/>
      <c r="B685" s="548"/>
      <c r="C685" s="548"/>
    </row>
    <row r="686" spans="1:3" s="275" customFormat="1">
      <c r="A686" s="548"/>
      <c r="B686" s="548"/>
      <c r="C686" s="548"/>
    </row>
    <row r="687" spans="1:3" s="275" customFormat="1">
      <c r="A687" s="548"/>
      <c r="B687" s="548"/>
      <c r="C687" s="548"/>
    </row>
    <row r="688" spans="1:3" s="275" customFormat="1">
      <c r="A688" s="548"/>
      <c r="B688" s="548"/>
      <c r="C688" s="548"/>
    </row>
    <row r="689" spans="1:3" s="275" customFormat="1">
      <c r="A689" s="548"/>
      <c r="B689" s="548"/>
      <c r="C689" s="548"/>
    </row>
    <row r="690" spans="1:3" s="275" customFormat="1">
      <c r="A690" s="548"/>
      <c r="B690" s="548"/>
      <c r="C690" s="548"/>
    </row>
    <row r="691" spans="1:3" s="275" customFormat="1">
      <c r="A691" s="548"/>
      <c r="B691" s="548"/>
      <c r="C691" s="548"/>
    </row>
    <row r="692" spans="1:3" s="275" customFormat="1">
      <c r="A692" s="548"/>
      <c r="B692" s="548"/>
      <c r="C692" s="548"/>
    </row>
    <row r="693" spans="1:3" s="275" customFormat="1">
      <c r="A693" s="548"/>
      <c r="B693" s="548"/>
      <c r="C693" s="548"/>
    </row>
    <row r="694" spans="1:3" s="275" customFormat="1">
      <c r="A694" s="548"/>
      <c r="B694" s="548"/>
      <c r="C694" s="548"/>
    </row>
    <row r="695" spans="1:3" s="275" customFormat="1">
      <c r="A695" s="548"/>
      <c r="B695" s="548"/>
      <c r="C695" s="548"/>
    </row>
    <row r="696" spans="1:3" s="275" customFormat="1">
      <c r="A696" s="548"/>
      <c r="B696" s="548"/>
      <c r="C696" s="548"/>
    </row>
    <row r="697" spans="1:3" s="275" customFormat="1">
      <c r="A697" s="548"/>
      <c r="B697" s="548"/>
      <c r="C697" s="548"/>
    </row>
    <row r="698" spans="1:3" s="275" customFormat="1">
      <c r="A698" s="548"/>
      <c r="B698" s="548"/>
      <c r="C698" s="548"/>
    </row>
    <row r="699" spans="1:3" s="275" customFormat="1">
      <c r="A699" s="548"/>
      <c r="B699" s="548"/>
      <c r="C699" s="548"/>
    </row>
    <row r="700" spans="1:3" s="275" customFormat="1">
      <c r="A700" s="548"/>
      <c r="B700" s="548"/>
      <c r="C700" s="548"/>
    </row>
    <row r="701" spans="1:3" s="275" customFormat="1">
      <c r="A701" s="548"/>
      <c r="B701" s="548"/>
      <c r="C701" s="548"/>
    </row>
    <row r="702" spans="1:3" s="275" customFormat="1">
      <c r="A702" s="548"/>
      <c r="B702" s="548"/>
      <c r="C702" s="548"/>
    </row>
    <row r="703" spans="1:3" s="275" customFormat="1">
      <c r="A703" s="548"/>
      <c r="B703" s="548"/>
      <c r="C703" s="548"/>
    </row>
    <row r="704" spans="1:3" s="275" customFormat="1">
      <c r="A704" s="548"/>
      <c r="B704" s="548"/>
      <c r="C704" s="548"/>
    </row>
    <row r="705" spans="1:3" s="275" customFormat="1">
      <c r="A705" s="548"/>
      <c r="B705" s="548"/>
      <c r="C705" s="548"/>
    </row>
    <row r="706" spans="1:3" s="275" customFormat="1">
      <c r="A706" s="548"/>
      <c r="B706" s="548"/>
      <c r="C706" s="548"/>
    </row>
    <row r="707" spans="1:3" s="275" customFormat="1">
      <c r="A707" s="548"/>
      <c r="B707" s="548"/>
      <c r="C707" s="548"/>
    </row>
    <row r="708" spans="1:3" s="275" customFormat="1">
      <c r="A708" s="548"/>
      <c r="B708" s="548"/>
      <c r="C708" s="548"/>
    </row>
    <row r="709" spans="1:3" s="275" customFormat="1">
      <c r="A709" s="548"/>
      <c r="B709" s="548"/>
      <c r="C709" s="548"/>
    </row>
    <row r="710" spans="1:3" s="275" customFormat="1">
      <c r="A710" s="548"/>
      <c r="B710" s="548"/>
      <c r="C710" s="548"/>
    </row>
    <row r="711" spans="1:3" s="275" customFormat="1">
      <c r="A711" s="548"/>
      <c r="B711" s="548"/>
      <c r="C711" s="548"/>
    </row>
    <row r="712" spans="1:3" s="275" customFormat="1">
      <c r="A712" s="548"/>
      <c r="B712" s="548"/>
      <c r="C712" s="548"/>
    </row>
    <row r="713" spans="1:3" s="275" customFormat="1">
      <c r="A713" s="548"/>
      <c r="B713" s="548"/>
      <c r="C713" s="548"/>
    </row>
    <row r="714" spans="1:3" s="275" customFormat="1">
      <c r="A714" s="548"/>
      <c r="B714" s="548"/>
      <c r="C714" s="548"/>
    </row>
    <row r="715" spans="1:3" s="275" customFormat="1">
      <c r="A715" s="548"/>
      <c r="B715" s="548"/>
      <c r="C715" s="548"/>
    </row>
    <row r="716" spans="1:3" s="275" customFormat="1">
      <c r="A716" s="548"/>
      <c r="B716" s="548"/>
      <c r="C716" s="548"/>
    </row>
    <row r="717" spans="1:3" s="275" customFormat="1">
      <c r="A717" s="548"/>
      <c r="B717" s="548"/>
      <c r="C717" s="548"/>
    </row>
    <row r="718" spans="1:3" s="275" customFormat="1">
      <c r="A718" s="548"/>
      <c r="B718" s="548"/>
      <c r="C718" s="548"/>
    </row>
    <row r="719" spans="1:3" s="275" customFormat="1">
      <c r="A719" s="548"/>
      <c r="B719" s="548"/>
      <c r="C719" s="548"/>
    </row>
    <row r="720" spans="1:3" s="275" customFormat="1">
      <c r="A720" s="548"/>
      <c r="B720" s="548"/>
      <c r="C720" s="548"/>
    </row>
    <row r="721" spans="1:3" s="275" customFormat="1">
      <c r="A721" s="548"/>
      <c r="B721" s="548"/>
      <c r="C721" s="548"/>
    </row>
    <row r="722" spans="1:3" s="275" customFormat="1">
      <c r="A722" s="548"/>
      <c r="B722" s="548"/>
      <c r="C722" s="548"/>
    </row>
    <row r="723" spans="1:3" s="275" customFormat="1">
      <c r="A723" s="548"/>
      <c r="B723" s="548"/>
      <c r="C723" s="548"/>
    </row>
    <row r="724" spans="1:3" s="275" customFormat="1">
      <c r="A724" s="548"/>
      <c r="B724" s="548"/>
      <c r="C724" s="548"/>
    </row>
    <row r="725" spans="1:3" s="275" customFormat="1">
      <c r="A725" s="548"/>
      <c r="B725" s="548"/>
      <c r="C725" s="548"/>
    </row>
    <row r="726" spans="1:3" s="275" customFormat="1">
      <c r="A726" s="548"/>
      <c r="B726" s="548"/>
      <c r="C726" s="548"/>
    </row>
    <row r="727" spans="1:3" s="275" customFormat="1">
      <c r="A727" s="548"/>
      <c r="B727" s="548"/>
      <c r="C727" s="548"/>
    </row>
    <row r="728" spans="1:3" s="275" customFormat="1">
      <c r="A728" s="548"/>
      <c r="B728" s="548"/>
      <c r="C728" s="548"/>
    </row>
    <row r="729" spans="1:3" s="275" customFormat="1">
      <c r="A729" s="548"/>
      <c r="B729" s="548"/>
      <c r="C729" s="548"/>
    </row>
    <row r="730" spans="1:3" s="275" customFormat="1">
      <c r="A730" s="548"/>
      <c r="B730" s="548"/>
      <c r="C730" s="548"/>
    </row>
    <row r="731" spans="1:3" s="275" customFormat="1">
      <c r="A731" s="548"/>
      <c r="B731" s="548"/>
      <c r="C731" s="548"/>
    </row>
    <row r="732" spans="1:3" s="275" customFormat="1">
      <c r="A732" s="548"/>
      <c r="B732" s="548"/>
      <c r="C732" s="548"/>
    </row>
    <row r="733" spans="1:3" s="275" customFormat="1">
      <c r="A733" s="548"/>
      <c r="B733" s="548"/>
      <c r="C733" s="548"/>
    </row>
    <row r="734" spans="1:3" s="275" customFormat="1">
      <c r="A734" s="548"/>
      <c r="B734" s="548"/>
      <c r="C734" s="548"/>
    </row>
    <row r="735" spans="1:3" s="275" customFormat="1">
      <c r="A735" s="548"/>
      <c r="B735" s="548"/>
      <c r="C735" s="548"/>
    </row>
    <row r="736" spans="1:3" s="275" customFormat="1">
      <c r="A736" s="548"/>
      <c r="B736" s="548"/>
      <c r="C736" s="548"/>
    </row>
    <row r="737" spans="1:3" s="275" customFormat="1">
      <c r="A737" s="548"/>
      <c r="B737" s="548"/>
      <c r="C737" s="548"/>
    </row>
    <row r="738" spans="1:3" s="275" customFormat="1">
      <c r="A738" s="548"/>
      <c r="B738" s="548"/>
      <c r="C738" s="548"/>
    </row>
    <row r="739" spans="1:3" s="275" customFormat="1">
      <c r="A739" s="548"/>
      <c r="B739" s="548"/>
      <c r="C739" s="548"/>
    </row>
    <row r="740" spans="1:3" s="275" customFormat="1">
      <c r="A740" s="548"/>
      <c r="B740" s="548"/>
      <c r="C740" s="548"/>
    </row>
    <row r="741" spans="1:3" s="275" customFormat="1">
      <c r="A741" s="548"/>
      <c r="B741" s="548"/>
      <c r="C741" s="548"/>
    </row>
    <row r="742" spans="1:3" s="275" customFormat="1">
      <c r="A742" s="548"/>
      <c r="B742" s="548"/>
      <c r="C742" s="548"/>
    </row>
    <row r="743" spans="1:3" s="275" customFormat="1">
      <c r="A743" s="548"/>
      <c r="B743" s="548"/>
      <c r="C743" s="548"/>
    </row>
    <row r="744" spans="1:3" s="275" customFormat="1">
      <c r="A744" s="548"/>
      <c r="B744" s="548"/>
      <c r="C744" s="548"/>
    </row>
    <row r="745" spans="1:3" s="275" customFormat="1">
      <c r="A745" s="548"/>
      <c r="B745" s="548"/>
      <c r="C745" s="548"/>
    </row>
    <row r="746" spans="1:3" s="275" customFormat="1">
      <c r="A746" s="548"/>
      <c r="B746" s="548"/>
      <c r="C746" s="548"/>
    </row>
    <row r="747" spans="1:3" s="275" customFormat="1">
      <c r="A747" s="548"/>
      <c r="B747" s="548"/>
      <c r="C747" s="548"/>
    </row>
    <row r="748" spans="1:3" s="275" customFormat="1">
      <c r="A748" s="548"/>
      <c r="B748" s="548"/>
      <c r="C748" s="548"/>
    </row>
    <row r="749" spans="1:3" s="275" customFormat="1">
      <c r="A749" s="548"/>
      <c r="B749" s="548"/>
      <c r="C749" s="548"/>
    </row>
    <row r="750" spans="1:3" s="275" customFormat="1">
      <c r="A750" s="548"/>
      <c r="B750" s="548"/>
      <c r="C750" s="548"/>
    </row>
    <row r="751" spans="1:3" s="275" customFormat="1">
      <c r="A751" s="548"/>
      <c r="B751" s="548"/>
      <c r="C751" s="548"/>
    </row>
    <row r="752" spans="1:3" s="275" customFormat="1">
      <c r="A752" s="548"/>
      <c r="B752" s="548"/>
      <c r="C752" s="548"/>
    </row>
    <row r="753" spans="1:3" s="275" customFormat="1">
      <c r="A753" s="548"/>
      <c r="B753" s="548"/>
      <c r="C753" s="548"/>
    </row>
    <row r="754" spans="1:3" s="275" customFormat="1">
      <c r="A754" s="548"/>
      <c r="B754" s="548"/>
      <c r="C754" s="548"/>
    </row>
    <row r="755" spans="1:3" s="275" customFormat="1">
      <c r="A755" s="548"/>
      <c r="B755" s="548"/>
      <c r="C755" s="548"/>
    </row>
    <row r="756" spans="1:3" s="275" customFormat="1">
      <c r="A756" s="548"/>
      <c r="B756" s="548"/>
      <c r="C756" s="548"/>
    </row>
    <row r="757" spans="1:3" s="275" customFormat="1">
      <c r="A757" s="548"/>
      <c r="B757" s="548"/>
      <c r="C757" s="548"/>
    </row>
    <row r="758" spans="1:3" s="275" customFormat="1">
      <c r="A758" s="548"/>
      <c r="B758" s="548"/>
      <c r="C758" s="548"/>
    </row>
    <row r="759" spans="1:3" s="275" customFormat="1">
      <c r="A759" s="548"/>
      <c r="B759" s="548"/>
      <c r="C759" s="548"/>
    </row>
    <row r="760" spans="1:3" s="275" customFormat="1">
      <c r="A760" s="548"/>
      <c r="B760" s="548"/>
      <c r="C760" s="548"/>
    </row>
    <row r="761" spans="1:3" s="275" customFormat="1">
      <c r="A761" s="548"/>
      <c r="B761" s="548"/>
      <c r="C761" s="548"/>
    </row>
    <row r="762" spans="1:3" s="275" customFormat="1">
      <c r="A762" s="548"/>
      <c r="B762" s="548"/>
      <c r="C762" s="548"/>
    </row>
    <row r="763" spans="1:3" s="275" customFormat="1">
      <c r="A763" s="548"/>
      <c r="B763" s="548"/>
      <c r="C763" s="548"/>
    </row>
    <row r="764" spans="1:3" s="275" customFormat="1">
      <c r="A764" s="548"/>
      <c r="B764" s="548"/>
      <c r="C764" s="548"/>
    </row>
    <row r="765" spans="1:3" s="275" customFormat="1">
      <c r="A765" s="548"/>
      <c r="B765" s="548"/>
      <c r="C765" s="548"/>
    </row>
    <row r="766" spans="1:3" s="275" customFormat="1">
      <c r="A766" s="548"/>
      <c r="B766" s="548"/>
      <c r="C766" s="548"/>
    </row>
    <row r="767" spans="1:3" s="275" customFormat="1">
      <c r="A767" s="548"/>
      <c r="B767" s="548"/>
      <c r="C767" s="548"/>
    </row>
    <row r="768" spans="1:3" s="275" customFormat="1">
      <c r="A768" s="548"/>
      <c r="B768" s="548"/>
      <c r="C768" s="548"/>
    </row>
    <row r="769" spans="1:22" s="275" customFormat="1">
      <c r="A769" s="548"/>
      <c r="B769" s="548"/>
      <c r="C769" s="548"/>
    </row>
    <row r="770" spans="1:22" s="275" customFormat="1">
      <c r="A770" s="548"/>
      <c r="B770" s="548"/>
      <c r="C770" s="548"/>
    </row>
    <row r="771" spans="1:22" s="275" customFormat="1">
      <c r="A771" s="548"/>
      <c r="B771" s="548"/>
      <c r="C771" s="548"/>
    </row>
    <row r="772" spans="1:22" s="275" customFormat="1">
      <c r="A772" s="548"/>
      <c r="B772" s="548"/>
      <c r="C772" s="548"/>
      <c r="T772" s="277"/>
      <c r="U772" s="277"/>
      <c r="V772" s="277"/>
    </row>
  </sheetData>
  <sortState xmlns:xlrd2="http://schemas.microsoft.com/office/spreadsheetml/2017/richdata2" ref="A11:V22">
    <sortCondition ref="A11:A22"/>
  </sortState>
  <mergeCells count="2">
    <mergeCell ref="A5:C5"/>
    <mergeCell ref="B8:C8"/>
  </mergeCells>
  <hyperlinks>
    <hyperlink ref="L1" location="Index!A1" display="Return to Index" xr:uid="{00000000-0004-0000-0B00-000000000000}"/>
  </hyperlinks>
  <printOptions horizontalCentered="1"/>
  <pageMargins left="0.25" right="0.25" top="0.5" bottom="0.5" header="0.5" footer="0.5"/>
  <pageSetup scale="80" orientation="landscape" horizontalDpi="1200" verticalDpi="1200" r:id="rId1"/>
  <headerFooter alignWithMargins="0">
    <oddFooter>&amp;L&amp;8Planning &amp; Accountability&amp;R&amp;8&amp;D</oddFooter>
  </headerFooter>
  <rowBreaks count="1" manualBreakCount="1">
    <brk id="26" max="10"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1"/>
    <pageSetUpPr fitToPage="1"/>
  </sheetPr>
  <dimension ref="A1:V770"/>
  <sheetViews>
    <sheetView showGridLines="0" zoomScale="80" zoomScaleNormal="80" workbookViewId="0">
      <pane xSplit="6" ySplit="10" topLeftCell="G11" activePane="bottomRight" state="frozen"/>
      <selection activeCell="B4" sqref="A1:XFD1048576"/>
      <selection pane="topRight" activeCell="B4" sqref="A1:XFD1048576"/>
      <selection pane="bottomLeft" activeCell="B4" sqref="A1:XFD1048576"/>
      <selection pane="bottomRight" activeCell="T20" sqref="T20"/>
    </sheetView>
  </sheetViews>
  <sheetFormatPr defaultColWidth="9.109375" defaultRowHeight="13.2" outlineLevelRow="1"/>
  <cols>
    <col min="1" max="1" width="7.33203125" style="282" customWidth="1"/>
    <col min="2" max="2" width="5" style="282" customWidth="1"/>
    <col min="3" max="3" width="13" style="282" customWidth="1"/>
    <col min="4" max="4" width="35.88671875" style="277" customWidth="1"/>
    <col min="5" max="5" width="10.33203125" style="277" customWidth="1"/>
    <col min="6" max="6" width="13.44140625" style="277" customWidth="1"/>
    <col min="7" max="7" width="15.5546875" style="599" customWidth="1"/>
    <col min="8" max="8" width="16.33203125" style="599" customWidth="1"/>
    <col min="9" max="9" width="13.33203125" style="599" hidden="1" customWidth="1"/>
    <col min="10" max="10" width="12.88671875" style="599" hidden="1" customWidth="1"/>
    <col min="11" max="11" width="16.88671875" style="600" hidden="1" customWidth="1"/>
    <col min="12" max="12" width="14" style="599" hidden="1" customWidth="1"/>
    <col min="13" max="16" width="12.109375" style="599" hidden="1" customWidth="1"/>
    <col min="17" max="17" width="7.33203125" style="277" customWidth="1"/>
    <col min="18" max="18" width="12.88671875" style="277" customWidth="1"/>
    <col min="19" max="19" width="4" style="277" customWidth="1"/>
    <col min="20" max="20" width="19.44140625" style="277" customWidth="1"/>
    <col min="21" max="21" width="16.5546875" style="277" customWidth="1"/>
    <col min="22" max="22" width="26.88671875" style="277" customWidth="1"/>
    <col min="23" max="16384" width="9.109375" style="277"/>
  </cols>
  <sheetData>
    <row r="1" spans="1:22" ht="13.8" thickBot="1">
      <c r="G1" s="293" t="s">
        <v>390</v>
      </c>
      <c r="H1" s="275"/>
      <c r="I1" s="275"/>
      <c r="J1" s="275"/>
      <c r="L1" s="275"/>
      <c r="M1" s="275"/>
      <c r="N1" s="275"/>
      <c r="O1" s="275"/>
      <c r="P1" s="275"/>
      <c r="T1" s="545" t="s">
        <v>51</v>
      </c>
    </row>
    <row r="2" spans="1:22">
      <c r="G2" s="293" t="s">
        <v>391</v>
      </c>
      <c r="H2" s="275"/>
      <c r="I2" s="275"/>
      <c r="J2" s="275"/>
      <c r="K2" s="548"/>
      <c r="L2" s="275"/>
      <c r="M2" s="275"/>
      <c r="N2" s="275"/>
      <c r="O2" s="275"/>
      <c r="P2" s="275"/>
      <c r="S2" s="277" t="s">
        <v>343</v>
      </c>
    </row>
    <row r="3" spans="1:22">
      <c r="A3" s="546" t="s">
        <v>344</v>
      </c>
      <c r="G3" s="547">
        <v>45008</v>
      </c>
      <c r="H3" s="275"/>
      <c r="I3" s="275"/>
      <c r="J3" s="275"/>
      <c r="K3" s="548"/>
      <c r="L3" s="275"/>
      <c r="M3" s="275"/>
      <c r="N3" s="275"/>
      <c r="O3" s="275"/>
      <c r="P3" s="275"/>
    </row>
    <row r="4" spans="1:22">
      <c r="E4" s="282">
        <v>2022</v>
      </c>
      <c r="G4" s="275"/>
      <c r="H4" s="275"/>
      <c r="I4" s="275"/>
      <c r="J4" s="275"/>
      <c r="K4" s="548"/>
      <c r="L4" s="275" t="s">
        <v>392</v>
      </c>
      <c r="M4" s="275"/>
      <c r="N4" s="275"/>
      <c r="O4" s="275"/>
      <c r="P4" s="275"/>
    </row>
    <row r="5" spans="1:22">
      <c r="A5" s="1247" t="s">
        <v>393</v>
      </c>
      <c r="B5" s="1248"/>
      <c r="C5" s="1249"/>
      <c r="F5" s="282" t="s">
        <v>318</v>
      </c>
      <c r="G5" s="275"/>
      <c r="H5" s="275"/>
      <c r="I5" s="275"/>
      <c r="J5" s="275"/>
      <c r="K5" s="548"/>
      <c r="L5" s="275"/>
      <c r="M5" s="275"/>
      <c r="N5" s="275"/>
      <c r="O5" s="275"/>
      <c r="P5" s="275"/>
    </row>
    <row r="6" spans="1:22">
      <c r="E6" s="282"/>
      <c r="F6" s="282" t="s">
        <v>319</v>
      </c>
      <c r="G6" s="275"/>
      <c r="H6" s="275"/>
      <c r="I6" s="1251" t="s">
        <v>394</v>
      </c>
      <c r="J6" s="1252"/>
      <c r="K6" s="1252"/>
      <c r="L6" s="1252"/>
      <c r="M6" s="1252"/>
      <c r="N6" s="1252"/>
      <c r="O6" s="1252"/>
      <c r="P6" s="1253"/>
    </row>
    <row r="7" spans="1:22">
      <c r="F7" s="282" t="s">
        <v>320</v>
      </c>
      <c r="G7" s="275"/>
      <c r="H7" s="275"/>
      <c r="I7" s="275"/>
      <c r="J7" s="275"/>
      <c r="K7" s="548"/>
      <c r="L7" s="275"/>
      <c r="M7" s="275"/>
      <c r="N7" s="275"/>
      <c r="O7" s="275"/>
      <c r="P7" s="275"/>
    </row>
    <row r="8" spans="1:22" s="555" customFormat="1" ht="40.5" customHeight="1" thickBot="1">
      <c r="A8" s="549" t="s">
        <v>227</v>
      </c>
      <c r="B8" s="1250" t="s">
        <v>321</v>
      </c>
      <c r="C8" s="1250"/>
      <c r="D8" s="550" t="s">
        <v>322</v>
      </c>
      <c r="E8" s="550" t="s">
        <v>323</v>
      </c>
      <c r="F8" s="550" t="s">
        <v>99</v>
      </c>
      <c r="G8" s="601" t="s">
        <v>395</v>
      </c>
      <c r="H8" s="601" t="s">
        <v>396</v>
      </c>
      <c r="I8" s="601"/>
      <c r="J8" s="601"/>
      <c r="K8" s="601"/>
      <c r="L8" s="601"/>
      <c r="M8" s="601"/>
      <c r="N8" s="601"/>
      <c r="O8" s="601"/>
      <c r="P8" s="601"/>
      <c r="Q8" s="553"/>
      <c r="R8" s="553"/>
      <c r="S8" s="554"/>
      <c r="T8" s="277"/>
      <c r="U8" s="277"/>
      <c r="V8" s="277"/>
    </row>
    <row r="9" spans="1:22" s="609" customFormat="1" ht="18.75" customHeight="1">
      <c r="A9" s="602" t="s">
        <v>397</v>
      </c>
      <c r="B9" s="603"/>
      <c r="C9" s="603"/>
      <c r="D9" s="604"/>
      <c r="E9" s="603" t="s">
        <v>328</v>
      </c>
      <c r="F9" s="603" t="s">
        <v>329</v>
      </c>
      <c r="G9" s="605" t="s">
        <v>398</v>
      </c>
      <c r="H9" s="606" t="s">
        <v>399</v>
      </c>
      <c r="I9" s="606" t="s">
        <v>400</v>
      </c>
      <c r="J9" s="606" t="s">
        <v>401</v>
      </c>
      <c r="K9" s="606" t="s">
        <v>402</v>
      </c>
      <c r="L9" s="606" t="s">
        <v>350</v>
      </c>
      <c r="M9" s="606" t="s">
        <v>351</v>
      </c>
      <c r="N9" s="606" t="s">
        <v>352</v>
      </c>
      <c r="O9" s="606" t="s">
        <v>403</v>
      </c>
      <c r="P9" s="607" t="s">
        <v>354</v>
      </c>
      <c r="Q9" s="608"/>
      <c r="R9" s="1230" t="s">
        <v>105</v>
      </c>
      <c r="T9" s="477"/>
      <c r="U9" s="477"/>
      <c r="V9" s="477"/>
    </row>
    <row r="10" spans="1:22" ht="18" customHeight="1">
      <c r="A10" s="277" t="s">
        <v>404</v>
      </c>
      <c r="D10" s="312"/>
      <c r="E10" s="417" t="s">
        <v>331</v>
      </c>
      <c r="F10" s="282" t="s">
        <v>56</v>
      </c>
      <c r="G10" s="610" t="s">
        <v>405</v>
      </c>
      <c r="H10" s="417" t="s">
        <v>406</v>
      </c>
      <c r="I10" s="417" t="s">
        <v>407</v>
      </c>
      <c r="J10" s="417" t="s">
        <v>408</v>
      </c>
      <c r="K10" s="417" t="s">
        <v>409</v>
      </c>
      <c r="L10" s="417" t="s">
        <v>410</v>
      </c>
      <c r="M10" s="417" t="s">
        <v>411</v>
      </c>
      <c r="N10" s="417" t="s">
        <v>412</v>
      </c>
      <c r="O10" s="417" t="s">
        <v>413</v>
      </c>
      <c r="P10" s="418" t="s">
        <v>414</v>
      </c>
      <c r="Q10" s="568"/>
      <c r="R10" s="1231"/>
      <c r="T10" s="278"/>
      <c r="U10" s="278"/>
      <c r="V10" s="278"/>
    </row>
    <row r="11" spans="1:22" ht="14.25" customHeight="1">
      <c r="A11" s="282">
        <v>390</v>
      </c>
      <c r="C11" s="562"/>
      <c r="D11" s="384" t="s">
        <v>112</v>
      </c>
      <c r="E11" s="563">
        <f t="shared" ref="E11:E22" si="0">$E$4</f>
        <v>2022</v>
      </c>
      <c r="F11" s="562">
        <v>30</v>
      </c>
      <c r="G11" s="611">
        <f>'SWM Sum'!$I$55</f>
        <v>885033</v>
      </c>
      <c r="H11" s="612">
        <f>'SWM Sum'!$I$57</f>
        <v>708107</v>
      </c>
      <c r="I11" s="613"/>
      <c r="J11" s="613"/>
      <c r="K11" s="614"/>
      <c r="L11" s="613"/>
      <c r="M11" s="613"/>
      <c r="N11" s="613"/>
      <c r="O11" s="613"/>
      <c r="P11" s="615"/>
      <c r="Q11" s="568"/>
      <c r="R11" s="569">
        <f>'SWM Sum'!$C$6</f>
        <v>2301.35</v>
      </c>
      <c r="T11" s="278"/>
      <c r="U11" s="278"/>
      <c r="V11" s="278"/>
    </row>
    <row r="12" spans="1:22" ht="12.75" customHeight="1">
      <c r="A12" s="282">
        <v>420</v>
      </c>
      <c r="C12" s="562"/>
      <c r="D12" s="384" t="s">
        <v>114</v>
      </c>
      <c r="E12" s="563">
        <f t="shared" si="0"/>
        <v>2022</v>
      </c>
      <c r="F12" s="562">
        <v>40</v>
      </c>
      <c r="G12" s="611">
        <f>'HSSA Sum'!$I$55</f>
        <v>205171</v>
      </c>
      <c r="H12" s="612">
        <f>'HSSA Sum'!$I$57</f>
        <v>507982</v>
      </c>
      <c r="I12" s="613"/>
      <c r="J12" s="613"/>
      <c r="K12" s="614"/>
      <c r="L12" s="613"/>
      <c r="M12" s="613"/>
      <c r="N12" s="613"/>
      <c r="O12" s="613"/>
      <c r="P12" s="615"/>
      <c r="Q12" s="569"/>
      <c r="R12" s="569">
        <f>'HSSA Sum'!$C$6</f>
        <v>3971.78</v>
      </c>
      <c r="T12" s="300"/>
      <c r="U12" s="300"/>
      <c r="V12" s="300"/>
    </row>
    <row r="13" spans="1:22">
      <c r="A13" s="282">
        <v>450</v>
      </c>
      <c r="C13" s="562"/>
      <c r="D13" s="384" t="s">
        <v>116</v>
      </c>
      <c r="E13" s="563">
        <f t="shared" si="0"/>
        <v>2022</v>
      </c>
      <c r="F13" s="562">
        <v>89</v>
      </c>
      <c r="G13" s="611">
        <f>'TAMHSC Sum'!$I$55</f>
        <v>90013</v>
      </c>
      <c r="H13" s="612">
        <f>'TAMHSC Sum'!$I$57</f>
        <v>539071</v>
      </c>
      <c r="I13" s="613"/>
      <c r="J13" s="613"/>
      <c r="K13" s="614"/>
      <c r="L13" s="613"/>
      <c r="M13" s="613"/>
      <c r="N13" s="613"/>
      <c r="O13" s="613"/>
      <c r="P13" s="615"/>
      <c r="Q13" s="569"/>
      <c r="R13" s="569">
        <f>'TAMHSC Sum'!$C$6</f>
        <v>3607.6499999999996</v>
      </c>
      <c r="T13" s="300"/>
      <c r="U13" s="300"/>
      <c r="V13" s="300"/>
    </row>
    <row r="14" spans="1:22">
      <c r="A14" s="282">
        <v>460</v>
      </c>
      <c r="C14" s="562"/>
      <c r="D14" s="384" t="s">
        <v>415</v>
      </c>
      <c r="E14" s="563">
        <f t="shared" si="0"/>
        <v>2022</v>
      </c>
      <c r="F14" s="562">
        <v>130</v>
      </c>
      <c r="G14" s="611">
        <f>'UNTHS1 Sum'!$I$55</f>
        <v>72047</v>
      </c>
      <c r="H14" s="612">
        <f>'UNTHS1 Sum'!$I$57</f>
        <v>694557</v>
      </c>
      <c r="I14" s="613"/>
      <c r="J14" s="613"/>
      <c r="K14" s="614"/>
      <c r="L14" s="613"/>
      <c r="M14" s="613"/>
      <c r="N14" s="613"/>
      <c r="O14" s="613"/>
      <c r="P14" s="615"/>
      <c r="Q14" s="569"/>
      <c r="R14" s="569">
        <f>'UNTHS1 Sum'!$C$6</f>
        <v>2988.4</v>
      </c>
      <c r="T14" s="300"/>
      <c r="U14" s="300"/>
      <c r="V14" s="300"/>
    </row>
    <row r="15" spans="1:22">
      <c r="A15" s="282">
        <v>470</v>
      </c>
      <c r="C15" s="562"/>
      <c r="D15" s="384" t="s">
        <v>123</v>
      </c>
      <c r="E15" s="563">
        <f t="shared" si="0"/>
        <v>2022</v>
      </c>
      <c r="F15" s="562">
        <v>412</v>
      </c>
      <c r="G15" s="611">
        <f>'TTUHSC Sum'!$I$55</f>
        <v>84719</v>
      </c>
      <c r="H15" s="612">
        <f>'TTUHSC Sum'!$I$57</f>
        <v>642855</v>
      </c>
      <c r="I15" s="613"/>
      <c r="J15" s="613"/>
      <c r="K15" s="614"/>
      <c r="L15" s="613"/>
      <c r="M15" s="613"/>
      <c r="N15" s="613"/>
      <c r="O15" s="613"/>
      <c r="P15" s="615"/>
      <c r="Q15" s="569"/>
      <c r="R15" s="569">
        <f>'TTUHSC Sum'!$C$6</f>
        <v>6016.07</v>
      </c>
      <c r="T15" s="300"/>
      <c r="U15" s="300"/>
      <c r="V15" s="300"/>
    </row>
    <row r="16" spans="1:22">
      <c r="A16" s="282">
        <v>480</v>
      </c>
      <c r="C16" s="562"/>
      <c r="D16" s="384" t="s">
        <v>243</v>
      </c>
      <c r="E16" s="563">
        <f t="shared" si="0"/>
        <v>2022</v>
      </c>
      <c r="F16" s="562">
        <v>862</v>
      </c>
      <c r="G16" s="611">
        <f>'TTUHSCEP Sum'!$I$55</f>
        <v>285657</v>
      </c>
      <c r="H16" s="612">
        <f>'TTUHSCEP Sum'!$I$57</f>
        <v>729483</v>
      </c>
      <c r="I16" s="613"/>
      <c r="J16" s="613"/>
      <c r="K16" s="614"/>
      <c r="L16" s="613"/>
      <c r="M16" s="613"/>
      <c r="N16" s="613"/>
      <c r="O16" s="613"/>
      <c r="P16" s="615"/>
      <c r="Q16" s="569"/>
      <c r="R16" s="569">
        <f>'TTUHSCEP Sum'!$C$6</f>
        <v>851.1</v>
      </c>
      <c r="T16" s="300"/>
      <c r="U16" s="300"/>
      <c r="V16" s="300"/>
    </row>
    <row r="17" spans="1:22">
      <c r="A17" s="282">
        <v>410</v>
      </c>
      <c r="C17" s="562"/>
      <c r="D17" s="384" t="s">
        <v>125</v>
      </c>
      <c r="E17" s="563">
        <f t="shared" si="0"/>
        <v>2022</v>
      </c>
      <c r="F17" s="562">
        <v>11618</v>
      </c>
      <c r="G17" s="611">
        <f>'HSH Sum'!$I$55</f>
        <v>268445</v>
      </c>
      <c r="H17" s="612">
        <f>'HSH Sum'!$I$57</f>
        <v>710802</v>
      </c>
      <c r="I17" s="613"/>
      <c r="J17" s="613"/>
      <c r="K17" s="614"/>
      <c r="L17" s="613"/>
      <c r="M17" s="613"/>
      <c r="N17" s="613"/>
      <c r="O17" s="613"/>
      <c r="P17" s="615"/>
      <c r="Q17" s="569"/>
      <c r="R17" s="569">
        <f>'HSH Sum'!$C$6</f>
        <v>5267.72</v>
      </c>
      <c r="T17" s="300"/>
      <c r="U17" s="300"/>
      <c r="V17" s="300"/>
    </row>
    <row r="18" spans="1:22">
      <c r="A18" s="282">
        <v>430</v>
      </c>
      <c r="C18" s="562"/>
      <c r="D18" s="384" t="s">
        <v>127</v>
      </c>
      <c r="E18" s="563">
        <f t="shared" si="0"/>
        <v>2022</v>
      </c>
      <c r="F18" s="562">
        <v>25554</v>
      </c>
      <c r="G18" s="611">
        <f>'MDA Sum'!$I$55</f>
        <v>4625226</v>
      </c>
      <c r="H18" s="616">
        <f>'MDA Sum'!$I$57</f>
        <v>940345</v>
      </c>
      <c r="I18" s="613"/>
      <c r="J18" s="613"/>
      <c r="K18" s="614"/>
      <c r="L18" s="613"/>
      <c r="M18" s="613"/>
      <c r="N18" s="613"/>
      <c r="O18" s="613"/>
      <c r="P18" s="615"/>
      <c r="Q18" s="569"/>
      <c r="R18" s="569">
        <f>'MDA Sum'!$C$6</f>
        <v>382.05</v>
      </c>
      <c r="T18" s="300"/>
      <c r="U18" s="300"/>
      <c r="V18" s="300"/>
    </row>
    <row r="19" spans="1:22">
      <c r="A19" s="282">
        <v>440</v>
      </c>
      <c r="C19" s="562"/>
      <c r="D19" s="384" t="s">
        <v>120</v>
      </c>
      <c r="E19" s="563">
        <f t="shared" si="0"/>
        <v>2022</v>
      </c>
      <c r="F19" s="562">
        <v>42439</v>
      </c>
      <c r="G19" s="611">
        <f>'THC Sum'!$I$55</f>
        <v>1674577</v>
      </c>
      <c r="H19" s="616">
        <f>'THC Sum'!$I$57</f>
        <v>573388</v>
      </c>
      <c r="I19" s="613"/>
      <c r="J19" s="613"/>
      <c r="K19" s="614"/>
      <c r="L19" s="613"/>
      <c r="M19" s="613"/>
      <c r="N19" s="613"/>
      <c r="O19" s="613"/>
      <c r="P19" s="615"/>
      <c r="Q19" s="569"/>
      <c r="R19" s="569">
        <f>'THC Sum'!$C$6</f>
        <v>80.5</v>
      </c>
      <c r="T19" s="300"/>
      <c r="U19" s="300"/>
      <c r="V19" s="300"/>
    </row>
    <row r="20" spans="1:22">
      <c r="A20" s="282">
        <v>400</v>
      </c>
      <c r="C20" s="562"/>
      <c r="D20" s="384" t="s">
        <v>128</v>
      </c>
      <c r="E20" s="563">
        <f t="shared" si="0"/>
        <v>2022</v>
      </c>
      <c r="F20" s="562">
        <v>104952</v>
      </c>
      <c r="G20" s="611">
        <f>'MBG Sum'!$I$55</f>
        <v>209158</v>
      </c>
      <c r="H20" s="612">
        <f>'MBG Sum'!$I$57</f>
        <v>568537</v>
      </c>
      <c r="I20" s="613"/>
      <c r="J20" s="613"/>
      <c r="K20" s="614"/>
      <c r="L20" s="613"/>
      <c r="M20" s="613"/>
      <c r="N20" s="613"/>
      <c r="O20" s="613"/>
      <c r="P20" s="615"/>
      <c r="Q20" s="569"/>
      <c r="R20" s="569">
        <f>'MBG Sum'!$C$6</f>
        <v>3859.84</v>
      </c>
      <c r="T20" s="300"/>
      <c r="U20" s="300"/>
      <c r="V20" s="300"/>
    </row>
    <row r="21" spans="1:22">
      <c r="A21" s="282">
        <v>500</v>
      </c>
      <c r="C21" s="562"/>
      <c r="D21" s="384" t="s">
        <v>373</v>
      </c>
      <c r="E21" s="563">
        <f t="shared" si="0"/>
        <v>2022</v>
      </c>
      <c r="F21" s="562">
        <v>203599</v>
      </c>
      <c r="G21" s="611">
        <f>'RGVM Sum'!$I$55</f>
        <v>431582</v>
      </c>
      <c r="H21" s="612">
        <f>'RGVM Sum'!$I$57</f>
        <v>613978</v>
      </c>
      <c r="I21" s="613"/>
      <c r="J21" s="613"/>
      <c r="K21" s="614"/>
      <c r="L21" s="613"/>
      <c r="M21" s="613"/>
      <c r="N21" s="613"/>
      <c r="O21" s="613"/>
      <c r="P21" s="615"/>
      <c r="Q21" s="617"/>
      <c r="R21" s="617">
        <f>'RGVM Sum'!$C$6</f>
        <v>222</v>
      </c>
      <c r="T21" s="300"/>
      <c r="U21" s="300"/>
      <c r="V21" s="300"/>
    </row>
    <row r="22" spans="1:22">
      <c r="A22" s="282">
        <v>510</v>
      </c>
      <c r="C22" s="562"/>
      <c r="D22" s="384" t="s">
        <v>374</v>
      </c>
      <c r="E22" s="563">
        <f t="shared" si="0"/>
        <v>2022</v>
      </c>
      <c r="F22" s="562">
        <v>203658</v>
      </c>
      <c r="G22" s="611">
        <f>'AUSM Sum'!$I$55</f>
        <v>593580</v>
      </c>
      <c r="H22" s="612">
        <f>'AUSM Sum'!$I$57</f>
        <v>402808</v>
      </c>
      <c r="I22" s="613"/>
      <c r="J22" s="613"/>
      <c r="K22" s="614"/>
      <c r="L22" s="613"/>
      <c r="M22" s="613"/>
      <c r="N22" s="613"/>
      <c r="O22" s="613"/>
      <c r="P22" s="615"/>
      <c r="Q22" s="569"/>
      <c r="R22" s="569">
        <f>'AUSM Sum'!$C$6</f>
        <v>197</v>
      </c>
      <c r="T22" s="300"/>
      <c r="U22" s="300"/>
      <c r="V22" s="300"/>
    </row>
    <row r="23" spans="1:22">
      <c r="A23" s="282">
        <v>520</v>
      </c>
      <c r="C23" s="562"/>
      <c r="D23" s="384" t="s">
        <v>31</v>
      </c>
      <c r="E23" s="563">
        <v>2019</v>
      </c>
      <c r="F23" s="562">
        <v>203652</v>
      </c>
      <c r="G23" s="611">
        <f>'UHM Sum'!$I$55</f>
        <v>334396</v>
      </c>
      <c r="H23" s="612">
        <f>'UHM Sum'!$I$57</f>
        <v>215276</v>
      </c>
      <c r="I23" s="613"/>
      <c r="J23" s="613"/>
      <c r="K23" s="614"/>
      <c r="L23" s="613"/>
      <c r="M23" s="613"/>
      <c r="N23" s="613"/>
      <c r="O23" s="613"/>
      <c r="P23" s="615"/>
      <c r="Q23" s="569"/>
      <c r="R23" s="569">
        <f>'UHM Sum'!$C$6</f>
        <v>60</v>
      </c>
      <c r="T23" s="300"/>
      <c r="U23" s="300"/>
      <c r="V23" s="300"/>
    </row>
    <row r="24" spans="1:22">
      <c r="C24" s="562"/>
      <c r="D24" s="384"/>
      <c r="E24" s="563"/>
      <c r="F24" s="562"/>
      <c r="G24" s="611"/>
      <c r="H24" s="612"/>
      <c r="I24" s="613"/>
      <c r="J24" s="613"/>
      <c r="K24" s="614"/>
      <c r="L24" s="613"/>
      <c r="M24" s="613"/>
      <c r="N24" s="613"/>
      <c r="O24" s="613"/>
      <c r="P24" s="615"/>
      <c r="Q24" s="617"/>
      <c r="R24" s="617"/>
      <c r="T24" s="300"/>
      <c r="U24" s="300"/>
      <c r="V24" s="300"/>
    </row>
    <row r="25" spans="1:22" ht="13.8" thickBot="1">
      <c r="A25" s="572"/>
      <c r="B25" s="572"/>
      <c r="C25" s="572">
        <f>COUNTA(D11:D24)</f>
        <v>13</v>
      </c>
      <c r="D25" s="573" t="s">
        <v>129</v>
      </c>
      <c r="E25" s="572">
        <f t="shared" ref="E25" si="1">$E$6</f>
        <v>0</v>
      </c>
      <c r="F25" s="574">
        <v>445566</v>
      </c>
      <c r="G25" s="618">
        <v>268342</v>
      </c>
      <c r="H25" s="619">
        <v>499743</v>
      </c>
      <c r="I25" s="620"/>
      <c r="J25" s="621"/>
      <c r="K25" s="622"/>
      <c r="L25" s="621"/>
      <c r="M25" s="620"/>
      <c r="N25" s="620"/>
      <c r="O25" s="620"/>
      <c r="P25" s="623"/>
      <c r="Q25" s="579"/>
      <c r="R25" s="624">
        <f>SUM(R11:R24)</f>
        <v>29805.46</v>
      </c>
      <c r="T25" s="275"/>
      <c r="U25" s="275"/>
      <c r="V25" s="275"/>
    </row>
    <row r="26" spans="1:22" s="275" customFormat="1" ht="13.8" thickTop="1">
      <c r="A26" s="548"/>
      <c r="B26" s="548"/>
      <c r="C26" s="548"/>
      <c r="K26" s="548"/>
      <c r="Q26" s="580"/>
      <c r="R26" s="580"/>
    </row>
    <row r="27" spans="1:22" s="275" customFormat="1">
      <c r="A27" s="548"/>
      <c r="B27" s="548"/>
      <c r="C27" s="548"/>
      <c r="D27" s="275" t="s">
        <v>286</v>
      </c>
      <c r="K27" s="548"/>
      <c r="Q27" s="580"/>
      <c r="R27" s="580"/>
    </row>
    <row r="28" spans="1:22" s="275" customFormat="1">
      <c r="A28" s="548"/>
      <c r="B28" s="548"/>
      <c r="C28" s="548"/>
      <c r="D28" s="275" t="s">
        <v>287</v>
      </c>
      <c r="K28" s="548"/>
      <c r="Q28" s="580"/>
      <c r="R28" s="580"/>
    </row>
    <row r="29" spans="1:22" s="275" customFormat="1">
      <c r="A29" s="548"/>
      <c r="B29" s="548"/>
      <c r="C29" s="548" t="s">
        <v>314</v>
      </c>
      <c r="G29" s="282" t="s">
        <v>416</v>
      </c>
      <c r="H29" s="282" t="s">
        <v>416</v>
      </c>
      <c r="I29" s="282"/>
      <c r="J29" s="282"/>
      <c r="K29" s="282"/>
      <c r="L29" s="282"/>
      <c r="M29" s="282"/>
      <c r="N29" s="282"/>
      <c r="O29" s="282"/>
      <c r="P29" s="282"/>
    </row>
    <row r="30" spans="1:22" s="275" customFormat="1" ht="39.6" hidden="1" outlineLevel="1">
      <c r="A30" s="548"/>
      <c r="B30" s="548"/>
      <c r="C30" s="548"/>
      <c r="D30" s="275" t="s">
        <v>131</v>
      </c>
      <c r="G30" s="625" t="s">
        <v>417</v>
      </c>
      <c r="H30" s="625" t="s">
        <v>417</v>
      </c>
      <c r="I30" s="625"/>
      <c r="J30" s="625"/>
      <c r="K30" s="626"/>
      <c r="L30" s="625"/>
      <c r="M30" s="627"/>
      <c r="N30" s="627"/>
      <c r="O30" s="627"/>
      <c r="P30" s="627"/>
    </row>
    <row r="31" spans="1:22" s="275" customFormat="1" ht="39.6" hidden="1" outlineLevel="1">
      <c r="A31" s="548"/>
      <c r="B31" s="548"/>
      <c r="C31" s="548"/>
      <c r="G31" s="585" t="s">
        <v>418</v>
      </c>
      <c r="H31" s="585" t="s">
        <v>418</v>
      </c>
      <c r="I31" s="585"/>
      <c r="J31" s="585"/>
      <c r="K31" s="628"/>
      <c r="L31" s="585"/>
      <c r="M31" s="629"/>
      <c r="N31" s="629"/>
      <c r="O31" s="629"/>
      <c r="P31" s="629"/>
    </row>
    <row r="32" spans="1:22" s="275" customFormat="1" hidden="1" outlineLevel="1">
      <c r="A32" s="548"/>
      <c r="B32" s="548"/>
      <c r="C32" s="548"/>
      <c r="G32" s="585" t="s">
        <v>419</v>
      </c>
      <c r="H32" s="585" t="s">
        <v>419</v>
      </c>
      <c r="I32" s="585"/>
      <c r="K32" s="628"/>
      <c r="L32" s="585"/>
      <c r="M32" s="629"/>
      <c r="N32" s="629"/>
      <c r="O32" s="629"/>
      <c r="P32" s="629"/>
    </row>
    <row r="33" spans="1:20" s="275" customFormat="1" hidden="1" outlineLevel="1">
      <c r="A33" s="548"/>
      <c r="B33" s="548"/>
      <c r="C33" s="548"/>
      <c r="K33" s="548"/>
    </row>
    <row r="34" spans="1:20" s="275" customFormat="1" hidden="1" outlineLevel="1">
      <c r="A34" s="548"/>
      <c r="B34" s="548"/>
      <c r="C34" s="548"/>
      <c r="K34" s="548"/>
    </row>
    <row r="35" spans="1:20" s="275" customFormat="1" hidden="1" outlineLevel="1">
      <c r="A35" s="548"/>
      <c r="B35" s="548"/>
      <c r="C35" s="548"/>
      <c r="G35" s="293"/>
      <c r="H35" s="293"/>
      <c r="I35" s="293"/>
      <c r="J35" s="293"/>
      <c r="K35" s="293"/>
      <c r="L35" s="293"/>
      <c r="M35" s="293"/>
      <c r="N35" s="293"/>
      <c r="O35" s="293"/>
      <c r="P35" s="293"/>
    </row>
    <row r="36" spans="1:20" s="275" customFormat="1" hidden="1" outlineLevel="1">
      <c r="A36" s="548"/>
      <c r="B36" s="548"/>
      <c r="C36" s="548"/>
      <c r="G36" s="588"/>
      <c r="H36" s="588"/>
      <c r="I36" s="588"/>
      <c r="J36" s="588"/>
      <c r="K36" s="548"/>
      <c r="L36" s="588"/>
      <c r="M36" s="588"/>
      <c r="N36" s="588"/>
      <c r="O36" s="588"/>
      <c r="P36" s="588"/>
    </row>
    <row r="37" spans="1:20" s="275" customFormat="1" hidden="1" outlineLevel="1">
      <c r="A37" s="548"/>
      <c r="B37" s="548"/>
      <c r="C37" s="548"/>
      <c r="G37" s="611">
        <f>'AUSM Sum'!$I$55</f>
        <v>593580</v>
      </c>
      <c r="H37" s="612">
        <f>'AUSM Sum'!$I$57</f>
        <v>402808</v>
      </c>
      <c r="I37" s="588"/>
      <c r="J37" s="588"/>
      <c r="K37" s="548"/>
      <c r="L37" s="588"/>
      <c r="M37" s="588"/>
      <c r="N37" s="588"/>
      <c r="O37" s="588"/>
      <c r="P37" s="588"/>
    </row>
    <row r="38" spans="1:20" s="275" customFormat="1" hidden="1" outlineLevel="1">
      <c r="A38" s="548"/>
      <c r="B38" s="548"/>
      <c r="C38" s="548"/>
      <c r="G38" s="611">
        <f>'RGVM Sum'!$I$55</f>
        <v>431582</v>
      </c>
      <c r="H38" s="612">
        <f>'RGVM Sum'!$I$57</f>
        <v>613978</v>
      </c>
      <c r="I38" s="588"/>
      <c r="J38" s="588"/>
      <c r="K38" s="548"/>
      <c r="L38" s="588"/>
      <c r="M38" s="588"/>
      <c r="N38" s="588"/>
      <c r="O38" s="588"/>
      <c r="P38" s="588"/>
    </row>
    <row r="39" spans="1:20" s="275" customFormat="1" hidden="1" outlineLevel="1">
      <c r="A39" s="548"/>
      <c r="B39" s="548"/>
      <c r="C39" s="548"/>
      <c r="G39" s="588"/>
      <c r="H39" s="588"/>
      <c r="I39" s="588"/>
      <c r="J39" s="588"/>
      <c r="K39" s="548"/>
      <c r="L39" s="588"/>
      <c r="M39" s="588"/>
      <c r="N39" s="588"/>
      <c r="O39" s="588"/>
      <c r="P39" s="588"/>
    </row>
    <row r="40" spans="1:20" s="275" customFormat="1" collapsed="1">
      <c r="A40" s="548"/>
      <c r="B40" s="548"/>
      <c r="C40" s="548"/>
      <c r="K40" s="548"/>
      <c r="T40" s="318"/>
    </row>
    <row r="41" spans="1:20" s="275" customFormat="1">
      <c r="A41" s="548"/>
      <c r="B41" s="548"/>
      <c r="C41" s="548"/>
      <c r="K41" s="548"/>
    </row>
    <row r="42" spans="1:20" s="275" customFormat="1">
      <c r="A42" s="548"/>
      <c r="B42" s="548"/>
      <c r="C42" s="548"/>
      <c r="K42" s="548"/>
      <c r="Q42" s="589"/>
      <c r="R42" s="589"/>
    </row>
    <row r="43" spans="1:20" s="275" customFormat="1">
      <c r="A43" s="548"/>
      <c r="B43" s="548"/>
      <c r="C43" s="548"/>
      <c r="K43" s="548"/>
      <c r="M43" s="597"/>
      <c r="N43" s="597"/>
      <c r="O43" s="597"/>
      <c r="P43" s="597"/>
    </row>
    <row r="44" spans="1:20" s="275" customFormat="1">
      <c r="A44" s="548"/>
      <c r="B44" s="548"/>
      <c r="C44" s="548"/>
      <c r="K44" s="548"/>
    </row>
    <row r="45" spans="1:20" s="275" customFormat="1">
      <c r="A45" s="548"/>
      <c r="B45" s="548"/>
      <c r="C45" s="548"/>
      <c r="K45" s="548"/>
    </row>
    <row r="46" spans="1:20" s="275" customFormat="1">
      <c r="A46" s="548"/>
      <c r="B46" s="548"/>
      <c r="C46" s="548"/>
      <c r="K46" s="548"/>
    </row>
    <row r="47" spans="1:20" s="275" customFormat="1">
      <c r="A47" s="548"/>
      <c r="B47" s="548"/>
      <c r="C47" s="548"/>
      <c r="K47" s="548"/>
    </row>
    <row r="48" spans="1:20" s="275" customFormat="1">
      <c r="A48" s="548"/>
      <c r="B48" s="548"/>
      <c r="C48" s="548"/>
      <c r="K48" s="548"/>
    </row>
    <row r="49" spans="1:11" s="275" customFormat="1">
      <c r="A49" s="548"/>
      <c r="B49" s="548"/>
      <c r="C49" s="548"/>
      <c r="K49" s="548"/>
    </row>
    <row r="50" spans="1:11" s="275" customFormat="1">
      <c r="A50" s="548"/>
      <c r="B50" s="548"/>
      <c r="C50" s="548"/>
      <c r="K50" s="548"/>
    </row>
    <row r="51" spans="1:11" s="275" customFormat="1">
      <c r="A51" s="548"/>
      <c r="B51" s="548"/>
      <c r="C51" s="548"/>
      <c r="K51" s="548"/>
    </row>
    <row r="52" spans="1:11" s="275" customFormat="1">
      <c r="A52" s="548"/>
      <c r="B52" s="548"/>
      <c r="C52" s="548"/>
      <c r="K52" s="548"/>
    </row>
    <row r="53" spans="1:11" s="275" customFormat="1">
      <c r="A53" s="548"/>
      <c r="B53" s="548"/>
      <c r="C53" s="548"/>
      <c r="K53" s="548"/>
    </row>
    <row r="54" spans="1:11" s="275" customFormat="1">
      <c r="A54" s="548"/>
      <c r="B54" s="548"/>
      <c r="C54" s="548"/>
      <c r="K54" s="548"/>
    </row>
    <row r="55" spans="1:11" s="275" customFormat="1">
      <c r="A55" s="548"/>
      <c r="B55" s="548"/>
      <c r="C55" s="548"/>
      <c r="K55" s="548"/>
    </row>
    <row r="56" spans="1:11" s="275" customFormat="1">
      <c r="A56" s="548"/>
      <c r="B56" s="548"/>
      <c r="C56" s="548"/>
      <c r="K56" s="548"/>
    </row>
    <row r="57" spans="1:11" s="275" customFormat="1">
      <c r="A57" s="548"/>
      <c r="B57" s="548"/>
      <c r="C57" s="548"/>
      <c r="K57" s="548"/>
    </row>
    <row r="58" spans="1:11" s="275" customFormat="1">
      <c r="A58" s="548"/>
      <c r="B58" s="548"/>
      <c r="C58" s="548"/>
      <c r="K58" s="548"/>
    </row>
    <row r="59" spans="1:11" s="275" customFormat="1">
      <c r="A59" s="548"/>
      <c r="B59" s="548"/>
      <c r="C59" s="548"/>
      <c r="K59" s="548"/>
    </row>
    <row r="60" spans="1:11" s="275" customFormat="1">
      <c r="A60" s="548"/>
      <c r="B60" s="548"/>
      <c r="C60" s="548"/>
      <c r="K60" s="548"/>
    </row>
    <row r="61" spans="1:11" s="275" customFormat="1">
      <c r="A61" s="548"/>
      <c r="B61" s="548"/>
      <c r="C61" s="548"/>
      <c r="K61" s="548"/>
    </row>
    <row r="62" spans="1:11" s="275" customFormat="1">
      <c r="A62" s="548"/>
      <c r="B62" s="548"/>
      <c r="C62" s="548"/>
      <c r="K62" s="548"/>
    </row>
    <row r="63" spans="1:11" s="275" customFormat="1">
      <c r="A63" s="548"/>
      <c r="B63" s="548"/>
      <c r="C63" s="548"/>
      <c r="K63" s="548"/>
    </row>
    <row r="64" spans="1:11" s="275" customFormat="1">
      <c r="A64" s="548"/>
      <c r="B64" s="548"/>
      <c r="C64" s="548"/>
      <c r="K64" s="548"/>
    </row>
    <row r="65" spans="1:11" s="275" customFormat="1">
      <c r="A65" s="548"/>
      <c r="B65" s="548"/>
      <c r="C65" s="548"/>
      <c r="K65" s="548"/>
    </row>
    <row r="66" spans="1:11" s="275" customFormat="1">
      <c r="A66" s="548"/>
      <c r="B66" s="548"/>
      <c r="C66" s="548"/>
      <c r="K66" s="548"/>
    </row>
    <row r="67" spans="1:11" s="275" customFormat="1">
      <c r="A67" s="548"/>
      <c r="B67" s="548"/>
      <c r="C67" s="548"/>
      <c r="K67" s="548"/>
    </row>
    <row r="68" spans="1:11" s="275" customFormat="1">
      <c r="A68" s="548"/>
      <c r="B68" s="548"/>
      <c r="C68" s="548"/>
      <c r="K68" s="548"/>
    </row>
    <row r="69" spans="1:11" s="275" customFormat="1">
      <c r="A69" s="548"/>
      <c r="B69" s="548"/>
      <c r="C69" s="548"/>
      <c r="K69" s="548"/>
    </row>
    <row r="70" spans="1:11" s="275" customFormat="1">
      <c r="A70" s="548"/>
      <c r="B70" s="548"/>
      <c r="C70" s="548"/>
      <c r="K70" s="548"/>
    </row>
    <row r="71" spans="1:11" s="275" customFormat="1">
      <c r="A71" s="548"/>
      <c r="B71" s="548"/>
      <c r="C71" s="548"/>
      <c r="K71" s="548"/>
    </row>
    <row r="72" spans="1:11" s="275" customFormat="1">
      <c r="A72" s="548"/>
      <c r="B72" s="548"/>
      <c r="C72" s="548"/>
      <c r="K72" s="548"/>
    </row>
    <row r="73" spans="1:11" s="275" customFormat="1">
      <c r="A73" s="548"/>
      <c r="B73" s="548"/>
      <c r="C73" s="548"/>
      <c r="K73" s="548"/>
    </row>
    <row r="74" spans="1:11" s="275" customFormat="1">
      <c r="A74" s="548"/>
      <c r="B74" s="548"/>
      <c r="C74" s="548"/>
      <c r="K74" s="548"/>
    </row>
    <row r="75" spans="1:11" s="275" customFormat="1">
      <c r="A75" s="548"/>
      <c r="B75" s="548"/>
      <c r="C75" s="548"/>
      <c r="K75" s="548"/>
    </row>
    <row r="76" spans="1:11" s="275" customFormat="1">
      <c r="A76" s="548"/>
      <c r="B76" s="548"/>
      <c r="C76" s="548"/>
      <c r="K76" s="548"/>
    </row>
    <row r="77" spans="1:11" s="275" customFormat="1">
      <c r="A77" s="548"/>
      <c r="B77" s="548"/>
      <c r="C77" s="548"/>
      <c r="K77" s="548"/>
    </row>
    <row r="78" spans="1:11" s="275" customFormat="1">
      <c r="A78" s="548"/>
      <c r="B78" s="548"/>
      <c r="C78" s="548"/>
      <c r="K78" s="548"/>
    </row>
    <row r="79" spans="1:11" s="275" customFormat="1">
      <c r="A79" s="548"/>
      <c r="B79" s="548"/>
      <c r="C79" s="548"/>
      <c r="K79" s="548"/>
    </row>
    <row r="80" spans="1:11" s="275" customFormat="1">
      <c r="A80" s="548"/>
      <c r="B80" s="548"/>
      <c r="C80" s="548"/>
      <c r="K80" s="548"/>
    </row>
    <row r="81" spans="1:11" s="275" customFormat="1">
      <c r="A81" s="548"/>
      <c r="B81" s="548"/>
      <c r="C81" s="548"/>
      <c r="K81" s="548"/>
    </row>
    <row r="82" spans="1:11" s="275" customFormat="1">
      <c r="A82" s="548"/>
      <c r="B82" s="548"/>
      <c r="C82" s="548"/>
      <c r="K82" s="548"/>
    </row>
    <row r="83" spans="1:11" s="275" customFormat="1">
      <c r="A83" s="548"/>
      <c r="B83" s="548"/>
      <c r="C83" s="548"/>
      <c r="K83" s="548"/>
    </row>
    <row r="84" spans="1:11" s="275" customFormat="1">
      <c r="A84" s="548"/>
      <c r="B84" s="548"/>
      <c r="C84" s="548"/>
      <c r="K84" s="548"/>
    </row>
    <row r="85" spans="1:11" s="275" customFormat="1">
      <c r="A85" s="548"/>
      <c r="B85" s="548"/>
      <c r="C85" s="548"/>
      <c r="K85" s="548"/>
    </row>
    <row r="86" spans="1:11" s="275" customFormat="1">
      <c r="A86" s="548"/>
      <c r="B86" s="548"/>
      <c r="C86" s="548"/>
      <c r="K86" s="548"/>
    </row>
    <row r="87" spans="1:11" s="275" customFormat="1">
      <c r="A87" s="548"/>
      <c r="B87" s="548"/>
      <c r="C87" s="548"/>
      <c r="K87" s="548"/>
    </row>
    <row r="88" spans="1:11" s="275" customFormat="1">
      <c r="A88" s="548"/>
      <c r="B88" s="548"/>
      <c r="C88" s="548"/>
      <c r="K88" s="548"/>
    </row>
    <row r="89" spans="1:11" s="275" customFormat="1">
      <c r="A89" s="548"/>
      <c r="B89" s="548"/>
      <c r="C89" s="548"/>
      <c r="K89" s="548"/>
    </row>
    <row r="90" spans="1:11" s="275" customFormat="1">
      <c r="A90" s="548"/>
      <c r="B90" s="548"/>
      <c r="C90" s="548"/>
      <c r="K90" s="548"/>
    </row>
    <row r="91" spans="1:11" s="275" customFormat="1">
      <c r="A91" s="548"/>
      <c r="B91" s="548"/>
      <c r="C91" s="548"/>
      <c r="K91" s="548"/>
    </row>
    <row r="92" spans="1:11" s="275" customFormat="1">
      <c r="A92" s="548"/>
      <c r="B92" s="548"/>
      <c r="C92" s="548"/>
      <c r="K92" s="548"/>
    </row>
    <row r="93" spans="1:11" s="275" customFormat="1">
      <c r="A93" s="548"/>
      <c r="B93" s="548"/>
      <c r="C93" s="548"/>
      <c r="K93" s="548"/>
    </row>
    <row r="94" spans="1:11" s="275" customFormat="1">
      <c r="A94" s="548"/>
      <c r="B94" s="548"/>
      <c r="C94" s="548"/>
      <c r="K94" s="548"/>
    </row>
    <row r="95" spans="1:11" s="275" customFormat="1">
      <c r="A95" s="548"/>
      <c r="B95" s="548"/>
      <c r="C95" s="548"/>
      <c r="K95" s="548"/>
    </row>
    <row r="96" spans="1:11" s="275" customFormat="1">
      <c r="A96" s="548"/>
      <c r="B96" s="548"/>
      <c r="C96" s="548"/>
      <c r="K96" s="548"/>
    </row>
    <row r="97" spans="1:11" s="275" customFormat="1">
      <c r="A97" s="548"/>
      <c r="B97" s="548"/>
      <c r="C97" s="548"/>
      <c r="K97" s="548"/>
    </row>
    <row r="98" spans="1:11" s="275" customFormat="1">
      <c r="A98" s="548"/>
      <c r="B98" s="548"/>
      <c r="C98" s="548"/>
      <c r="K98" s="548"/>
    </row>
    <row r="99" spans="1:11" s="275" customFormat="1">
      <c r="A99" s="548"/>
      <c r="B99" s="548"/>
      <c r="C99" s="548"/>
      <c r="K99" s="548"/>
    </row>
    <row r="100" spans="1:11" s="275" customFormat="1">
      <c r="A100" s="548"/>
      <c r="B100" s="548"/>
      <c r="C100" s="548"/>
      <c r="K100" s="548"/>
    </row>
    <row r="101" spans="1:11" s="275" customFormat="1">
      <c r="A101" s="548"/>
      <c r="B101" s="548"/>
      <c r="C101" s="548"/>
      <c r="K101" s="548"/>
    </row>
    <row r="102" spans="1:11" s="275" customFormat="1">
      <c r="A102" s="548"/>
      <c r="B102" s="548"/>
      <c r="C102" s="548"/>
      <c r="K102" s="548"/>
    </row>
    <row r="103" spans="1:11" s="275" customFormat="1">
      <c r="A103" s="548"/>
      <c r="B103" s="548"/>
      <c r="C103" s="548"/>
      <c r="K103" s="548"/>
    </row>
    <row r="104" spans="1:11" s="275" customFormat="1">
      <c r="A104" s="548"/>
      <c r="B104" s="548"/>
      <c r="C104" s="548"/>
      <c r="K104" s="548"/>
    </row>
    <row r="105" spans="1:11" s="275" customFormat="1">
      <c r="A105" s="548"/>
      <c r="B105" s="548"/>
      <c r="C105" s="548"/>
      <c r="K105" s="548"/>
    </row>
    <row r="106" spans="1:11" s="275" customFormat="1">
      <c r="A106" s="548"/>
      <c r="B106" s="548"/>
      <c r="C106" s="548"/>
      <c r="K106" s="548"/>
    </row>
    <row r="107" spans="1:11" s="275" customFormat="1">
      <c r="A107" s="548"/>
      <c r="B107" s="548"/>
      <c r="C107" s="548"/>
      <c r="K107" s="548"/>
    </row>
    <row r="108" spans="1:11" s="275" customFormat="1">
      <c r="A108" s="548"/>
      <c r="B108" s="548"/>
      <c r="C108" s="548"/>
      <c r="K108" s="548"/>
    </row>
    <row r="109" spans="1:11" s="275" customFormat="1">
      <c r="A109" s="548"/>
      <c r="B109" s="548"/>
      <c r="C109" s="548"/>
      <c r="K109" s="548"/>
    </row>
    <row r="110" spans="1:11" s="275" customFormat="1">
      <c r="A110" s="548"/>
      <c r="B110" s="548"/>
      <c r="C110" s="548"/>
      <c r="K110" s="548"/>
    </row>
    <row r="111" spans="1:11" s="275" customFormat="1">
      <c r="A111" s="548"/>
      <c r="B111" s="548"/>
      <c r="C111" s="548"/>
      <c r="K111" s="548"/>
    </row>
    <row r="112" spans="1:11" s="275" customFormat="1">
      <c r="A112" s="548"/>
      <c r="B112" s="548"/>
      <c r="C112" s="548"/>
      <c r="K112" s="548"/>
    </row>
    <row r="113" spans="1:11" s="275" customFormat="1">
      <c r="A113" s="548"/>
      <c r="B113" s="548"/>
      <c r="C113" s="548"/>
      <c r="K113" s="548"/>
    </row>
    <row r="114" spans="1:11" s="275" customFormat="1">
      <c r="A114" s="548"/>
      <c r="B114" s="548"/>
      <c r="C114" s="548"/>
      <c r="K114" s="548"/>
    </row>
    <row r="115" spans="1:11" s="275" customFormat="1">
      <c r="A115" s="548"/>
      <c r="B115" s="548"/>
      <c r="C115" s="548"/>
      <c r="K115" s="548"/>
    </row>
    <row r="116" spans="1:11" s="275" customFormat="1">
      <c r="A116" s="548"/>
      <c r="B116" s="548"/>
      <c r="C116" s="548"/>
      <c r="K116" s="548"/>
    </row>
    <row r="117" spans="1:11" s="275" customFormat="1">
      <c r="A117" s="548"/>
      <c r="B117" s="548"/>
      <c r="C117" s="548"/>
      <c r="K117" s="548"/>
    </row>
    <row r="118" spans="1:11" s="275" customFormat="1">
      <c r="A118" s="548"/>
      <c r="B118" s="548"/>
      <c r="C118" s="548"/>
      <c r="K118" s="548"/>
    </row>
    <row r="119" spans="1:11" s="275" customFormat="1">
      <c r="A119" s="548"/>
      <c r="B119" s="548"/>
      <c r="C119" s="548"/>
      <c r="K119" s="548"/>
    </row>
    <row r="120" spans="1:11" s="275" customFormat="1">
      <c r="A120" s="548"/>
      <c r="B120" s="548"/>
      <c r="C120" s="548"/>
      <c r="K120" s="548"/>
    </row>
    <row r="121" spans="1:11" s="275" customFormat="1">
      <c r="A121" s="548"/>
      <c r="B121" s="548"/>
      <c r="C121" s="548"/>
      <c r="K121" s="548"/>
    </row>
    <row r="122" spans="1:11" s="275" customFormat="1">
      <c r="A122" s="548"/>
      <c r="B122" s="548"/>
      <c r="C122" s="548"/>
      <c r="K122" s="548"/>
    </row>
    <row r="123" spans="1:11" s="275" customFormat="1">
      <c r="A123" s="548"/>
      <c r="B123" s="548"/>
      <c r="C123" s="548"/>
      <c r="K123" s="548"/>
    </row>
    <row r="124" spans="1:11" s="275" customFormat="1">
      <c r="A124" s="548"/>
      <c r="B124" s="548"/>
      <c r="C124" s="548"/>
      <c r="K124" s="548"/>
    </row>
    <row r="125" spans="1:11" s="275" customFormat="1">
      <c r="A125" s="548"/>
      <c r="B125" s="548"/>
      <c r="C125" s="548"/>
      <c r="K125" s="548"/>
    </row>
    <row r="126" spans="1:11" s="275" customFormat="1">
      <c r="A126" s="548"/>
      <c r="B126" s="548"/>
      <c r="C126" s="548"/>
      <c r="K126" s="548"/>
    </row>
    <row r="127" spans="1:11" s="275" customFormat="1">
      <c r="A127" s="548"/>
      <c r="B127" s="548"/>
      <c r="C127" s="548"/>
      <c r="K127" s="548"/>
    </row>
    <row r="128" spans="1:11" s="275" customFormat="1">
      <c r="A128" s="548"/>
      <c r="B128" s="548"/>
      <c r="C128" s="548"/>
      <c r="K128" s="548"/>
    </row>
    <row r="129" spans="1:11" s="275" customFormat="1">
      <c r="A129" s="548"/>
      <c r="B129" s="548"/>
      <c r="C129" s="548"/>
      <c r="K129" s="548"/>
    </row>
    <row r="130" spans="1:11" s="275" customFormat="1">
      <c r="A130" s="548"/>
      <c r="B130" s="548"/>
      <c r="C130" s="548"/>
      <c r="K130" s="548"/>
    </row>
    <row r="131" spans="1:11" s="275" customFormat="1">
      <c r="A131" s="548"/>
      <c r="B131" s="548"/>
      <c r="C131" s="548"/>
      <c r="K131" s="548"/>
    </row>
    <row r="132" spans="1:11" s="275" customFormat="1">
      <c r="A132" s="548"/>
      <c r="B132" s="548"/>
      <c r="C132" s="548"/>
      <c r="K132" s="548"/>
    </row>
    <row r="133" spans="1:11" s="275" customFormat="1">
      <c r="A133" s="548"/>
      <c r="B133" s="548"/>
      <c r="C133" s="548"/>
      <c r="K133" s="548"/>
    </row>
    <row r="134" spans="1:11" s="275" customFormat="1">
      <c r="A134" s="548"/>
      <c r="B134" s="548"/>
      <c r="C134" s="548"/>
      <c r="K134" s="548"/>
    </row>
    <row r="135" spans="1:11" s="275" customFormat="1">
      <c r="A135" s="548"/>
      <c r="B135" s="548"/>
      <c r="C135" s="548"/>
      <c r="K135" s="548"/>
    </row>
    <row r="136" spans="1:11" s="275" customFormat="1">
      <c r="A136" s="548"/>
      <c r="B136" s="548"/>
      <c r="C136" s="548"/>
      <c r="K136" s="548"/>
    </row>
    <row r="137" spans="1:11" s="275" customFormat="1">
      <c r="A137" s="548"/>
      <c r="B137" s="548"/>
      <c r="C137" s="548"/>
      <c r="K137" s="548"/>
    </row>
    <row r="138" spans="1:11" s="275" customFormat="1">
      <c r="A138" s="548"/>
      <c r="B138" s="548"/>
      <c r="C138" s="548"/>
      <c r="K138" s="548"/>
    </row>
    <row r="139" spans="1:11" s="275" customFormat="1">
      <c r="A139" s="548"/>
      <c r="B139" s="548"/>
      <c r="C139" s="548"/>
      <c r="K139" s="548"/>
    </row>
    <row r="140" spans="1:11" s="275" customFormat="1">
      <c r="A140" s="548"/>
      <c r="B140" s="548"/>
      <c r="C140" s="548"/>
      <c r="K140" s="548"/>
    </row>
    <row r="141" spans="1:11" s="275" customFormat="1">
      <c r="A141" s="548"/>
      <c r="B141" s="548"/>
      <c r="C141" s="548"/>
      <c r="K141" s="548"/>
    </row>
    <row r="142" spans="1:11" s="275" customFormat="1">
      <c r="A142" s="548"/>
      <c r="B142" s="548"/>
      <c r="C142" s="548"/>
      <c r="K142" s="548"/>
    </row>
    <row r="143" spans="1:11" s="275" customFormat="1">
      <c r="A143" s="548"/>
      <c r="B143" s="548"/>
      <c r="C143" s="548"/>
      <c r="K143" s="548"/>
    </row>
    <row r="144" spans="1:11" s="275" customFormat="1">
      <c r="A144" s="548"/>
      <c r="B144" s="548"/>
      <c r="C144" s="548"/>
      <c r="K144" s="548"/>
    </row>
    <row r="145" spans="1:11" s="275" customFormat="1">
      <c r="A145" s="548"/>
      <c r="B145" s="548"/>
      <c r="C145" s="548"/>
      <c r="K145" s="548"/>
    </row>
    <row r="146" spans="1:11" s="275" customFormat="1">
      <c r="A146" s="548"/>
      <c r="B146" s="548"/>
      <c r="C146" s="548"/>
      <c r="K146" s="548"/>
    </row>
    <row r="147" spans="1:11" s="275" customFormat="1">
      <c r="A147" s="548"/>
      <c r="B147" s="548"/>
      <c r="C147" s="548"/>
      <c r="K147" s="548"/>
    </row>
    <row r="148" spans="1:11" s="275" customFormat="1">
      <c r="A148" s="548"/>
      <c r="B148" s="548"/>
      <c r="C148" s="548"/>
      <c r="K148" s="548"/>
    </row>
    <row r="149" spans="1:11" s="275" customFormat="1">
      <c r="A149" s="548"/>
      <c r="B149" s="548"/>
      <c r="C149" s="548"/>
      <c r="K149" s="548"/>
    </row>
    <row r="150" spans="1:11" s="275" customFormat="1">
      <c r="A150" s="548"/>
      <c r="B150" s="548"/>
      <c r="C150" s="548"/>
      <c r="K150" s="548"/>
    </row>
    <row r="151" spans="1:11" s="275" customFormat="1">
      <c r="A151" s="548"/>
      <c r="B151" s="548"/>
      <c r="C151" s="548"/>
      <c r="K151" s="548"/>
    </row>
    <row r="152" spans="1:11" s="275" customFormat="1">
      <c r="A152" s="548"/>
      <c r="B152" s="548"/>
      <c r="C152" s="548"/>
      <c r="K152" s="548"/>
    </row>
    <row r="153" spans="1:11" s="275" customFormat="1">
      <c r="A153" s="548"/>
      <c r="B153" s="548"/>
      <c r="C153" s="548"/>
      <c r="K153" s="548"/>
    </row>
    <row r="154" spans="1:11" s="275" customFormat="1">
      <c r="A154" s="548"/>
      <c r="B154" s="548"/>
      <c r="C154" s="548"/>
      <c r="K154" s="548"/>
    </row>
    <row r="155" spans="1:11" s="275" customFormat="1">
      <c r="A155" s="548"/>
      <c r="B155" s="548"/>
      <c r="C155" s="548"/>
      <c r="K155" s="548"/>
    </row>
    <row r="156" spans="1:11" s="275" customFormat="1">
      <c r="A156" s="548"/>
      <c r="B156" s="548"/>
      <c r="C156" s="548"/>
      <c r="K156" s="548"/>
    </row>
    <row r="157" spans="1:11" s="275" customFormat="1">
      <c r="A157" s="548"/>
      <c r="B157" s="548"/>
      <c r="C157" s="548"/>
      <c r="K157" s="548"/>
    </row>
    <row r="158" spans="1:11" s="275" customFormat="1">
      <c r="A158" s="548"/>
      <c r="B158" s="548"/>
      <c r="C158" s="548"/>
      <c r="K158" s="548"/>
    </row>
    <row r="159" spans="1:11" s="275" customFormat="1">
      <c r="A159" s="548"/>
      <c r="B159" s="548"/>
      <c r="C159" s="548"/>
      <c r="K159" s="548"/>
    </row>
    <row r="160" spans="1:11" s="275" customFormat="1">
      <c r="A160" s="548"/>
      <c r="B160" s="548"/>
      <c r="C160" s="548"/>
      <c r="K160" s="548"/>
    </row>
    <row r="161" spans="1:11" s="275" customFormat="1">
      <c r="A161" s="548"/>
      <c r="B161" s="548"/>
      <c r="C161" s="548"/>
      <c r="K161" s="548"/>
    </row>
    <row r="162" spans="1:11" s="275" customFormat="1">
      <c r="A162" s="548"/>
      <c r="B162" s="548"/>
      <c r="C162" s="548"/>
      <c r="K162" s="548"/>
    </row>
    <row r="163" spans="1:11" s="275" customFormat="1">
      <c r="A163" s="548"/>
      <c r="B163" s="548"/>
      <c r="C163" s="548"/>
      <c r="K163" s="548"/>
    </row>
    <row r="164" spans="1:11" s="275" customFormat="1">
      <c r="A164" s="548"/>
      <c r="B164" s="548"/>
      <c r="C164" s="548"/>
      <c r="K164" s="548"/>
    </row>
    <row r="165" spans="1:11" s="275" customFormat="1">
      <c r="A165" s="548"/>
      <c r="B165" s="548"/>
      <c r="C165" s="548"/>
      <c r="K165" s="548"/>
    </row>
    <row r="166" spans="1:11" s="275" customFormat="1">
      <c r="A166" s="548"/>
      <c r="B166" s="548"/>
      <c r="C166" s="548"/>
      <c r="K166" s="548"/>
    </row>
    <row r="167" spans="1:11" s="275" customFormat="1">
      <c r="A167" s="548"/>
      <c r="B167" s="548"/>
      <c r="C167" s="548"/>
      <c r="K167" s="548"/>
    </row>
    <row r="168" spans="1:11" s="275" customFormat="1">
      <c r="A168" s="548"/>
      <c r="B168" s="548"/>
      <c r="C168" s="548"/>
      <c r="K168" s="548"/>
    </row>
    <row r="169" spans="1:11" s="275" customFormat="1">
      <c r="A169" s="548"/>
      <c r="B169" s="548"/>
      <c r="C169" s="548"/>
      <c r="K169" s="548"/>
    </row>
    <row r="170" spans="1:11" s="275" customFormat="1">
      <c r="A170" s="548"/>
      <c r="B170" s="548"/>
      <c r="C170" s="548"/>
      <c r="K170" s="548"/>
    </row>
    <row r="171" spans="1:11" s="275" customFormat="1">
      <c r="A171" s="548"/>
      <c r="B171" s="548"/>
      <c r="C171" s="548"/>
      <c r="K171" s="548"/>
    </row>
    <row r="172" spans="1:11" s="275" customFormat="1">
      <c r="A172" s="548"/>
      <c r="B172" s="548"/>
      <c r="C172" s="548"/>
      <c r="K172" s="548"/>
    </row>
    <row r="173" spans="1:11" s="275" customFormat="1">
      <c r="A173" s="548"/>
      <c r="B173" s="548"/>
      <c r="C173" s="548"/>
      <c r="K173" s="548"/>
    </row>
    <row r="174" spans="1:11" s="275" customFormat="1">
      <c r="A174" s="548"/>
      <c r="B174" s="548"/>
      <c r="C174" s="548"/>
      <c r="K174" s="548"/>
    </row>
    <row r="175" spans="1:11" s="275" customFormat="1">
      <c r="A175" s="548"/>
      <c r="B175" s="548"/>
      <c r="C175" s="548"/>
      <c r="K175" s="548"/>
    </row>
    <row r="176" spans="1:11" s="275" customFormat="1">
      <c r="A176" s="548"/>
      <c r="B176" s="548"/>
      <c r="C176" s="548"/>
      <c r="K176" s="548"/>
    </row>
    <row r="177" spans="1:11" s="275" customFormat="1">
      <c r="A177" s="548"/>
      <c r="B177" s="548"/>
      <c r="C177" s="548"/>
      <c r="K177" s="548"/>
    </row>
    <row r="178" spans="1:11" s="275" customFormat="1">
      <c r="A178" s="548"/>
      <c r="B178" s="548"/>
      <c r="C178" s="548"/>
      <c r="K178" s="548"/>
    </row>
    <row r="179" spans="1:11" s="275" customFormat="1">
      <c r="A179" s="548"/>
      <c r="B179" s="548"/>
      <c r="C179" s="548"/>
      <c r="K179" s="548"/>
    </row>
    <row r="180" spans="1:11" s="275" customFormat="1">
      <c r="A180" s="548"/>
      <c r="B180" s="548"/>
      <c r="C180" s="548"/>
      <c r="K180" s="548"/>
    </row>
    <row r="181" spans="1:11" s="275" customFormat="1">
      <c r="A181" s="548"/>
      <c r="B181" s="548"/>
      <c r="C181" s="548"/>
      <c r="K181" s="548"/>
    </row>
    <row r="182" spans="1:11" s="275" customFormat="1">
      <c r="A182" s="548"/>
      <c r="B182" s="548"/>
      <c r="C182" s="548"/>
      <c r="K182" s="548"/>
    </row>
    <row r="183" spans="1:11" s="275" customFormat="1">
      <c r="A183" s="548"/>
      <c r="B183" s="548"/>
      <c r="C183" s="548"/>
      <c r="K183" s="548"/>
    </row>
    <row r="184" spans="1:11" s="275" customFormat="1">
      <c r="A184" s="548"/>
      <c r="B184" s="548"/>
      <c r="C184" s="548"/>
      <c r="K184" s="548"/>
    </row>
    <row r="185" spans="1:11" s="275" customFormat="1">
      <c r="A185" s="548"/>
      <c r="B185" s="548"/>
      <c r="C185" s="548"/>
      <c r="K185" s="548"/>
    </row>
    <row r="186" spans="1:11" s="275" customFormat="1">
      <c r="A186" s="548"/>
      <c r="B186" s="548"/>
      <c r="C186" s="548"/>
      <c r="K186" s="548"/>
    </row>
    <row r="187" spans="1:11" s="275" customFormat="1">
      <c r="A187" s="548"/>
      <c r="B187" s="548"/>
      <c r="C187" s="548"/>
      <c r="K187" s="548"/>
    </row>
    <row r="188" spans="1:11" s="275" customFormat="1">
      <c r="A188" s="548"/>
      <c r="B188" s="548"/>
      <c r="C188" s="548"/>
      <c r="K188" s="548"/>
    </row>
    <row r="189" spans="1:11" s="275" customFormat="1">
      <c r="A189" s="548"/>
      <c r="B189" s="548"/>
      <c r="C189" s="548"/>
      <c r="K189" s="548"/>
    </row>
    <row r="190" spans="1:11" s="275" customFormat="1">
      <c r="A190" s="548"/>
      <c r="B190" s="548"/>
      <c r="C190" s="548"/>
      <c r="K190" s="548"/>
    </row>
    <row r="191" spans="1:11" s="275" customFormat="1">
      <c r="A191" s="548"/>
      <c r="B191" s="548"/>
      <c r="C191" s="548"/>
      <c r="K191" s="548"/>
    </row>
    <row r="192" spans="1:11" s="275" customFormat="1">
      <c r="A192" s="548"/>
      <c r="B192" s="548"/>
      <c r="C192" s="548"/>
      <c r="K192" s="548"/>
    </row>
    <row r="193" spans="1:11" s="275" customFormat="1">
      <c r="A193" s="548"/>
      <c r="B193" s="548"/>
      <c r="C193" s="548"/>
      <c r="K193" s="548"/>
    </row>
    <row r="194" spans="1:11" s="275" customFormat="1">
      <c r="A194" s="548"/>
      <c r="B194" s="548"/>
      <c r="C194" s="548"/>
      <c r="K194" s="548"/>
    </row>
    <row r="195" spans="1:11" s="275" customFormat="1">
      <c r="A195" s="548"/>
      <c r="B195" s="548"/>
      <c r="C195" s="548"/>
      <c r="K195" s="548"/>
    </row>
    <row r="196" spans="1:11" s="275" customFormat="1">
      <c r="A196" s="548"/>
      <c r="B196" s="548"/>
      <c r="C196" s="548"/>
      <c r="K196" s="548"/>
    </row>
    <row r="197" spans="1:11" s="275" customFormat="1">
      <c r="A197" s="548"/>
      <c r="B197" s="548"/>
      <c r="C197" s="548"/>
      <c r="K197" s="548"/>
    </row>
    <row r="198" spans="1:11" s="275" customFormat="1">
      <c r="A198" s="548"/>
      <c r="B198" s="548"/>
      <c r="C198" s="548"/>
      <c r="K198" s="548"/>
    </row>
    <row r="199" spans="1:11" s="275" customFormat="1">
      <c r="A199" s="548"/>
      <c r="B199" s="548"/>
      <c r="C199" s="548"/>
      <c r="K199" s="548"/>
    </row>
    <row r="200" spans="1:11" s="275" customFormat="1">
      <c r="A200" s="548"/>
      <c r="B200" s="548"/>
      <c r="C200" s="548"/>
      <c r="K200" s="548"/>
    </row>
    <row r="201" spans="1:11" s="275" customFormat="1">
      <c r="A201" s="548"/>
      <c r="B201" s="548"/>
      <c r="C201" s="548"/>
      <c r="K201" s="548"/>
    </row>
    <row r="202" spans="1:11" s="275" customFormat="1">
      <c r="A202" s="548"/>
      <c r="B202" s="548"/>
      <c r="C202" s="548"/>
      <c r="K202" s="548"/>
    </row>
    <row r="203" spans="1:11" s="275" customFormat="1">
      <c r="A203" s="548"/>
      <c r="B203" s="548"/>
      <c r="C203" s="548"/>
      <c r="K203" s="548"/>
    </row>
    <row r="204" spans="1:11" s="275" customFormat="1">
      <c r="A204" s="548"/>
      <c r="B204" s="548"/>
      <c r="C204" s="548"/>
      <c r="K204" s="548"/>
    </row>
    <row r="205" spans="1:11" s="275" customFormat="1">
      <c r="A205" s="548"/>
      <c r="B205" s="548"/>
      <c r="C205" s="548"/>
      <c r="K205" s="548"/>
    </row>
    <row r="206" spans="1:11" s="275" customFormat="1">
      <c r="A206" s="548"/>
      <c r="B206" s="548"/>
      <c r="C206" s="548"/>
      <c r="K206" s="548"/>
    </row>
    <row r="207" spans="1:11" s="275" customFormat="1">
      <c r="A207" s="548"/>
      <c r="B207" s="548"/>
      <c r="C207" s="548"/>
      <c r="K207" s="548"/>
    </row>
    <row r="208" spans="1:11" s="275" customFormat="1">
      <c r="A208" s="548"/>
      <c r="B208" s="548"/>
      <c r="C208" s="548"/>
      <c r="K208" s="548"/>
    </row>
    <row r="209" spans="1:11" s="275" customFormat="1">
      <c r="A209" s="548"/>
      <c r="B209" s="548"/>
      <c r="C209" s="548"/>
      <c r="K209" s="548"/>
    </row>
    <row r="210" spans="1:11" s="275" customFormat="1">
      <c r="A210" s="548"/>
      <c r="B210" s="548"/>
      <c r="C210" s="548"/>
      <c r="K210" s="548"/>
    </row>
    <row r="211" spans="1:11" s="275" customFormat="1">
      <c r="A211" s="548"/>
      <c r="B211" s="548"/>
      <c r="C211" s="548"/>
      <c r="K211" s="548"/>
    </row>
    <row r="212" spans="1:11" s="275" customFormat="1">
      <c r="A212" s="548"/>
      <c r="B212" s="548"/>
      <c r="C212" s="548"/>
      <c r="K212" s="548"/>
    </row>
    <row r="213" spans="1:11" s="275" customFormat="1">
      <c r="A213" s="548"/>
      <c r="B213" s="548"/>
      <c r="C213" s="548"/>
      <c r="K213" s="548"/>
    </row>
    <row r="214" spans="1:11" s="275" customFormat="1">
      <c r="A214" s="548"/>
      <c r="B214" s="548"/>
      <c r="C214" s="548"/>
      <c r="K214" s="548"/>
    </row>
    <row r="215" spans="1:11" s="275" customFormat="1">
      <c r="A215" s="548"/>
      <c r="B215" s="548"/>
      <c r="C215" s="548"/>
      <c r="K215" s="548"/>
    </row>
    <row r="216" spans="1:11" s="275" customFormat="1">
      <c r="A216" s="548"/>
      <c r="B216" s="548"/>
      <c r="C216" s="548"/>
      <c r="K216" s="548"/>
    </row>
    <row r="217" spans="1:11" s="275" customFormat="1">
      <c r="A217" s="548"/>
      <c r="B217" s="548"/>
      <c r="C217" s="548"/>
      <c r="K217" s="548"/>
    </row>
    <row r="218" spans="1:11" s="275" customFormat="1">
      <c r="A218" s="548"/>
      <c r="B218" s="548"/>
      <c r="C218" s="548"/>
      <c r="K218" s="548"/>
    </row>
    <row r="219" spans="1:11" s="275" customFormat="1">
      <c r="A219" s="548"/>
      <c r="B219" s="548"/>
      <c r="C219" s="548"/>
      <c r="K219" s="548"/>
    </row>
    <row r="220" spans="1:11" s="275" customFormat="1">
      <c r="A220" s="548"/>
      <c r="B220" s="548"/>
      <c r="C220" s="548"/>
      <c r="K220" s="548"/>
    </row>
    <row r="221" spans="1:11" s="275" customFormat="1">
      <c r="A221" s="548"/>
      <c r="B221" s="548"/>
      <c r="C221" s="548"/>
      <c r="K221" s="548"/>
    </row>
    <row r="222" spans="1:11" s="275" customFormat="1">
      <c r="A222" s="548"/>
      <c r="B222" s="548"/>
      <c r="C222" s="548"/>
      <c r="K222" s="548"/>
    </row>
    <row r="223" spans="1:11" s="275" customFormat="1">
      <c r="A223" s="548"/>
      <c r="B223" s="548"/>
      <c r="C223" s="548"/>
      <c r="K223" s="548"/>
    </row>
    <row r="224" spans="1:11" s="275" customFormat="1">
      <c r="A224" s="548"/>
      <c r="B224" s="548"/>
      <c r="C224" s="548"/>
      <c r="K224" s="548"/>
    </row>
    <row r="225" spans="1:11" s="275" customFormat="1">
      <c r="A225" s="548"/>
      <c r="B225" s="548"/>
      <c r="C225" s="548"/>
      <c r="K225" s="548"/>
    </row>
    <row r="226" spans="1:11" s="275" customFormat="1">
      <c r="A226" s="548"/>
      <c r="B226" s="548"/>
      <c r="C226" s="548"/>
      <c r="K226" s="548"/>
    </row>
    <row r="227" spans="1:11" s="275" customFormat="1">
      <c r="A227" s="548"/>
      <c r="B227" s="548"/>
      <c r="C227" s="548"/>
      <c r="K227" s="548"/>
    </row>
    <row r="228" spans="1:11" s="275" customFormat="1">
      <c r="A228" s="548"/>
      <c r="B228" s="548"/>
      <c r="C228" s="548"/>
      <c r="K228" s="548"/>
    </row>
    <row r="229" spans="1:11" s="275" customFormat="1">
      <c r="A229" s="548"/>
      <c r="B229" s="548"/>
      <c r="C229" s="548"/>
      <c r="K229" s="548"/>
    </row>
    <row r="230" spans="1:11" s="275" customFormat="1">
      <c r="A230" s="548"/>
      <c r="B230" s="548"/>
      <c r="C230" s="548"/>
      <c r="K230" s="548"/>
    </row>
    <row r="231" spans="1:11" s="275" customFormat="1">
      <c r="A231" s="548"/>
      <c r="B231" s="548"/>
      <c r="C231" s="548"/>
      <c r="K231" s="548"/>
    </row>
    <row r="232" spans="1:11" s="275" customFormat="1">
      <c r="A232" s="548"/>
      <c r="B232" s="548"/>
      <c r="C232" s="548"/>
      <c r="K232" s="548"/>
    </row>
    <row r="233" spans="1:11" s="275" customFormat="1">
      <c r="A233" s="548"/>
      <c r="B233" s="548"/>
      <c r="C233" s="548"/>
      <c r="K233" s="548"/>
    </row>
    <row r="234" spans="1:11" s="275" customFormat="1">
      <c r="A234" s="548"/>
      <c r="B234" s="548"/>
      <c r="C234" s="548"/>
      <c r="K234" s="548"/>
    </row>
    <row r="235" spans="1:11" s="275" customFormat="1">
      <c r="A235" s="548"/>
      <c r="B235" s="548"/>
      <c r="C235" s="548"/>
      <c r="K235" s="548"/>
    </row>
    <row r="236" spans="1:11" s="275" customFormat="1">
      <c r="A236" s="548"/>
      <c r="B236" s="548"/>
      <c r="C236" s="548"/>
      <c r="K236" s="548"/>
    </row>
    <row r="237" spans="1:11" s="275" customFormat="1">
      <c r="A237" s="548"/>
      <c r="B237" s="548"/>
      <c r="C237" s="548"/>
      <c r="K237" s="548"/>
    </row>
    <row r="238" spans="1:11" s="275" customFormat="1">
      <c r="A238" s="548"/>
      <c r="B238" s="548"/>
      <c r="C238" s="548"/>
      <c r="K238" s="548"/>
    </row>
    <row r="239" spans="1:11" s="275" customFormat="1">
      <c r="A239" s="548"/>
      <c r="B239" s="548"/>
      <c r="C239" s="548"/>
      <c r="K239" s="548"/>
    </row>
    <row r="240" spans="1:11" s="275" customFormat="1">
      <c r="A240" s="548"/>
      <c r="B240" s="548"/>
      <c r="C240" s="548"/>
      <c r="K240" s="548"/>
    </row>
    <row r="241" spans="1:11" s="275" customFormat="1">
      <c r="A241" s="548"/>
      <c r="B241" s="548"/>
      <c r="C241" s="548"/>
      <c r="K241" s="548"/>
    </row>
    <row r="242" spans="1:11" s="275" customFormat="1">
      <c r="A242" s="548"/>
      <c r="B242" s="548"/>
      <c r="C242" s="548"/>
      <c r="K242" s="548"/>
    </row>
    <row r="243" spans="1:11" s="275" customFormat="1">
      <c r="A243" s="548"/>
      <c r="B243" s="548"/>
      <c r="C243" s="548"/>
      <c r="K243" s="548"/>
    </row>
    <row r="244" spans="1:11" s="275" customFormat="1">
      <c r="A244" s="548"/>
      <c r="B244" s="548"/>
      <c r="C244" s="548"/>
      <c r="K244" s="548"/>
    </row>
    <row r="245" spans="1:11" s="275" customFormat="1">
      <c r="A245" s="548"/>
      <c r="B245" s="548"/>
      <c r="C245" s="548"/>
      <c r="K245" s="548"/>
    </row>
    <row r="246" spans="1:11" s="275" customFormat="1">
      <c r="A246" s="548"/>
      <c r="B246" s="548"/>
      <c r="C246" s="548"/>
      <c r="K246" s="548"/>
    </row>
    <row r="247" spans="1:11" s="275" customFormat="1">
      <c r="A247" s="548"/>
      <c r="B247" s="548"/>
      <c r="C247" s="548"/>
      <c r="K247" s="548"/>
    </row>
    <row r="248" spans="1:11" s="275" customFormat="1">
      <c r="A248" s="548"/>
      <c r="B248" s="548"/>
      <c r="C248" s="548"/>
      <c r="K248" s="548"/>
    </row>
    <row r="249" spans="1:11" s="275" customFormat="1">
      <c r="A249" s="548"/>
      <c r="B249" s="548"/>
      <c r="C249" s="548"/>
      <c r="K249" s="548"/>
    </row>
    <row r="250" spans="1:11" s="275" customFormat="1">
      <c r="A250" s="548"/>
      <c r="B250" s="548"/>
      <c r="C250" s="548"/>
      <c r="K250" s="548"/>
    </row>
    <row r="251" spans="1:11" s="275" customFormat="1">
      <c r="A251" s="548"/>
      <c r="B251" s="548"/>
      <c r="C251" s="548"/>
      <c r="K251" s="548"/>
    </row>
    <row r="252" spans="1:11" s="275" customFormat="1">
      <c r="A252" s="548"/>
      <c r="B252" s="548"/>
      <c r="C252" s="548"/>
      <c r="K252" s="548"/>
    </row>
    <row r="253" spans="1:11" s="275" customFormat="1">
      <c r="A253" s="548"/>
      <c r="B253" s="548"/>
      <c r="C253" s="548"/>
      <c r="K253" s="548"/>
    </row>
    <row r="254" spans="1:11" s="275" customFormat="1">
      <c r="A254" s="548"/>
      <c r="B254" s="548"/>
      <c r="C254" s="548"/>
      <c r="K254" s="548"/>
    </row>
    <row r="255" spans="1:11" s="275" customFormat="1">
      <c r="A255" s="548"/>
      <c r="B255" s="548"/>
      <c r="C255" s="548"/>
      <c r="K255" s="548"/>
    </row>
    <row r="256" spans="1:11" s="275" customFormat="1">
      <c r="A256" s="548"/>
      <c r="B256" s="548"/>
      <c r="C256" s="548"/>
      <c r="K256" s="548"/>
    </row>
    <row r="257" spans="1:11" s="275" customFormat="1">
      <c r="A257" s="548"/>
      <c r="B257" s="548"/>
      <c r="C257" s="548"/>
      <c r="K257" s="548"/>
    </row>
    <row r="258" spans="1:11" s="275" customFormat="1">
      <c r="A258" s="548"/>
      <c r="B258" s="548"/>
      <c r="C258" s="548"/>
      <c r="K258" s="548"/>
    </row>
    <row r="259" spans="1:11" s="275" customFormat="1">
      <c r="A259" s="548"/>
      <c r="B259" s="548"/>
      <c r="C259" s="548"/>
      <c r="K259" s="548"/>
    </row>
    <row r="260" spans="1:11" s="275" customFormat="1">
      <c r="A260" s="548"/>
      <c r="B260" s="548"/>
      <c r="C260" s="548"/>
      <c r="K260" s="548"/>
    </row>
    <row r="261" spans="1:11" s="275" customFormat="1">
      <c r="A261" s="548"/>
      <c r="B261" s="548"/>
      <c r="C261" s="548"/>
      <c r="K261" s="548"/>
    </row>
    <row r="262" spans="1:11" s="275" customFormat="1">
      <c r="A262" s="548"/>
      <c r="B262" s="548"/>
      <c r="C262" s="548"/>
      <c r="K262" s="548"/>
    </row>
    <row r="263" spans="1:11" s="275" customFormat="1">
      <c r="A263" s="548"/>
      <c r="B263" s="548"/>
      <c r="C263" s="548"/>
      <c r="K263" s="548"/>
    </row>
    <row r="264" spans="1:11" s="275" customFormat="1">
      <c r="A264" s="548"/>
      <c r="B264" s="548"/>
      <c r="C264" s="548"/>
      <c r="K264" s="548"/>
    </row>
    <row r="265" spans="1:11" s="275" customFormat="1">
      <c r="A265" s="548"/>
      <c r="B265" s="548"/>
      <c r="C265" s="548"/>
      <c r="K265" s="548"/>
    </row>
    <row r="266" spans="1:11" s="275" customFormat="1">
      <c r="A266" s="548"/>
      <c r="B266" s="548"/>
      <c r="C266" s="548"/>
      <c r="K266" s="548"/>
    </row>
    <row r="267" spans="1:11" s="275" customFormat="1">
      <c r="A267" s="548"/>
      <c r="B267" s="548"/>
      <c r="C267" s="548"/>
      <c r="K267" s="548"/>
    </row>
    <row r="268" spans="1:11" s="275" customFormat="1">
      <c r="A268" s="548"/>
      <c r="B268" s="548"/>
      <c r="C268" s="548"/>
      <c r="K268" s="548"/>
    </row>
    <row r="269" spans="1:11" s="275" customFormat="1">
      <c r="A269" s="548"/>
      <c r="B269" s="548"/>
      <c r="C269" s="548"/>
      <c r="K269" s="548"/>
    </row>
    <row r="270" spans="1:11" s="275" customFormat="1">
      <c r="A270" s="548"/>
      <c r="B270" s="548"/>
      <c r="C270" s="548"/>
      <c r="K270" s="548"/>
    </row>
    <row r="271" spans="1:11" s="275" customFormat="1">
      <c r="A271" s="548"/>
      <c r="B271" s="548"/>
      <c r="C271" s="548"/>
      <c r="K271" s="548"/>
    </row>
    <row r="272" spans="1:11" s="275" customFormat="1">
      <c r="A272" s="548"/>
      <c r="B272" s="548"/>
      <c r="C272" s="548"/>
      <c r="K272" s="548"/>
    </row>
    <row r="273" spans="1:11" s="275" customFormat="1">
      <c r="A273" s="548"/>
      <c r="B273" s="548"/>
      <c r="C273" s="548"/>
      <c r="K273" s="548"/>
    </row>
    <row r="274" spans="1:11" s="275" customFormat="1">
      <c r="A274" s="548"/>
      <c r="B274" s="548"/>
      <c r="C274" s="548"/>
      <c r="K274" s="548"/>
    </row>
    <row r="275" spans="1:11" s="275" customFormat="1">
      <c r="A275" s="548"/>
      <c r="B275" s="548"/>
      <c r="C275" s="548"/>
      <c r="K275" s="548"/>
    </row>
    <row r="276" spans="1:11" s="275" customFormat="1">
      <c r="A276" s="548"/>
      <c r="B276" s="548"/>
      <c r="C276" s="548"/>
      <c r="K276" s="548"/>
    </row>
    <row r="277" spans="1:11" s="275" customFormat="1">
      <c r="A277" s="548"/>
      <c r="B277" s="548"/>
      <c r="C277" s="548"/>
      <c r="K277" s="548"/>
    </row>
    <row r="278" spans="1:11" s="275" customFormat="1">
      <c r="A278" s="548"/>
      <c r="B278" s="548"/>
      <c r="C278" s="548"/>
      <c r="K278" s="548"/>
    </row>
    <row r="279" spans="1:11" s="275" customFormat="1">
      <c r="A279" s="548"/>
      <c r="B279" s="548"/>
      <c r="C279" s="548"/>
      <c r="K279" s="548"/>
    </row>
    <row r="280" spans="1:11" s="275" customFormat="1">
      <c r="A280" s="548"/>
      <c r="B280" s="548"/>
      <c r="C280" s="548"/>
      <c r="K280" s="548"/>
    </row>
    <row r="281" spans="1:11" s="275" customFormat="1">
      <c r="A281" s="548"/>
      <c r="B281" s="548"/>
      <c r="C281" s="548"/>
      <c r="K281" s="548"/>
    </row>
    <row r="282" spans="1:11" s="275" customFormat="1">
      <c r="A282" s="548"/>
      <c r="B282" s="548"/>
      <c r="C282" s="548"/>
      <c r="K282" s="548"/>
    </row>
    <row r="283" spans="1:11" s="275" customFormat="1">
      <c r="A283" s="548"/>
      <c r="B283" s="548"/>
      <c r="C283" s="548"/>
      <c r="K283" s="548"/>
    </row>
    <row r="284" spans="1:11" s="275" customFormat="1">
      <c r="A284" s="548"/>
      <c r="B284" s="548"/>
      <c r="C284" s="548"/>
      <c r="K284" s="548"/>
    </row>
    <row r="285" spans="1:11" s="275" customFormat="1">
      <c r="A285" s="548"/>
      <c r="B285" s="548"/>
      <c r="C285" s="548"/>
      <c r="K285" s="548"/>
    </row>
    <row r="286" spans="1:11" s="275" customFormat="1">
      <c r="A286" s="548"/>
      <c r="B286" s="548"/>
      <c r="C286" s="548"/>
      <c r="K286" s="548"/>
    </row>
    <row r="287" spans="1:11" s="275" customFormat="1">
      <c r="A287" s="548"/>
      <c r="B287" s="548"/>
      <c r="C287" s="548"/>
      <c r="K287" s="548"/>
    </row>
    <row r="288" spans="1:11" s="275" customFormat="1">
      <c r="A288" s="548"/>
      <c r="B288" s="548"/>
      <c r="C288" s="548"/>
      <c r="K288" s="548"/>
    </row>
    <row r="289" spans="1:11" s="275" customFormat="1">
      <c r="A289" s="548"/>
      <c r="B289" s="548"/>
      <c r="C289" s="548"/>
      <c r="K289" s="548"/>
    </row>
    <row r="290" spans="1:11" s="275" customFormat="1">
      <c r="A290" s="548"/>
      <c r="B290" s="548"/>
      <c r="C290" s="548"/>
      <c r="K290" s="548"/>
    </row>
    <row r="291" spans="1:11" s="275" customFormat="1">
      <c r="A291" s="548"/>
      <c r="B291" s="548"/>
      <c r="C291" s="548"/>
      <c r="K291" s="548"/>
    </row>
    <row r="292" spans="1:11" s="275" customFormat="1">
      <c r="A292" s="548"/>
      <c r="B292" s="548"/>
      <c r="C292" s="548"/>
      <c r="K292" s="548"/>
    </row>
    <row r="293" spans="1:11" s="275" customFormat="1">
      <c r="A293" s="548"/>
      <c r="B293" s="548"/>
      <c r="C293" s="548"/>
      <c r="K293" s="548"/>
    </row>
    <row r="294" spans="1:11" s="275" customFormat="1">
      <c r="A294" s="548"/>
      <c r="B294" s="548"/>
      <c r="C294" s="548"/>
      <c r="K294" s="548"/>
    </row>
    <row r="295" spans="1:11" s="275" customFormat="1">
      <c r="A295" s="548"/>
      <c r="B295" s="548"/>
      <c r="C295" s="548"/>
      <c r="K295" s="548"/>
    </row>
    <row r="296" spans="1:11" s="275" customFormat="1">
      <c r="A296" s="548"/>
      <c r="B296" s="548"/>
      <c r="C296" s="548"/>
      <c r="K296" s="548"/>
    </row>
    <row r="297" spans="1:11" s="275" customFormat="1">
      <c r="A297" s="548"/>
      <c r="B297" s="548"/>
      <c r="C297" s="548"/>
      <c r="K297" s="548"/>
    </row>
    <row r="298" spans="1:11" s="275" customFormat="1">
      <c r="A298" s="548"/>
      <c r="B298" s="548"/>
      <c r="C298" s="548"/>
      <c r="K298" s="548"/>
    </row>
    <row r="299" spans="1:11" s="275" customFormat="1">
      <c r="A299" s="548"/>
      <c r="B299" s="548"/>
      <c r="C299" s="548"/>
      <c r="K299" s="548"/>
    </row>
    <row r="300" spans="1:11" s="275" customFormat="1">
      <c r="A300" s="548"/>
      <c r="B300" s="548"/>
      <c r="C300" s="548"/>
      <c r="K300" s="548"/>
    </row>
    <row r="301" spans="1:11" s="275" customFormat="1">
      <c r="A301" s="548"/>
      <c r="B301" s="548"/>
      <c r="C301" s="548"/>
      <c r="K301" s="548"/>
    </row>
    <row r="302" spans="1:11" s="275" customFormat="1">
      <c r="A302" s="548"/>
      <c r="B302" s="548"/>
      <c r="C302" s="548"/>
      <c r="K302" s="548"/>
    </row>
    <row r="303" spans="1:11" s="275" customFormat="1">
      <c r="A303" s="548"/>
      <c r="B303" s="548"/>
      <c r="C303" s="548"/>
      <c r="K303" s="548"/>
    </row>
    <row r="304" spans="1:11" s="275" customFormat="1">
      <c r="A304" s="548"/>
      <c r="B304" s="548"/>
      <c r="C304" s="548"/>
      <c r="K304" s="548"/>
    </row>
    <row r="305" spans="1:11" s="275" customFormat="1">
      <c r="A305" s="548"/>
      <c r="B305" s="548"/>
      <c r="C305" s="548"/>
      <c r="K305" s="548"/>
    </row>
    <row r="306" spans="1:11" s="275" customFormat="1">
      <c r="A306" s="548"/>
      <c r="B306" s="548"/>
      <c r="C306" s="548"/>
      <c r="K306" s="548"/>
    </row>
    <row r="307" spans="1:11" s="275" customFormat="1">
      <c r="A307" s="548"/>
      <c r="B307" s="548"/>
      <c r="C307" s="548"/>
      <c r="K307" s="548"/>
    </row>
    <row r="308" spans="1:11" s="275" customFormat="1">
      <c r="A308" s="548"/>
      <c r="B308" s="548"/>
      <c r="C308" s="548"/>
      <c r="K308" s="548"/>
    </row>
    <row r="309" spans="1:11" s="275" customFormat="1">
      <c r="A309" s="548"/>
      <c r="B309" s="548"/>
      <c r="C309" s="548"/>
      <c r="K309" s="548"/>
    </row>
    <row r="310" spans="1:11" s="275" customFormat="1">
      <c r="A310" s="548"/>
      <c r="B310" s="548"/>
      <c r="C310" s="548"/>
      <c r="K310" s="548"/>
    </row>
    <row r="311" spans="1:11" s="275" customFormat="1">
      <c r="A311" s="548"/>
      <c r="B311" s="548"/>
      <c r="C311" s="548"/>
      <c r="K311" s="548"/>
    </row>
    <row r="312" spans="1:11" s="275" customFormat="1">
      <c r="A312" s="548"/>
      <c r="B312" s="548"/>
      <c r="C312" s="548"/>
      <c r="K312" s="548"/>
    </row>
    <row r="313" spans="1:11" s="275" customFormat="1">
      <c r="A313" s="548"/>
      <c r="B313" s="548"/>
      <c r="C313" s="548"/>
      <c r="K313" s="548"/>
    </row>
    <row r="314" spans="1:11" s="275" customFormat="1">
      <c r="A314" s="548"/>
      <c r="B314" s="548"/>
      <c r="C314" s="548"/>
      <c r="K314" s="548"/>
    </row>
    <row r="315" spans="1:11" s="275" customFormat="1">
      <c r="A315" s="548"/>
      <c r="B315" s="548"/>
      <c r="C315" s="548"/>
      <c r="K315" s="548"/>
    </row>
    <row r="316" spans="1:11" s="275" customFormat="1">
      <c r="A316" s="548"/>
      <c r="B316" s="548"/>
      <c r="C316" s="548"/>
      <c r="K316" s="548"/>
    </row>
    <row r="317" spans="1:11" s="275" customFormat="1">
      <c r="A317" s="548"/>
      <c r="B317" s="548"/>
      <c r="C317" s="548"/>
      <c r="K317" s="548"/>
    </row>
    <row r="318" spans="1:11" s="275" customFormat="1">
      <c r="A318" s="548"/>
      <c r="B318" s="548"/>
      <c r="C318" s="548"/>
      <c r="K318" s="548"/>
    </row>
    <row r="319" spans="1:11" s="275" customFormat="1">
      <c r="A319" s="548"/>
      <c r="B319" s="548"/>
      <c r="C319" s="548"/>
      <c r="K319" s="548"/>
    </row>
    <row r="320" spans="1:11" s="275" customFormat="1">
      <c r="A320" s="548"/>
      <c r="B320" s="548"/>
      <c r="C320" s="548"/>
      <c r="K320" s="548"/>
    </row>
    <row r="321" spans="1:11" s="275" customFormat="1">
      <c r="A321" s="548"/>
      <c r="B321" s="548"/>
      <c r="C321" s="548"/>
      <c r="K321" s="548"/>
    </row>
    <row r="322" spans="1:11" s="275" customFormat="1">
      <c r="A322" s="548"/>
      <c r="B322" s="548"/>
      <c r="C322" s="548"/>
      <c r="K322" s="548"/>
    </row>
    <row r="323" spans="1:11" s="275" customFormat="1">
      <c r="A323" s="548"/>
      <c r="B323" s="548"/>
      <c r="C323" s="548"/>
      <c r="K323" s="548"/>
    </row>
    <row r="324" spans="1:11" s="275" customFormat="1">
      <c r="A324" s="548"/>
      <c r="B324" s="548"/>
      <c r="C324" s="548"/>
      <c r="K324" s="548"/>
    </row>
    <row r="325" spans="1:11" s="275" customFormat="1">
      <c r="A325" s="548"/>
      <c r="B325" s="548"/>
      <c r="C325" s="548"/>
      <c r="K325" s="548"/>
    </row>
    <row r="326" spans="1:11" s="275" customFormat="1">
      <c r="A326" s="548"/>
      <c r="B326" s="548"/>
      <c r="C326" s="548"/>
      <c r="K326" s="548"/>
    </row>
    <row r="327" spans="1:11" s="275" customFormat="1">
      <c r="A327" s="548"/>
      <c r="B327" s="548"/>
      <c r="C327" s="548"/>
      <c r="K327" s="548"/>
    </row>
    <row r="328" spans="1:11" s="275" customFormat="1">
      <c r="A328" s="548"/>
      <c r="B328" s="548"/>
      <c r="C328" s="548"/>
      <c r="K328" s="548"/>
    </row>
    <row r="329" spans="1:11" s="275" customFormat="1">
      <c r="A329" s="548"/>
      <c r="B329" s="548"/>
      <c r="C329" s="548"/>
      <c r="K329" s="548"/>
    </row>
    <row r="330" spans="1:11" s="275" customFormat="1">
      <c r="A330" s="548"/>
      <c r="B330" s="548"/>
      <c r="C330" s="548"/>
      <c r="K330" s="548"/>
    </row>
    <row r="331" spans="1:11" s="275" customFormat="1">
      <c r="A331" s="548"/>
      <c r="B331" s="548"/>
      <c r="C331" s="548"/>
      <c r="K331" s="548"/>
    </row>
    <row r="332" spans="1:11" s="275" customFormat="1">
      <c r="A332" s="548"/>
      <c r="B332" s="548"/>
      <c r="C332" s="548"/>
      <c r="K332" s="548"/>
    </row>
    <row r="333" spans="1:11" s="275" customFormat="1">
      <c r="A333" s="548"/>
      <c r="B333" s="548"/>
      <c r="C333" s="548"/>
      <c r="K333" s="548"/>
    </row>
    <row r="334" spans="1:11" s="275" customFormat="1">
      <c r="A334" s="548"/>
      <c r="B334" s="548"/>
      <c r="C334" s="548"/>
      <c r="K334" s="548"/>
    </row>
    <row r="335" spans="1:11" s="275" customFormat="1">
      <c r="A335" s="548"/>
      <c r="B335" s="548"/>
      <c r="C335" s="548"/>
      <c r="K335" s="548"/>
    </row>
    <row r="336" spans="1:11" s="275" customFormat="1">
      <c r="A336" s="548"/>
      <c r="B336" s="548"/>
      <c r="C336" s="548"/>
      <c r="K336" s="548"/>
    </row>
    <row r="337" spans="1:11" s="275" customFormat="1">
      <c r="A337" s="548"/>
      <c r="B337" s="548"/>
      <c r="C337" s="548"/>
      <c r="K337" s="548"/>
    </row>
    <row r="338" spans="1:11" s="275" customFormat="1">
      <c r="A338" s="548"/>
      <c r="B338" s="548"/>
      <c r="C338" s="548"/>
      <c r="K338" s="548"/>
    </row>
    <row r="339" spans="1:11" s="275" customFormat="1">
      <c r="A339" s="548"/>
      <c r="B339" s="548"/>
      <c r="C339" s="548"/>
      <c r="K339" s="548"/>
    </row>
    <row r="340" spans="1:11" s="275" customFormat="1">
      <c r="A340" s="548"/>
      <c r="B340" s="548"/>
      <c r="C340" s="548"/>
      <c r="K340" s="548"/>
    </row>
    <row r="341" spans="1:11" s="275" customFormat="1">
      <c r="A341" s="548"/>
      <c r="B341" s="548"/>
      <c r="C341" s="548"/>
      <c r="K341" s="548"/>
    </row>
    <row r="342" spans="1:11" s="275" customFormat="1">
      <c r="A342" s="548"/>
      <c r="B342" s="548"/>
      <c r="C342" s="548"/>
      <c r="K342" s="548"/>
    </row>
    <row r="343" spans="1:11" s="275" customFormat="1">
      <c r="A343" s="548"/>
      <c r="B343" s="548"/>
      <c r="C343" s="548"/>
      <c r="K343" s="548"/>
    </row>
    <row r="344" spans="1:11" s="275" customFormat="1">
      <c r="A344" s="548"/>
      <c r="B344" s="548"/>
      <c r="C344" s="548"/>
      <c r="K344" s="548"/>
    </row>
    <row r="345" spans="1:11" s="275" customFormat="1">
      <c r="A345" s="548"/>
      <c r="B345" s="548"/>
      <c r="C345" s="548"/>
      <c r="K345" s="548"/>
    </row>
    <row r="346" spans="1:11" s="275" customFormat="1">
      <c r="A346" s="548"/>
      <c r="B346" s="548"/>
      <c r="C346" s="548"/>
      <c r="K346" s="548"/>
    </row>
    <row r="347" spans="1:11" s="275" customFormat="1">
      <c r="A347" s="548"/>
      <c r="B347" s="548"/>
      <c r="C347" s="548"/>
      <c r="K347" s="548"/>
    </row>
    <row r="348" spans="1:11" s="275" customFormat="1">
      <c r="A348" s="548"/>
      <c r="B348" s="548"/>
      <c r="C348" s="548"/>
      <c r="K348" s="548"/>
    </row>
    <row r="349" spans="1:11" s="275" customFormat="1">
      <c r="A349" s="548"/>
      <c r="B349" s="548"/>
      <c r="C349" s="548"/>
      <c r="K349" s="548"/>
    </row>
    <row r="350" spans="1:11" s="275" customFormat="1">
      <c r="A350" s="548"/>
      <c r="B350" s="548"/>
      <c r="C350" s="548"/>
      <c r="K350" s="548"/>
    </row>
    <row r="351" spans="1:11" s="275" customFormat="1">
      <c r="A351" s="548"/>
      <c r="B351" s="548"/>
      <c r="C351" s="548"/>
      <c r="K351" s="548"/>
    </row>
    <row r="352" spans="1:11" s="275" customFormat="1">
      <c r="A352" s="548"/>
      <c r="B352" s="548"/>
      <c r="C352" s="548"/>
      <c r="K352" s="548"/>
    </row>
    <row r="353" spans="1:11" s="275" customFormat="1">
      <c r="A353" s="548"/>
      <c r="B353" s="548"/>
      <c r="C353" s="548"/>
      <c r="K353" s="548"/>
    </row>
    <row r="354" spans="1:11" s="275" customFormat="1">
      <c r="A354" s="548"/>
      <c r="B354" s="548"/>
      <c r="C354" s="548"/>
      <c r="K354" s="548"/>
    </row>
    <row r="355" spans="1:11" s="275" customFormat="1">
      <c r="A355" s="548"/>
      <c r="B355" s="548"/>
      <c r="C355" s="548"/>
      <c r="K355" s="548"/>
    </row>
    <row r="356" spans="1:11" s="275" customFormat="1">
      <c r="A356" s="548"/>
      <c r="B356" s="548"/>
      <c r="C356" s="548"/>
      <c r="K356" s="548"/>
    </row>
    <row r="357" spans="1:11" s="275" customFormat="1">
      <c r="A357" s="548"/>
      <c r="B357" s="548"/>
      <c r="C357" s="548"/>
      <c r="K357" s="548"/>
    </row>
    <row r="358" spans="1:11" s="275" customFormat="1">
      <c r="A358" s="548"/>
      <c r="B358" s="548"/>
      <c r="C358" s="548"/>
      <c r="K358" s="548"/>
    </row>
    <row r="359" spans="1:11" s="275" customFormat="1">
      <c r="A359" s="548"/>
      <c r="B359" s="548"/>
      <c r="C359" s="548"/>
      <c r="K359" s="548"/>
    </row>
    <row r="360" spans="1:11" s="275" customFormat="1">
      <c r="A360" s="548"/>
      <c r="B360" s="548"/>
      <c r="C360" s="548"/>
      <c r="K360" s="548"/>
    </row>
    <row r="361" spans="1:11" s="275" customFormat="1">
      <c r="A361" s="548"/>
      <c r="B361" s="548"/>
      <c r="C361" s="548"/>
      <c r="K361" s="548"/>
    </row>
    <row r="362" spans="1:11" s="275" customFormat="1">
      <c r="A362" s="548"/>
      <c r="B362" s="548"/>
      <c r="C362" s="548"/>
      <c r="K362" s="548"/>
    </row>
    <row r="363" spans="1:11" s="275" customFormat="1">
      <c r="A363" s="548"/>
      <c r="B363" s="548"/>
      <c r="C363" s="548"/>
      <c r="K363" s="548"/>
    </row>
    <row r="364" spans="1:11" s="275" customFormat="1">
      <c r="A364" s="548"/>
      <c r="B364" s="548"/>
      <c r="C364" s="548"/>
      <c r="K364" s="548"/>
    </row>
    <row r="365" spans="1:11" s="275" customFormat="1">
      <c r="A365" s="548"/>
      <c r="B365" s="548"/>
      <c r="C365" s="548"/>
      <c r="K365" s="548"/>
    </row>
    <row r="366" spans="1:11" s="275" customFormat="1">
      <c r="A366" s="548"/>
      <c r="B366" s="548"/>
      <c r="C366" s="548"/>
      <c r="K366" s="548"/>
    </row>
    <row r="367" spans="1:11" s="275" customFormat="1">
      <c r="A367" s="548"/>
      <c r="B367" s="548"/>
      <c r="C367" s="548"/>
      <c r="K367" s="548"/>
    </row>
    <row r="368" spans="1:11" s="275" customFormat="1">
      <c r="A368" s="548"/>
      <c r="B368" s="548"/>
      <c r="C368" s="548"/>
      <c r="K368" s="548"/>
    </row>
    <row r="369" spans="1:11" s="275" customFormat="1">
      <c r="A369" s="548"/>
      <c r="B369" s="548"/>
      <c r="C369" s="548"/>
      <c r="K369" s="548"/>
    </row>
    <row r="370" spans="1:11" s="275" customFormat="1">
      <c r="A370" s="548"/>
      <c r="B370" s="548"/>
      <c r="C370" s="548"/>
      <c r="K370" s="548"/>
    </row>
    <row r="371" spans="1:11" s="275" customFormat="1">
      <c r="A371" s="548"/>
      <c r="B371" s="548"/>
      <c r="C371" s="548"/>
      <c r="K371" s="548"/>
    </row>
    <row r="372" spans="1:11" s="275" customFormat="1">
      <c r="A372" s="548"/>
      <c r="B372" s="548"/>
      <c r="C372" s="548"/>
      <c r="K372" s="548"/>
    </row>
    <row r="373" spans="1:11" s="275" customFormat="1">
      <c r="A373" s="548"/>
      <c r="B373" s="548"/>
      <c r="C373" s="548"/>
      <c r="K373" s="548"/>
    </row>
    <row r="374" spans="1:11" s="275" customFormat="1">
      <c r="A374" s="548"/>
      <c r="B374" s="548"/>
      <c r="C374" s="548"/>
      <c r="K374" s="548"/>
    </row>
    <row r="375" spans="1:11" s="275" customFormat="1">
      <c r="A375" s="548"/>
      <c r="B375" s="548"/>
      <c r="C375" s="548"/>
      <c r="K375" s="548"/>
    </row>
    <row r="376" spans="1:11" s="275" customFormat="1">
      <c r="A376" s="548"/>
      <c r="B376" s="548"/>
      <c r="C376" s="548"/>
      <c r="K376" s="548"/>
    </row>
    <row r="377" spans="1:11" s="275" customFormat="1">
      <c r="A377" s="548"/>
      <c r="B377" s="548"/>
      <c r="C377" s="548"/>
      <c r="K377" s="548"/>
    </row>
    <row r="378" spans="1:11" s="275" customFormat="1">
      <c r="A378" s="548"/>
      <c r="B378" s="548"/>
      <c r="C378" s="548"/>
      <c r="K378" s="548"/>
    </row>
    <row r="379" spans="1:11" s="275" customFormat="1">
      <c r="A379" s="548"/>
      <c r="B379" s="548"/>
      <c r="C379" s="548"/>
      <c r="K379" s="548"/>
    </row>
    <row r="380" spans="1:11" s="275" customFormat="1">
      <c r="A380" s="548"/>
      <c r="B380" s="548"/>
      <c r="C380" s="548"/>
      <c r="K380" s="548"/>
    </row>
    <row r="381" spans="1:11" s="275" customFormat="1">
      <c r="A381" s="548"/>
      <c r="B381" s="548"/>
      <c r="C381" s="548"/>
      <c r="K381" s="548"/>
    </row>
    <row r="382" spans="1:11" s="275" customFormat="1">
      <c r="A382" s="548"/>
      <c r="B382" s="548"/>
      <c r="C382" s="548"/>
      <c r="K382" s="548"/>
    </row>
    <row r="383" spans="1:11" s="275" customFormat="1">
      <c r="A383" s="548"/>
      <c r="B383" s="548"/>
      <c r="C383" s="548"/>
      <c r="K383" s="548"/>
    </row>
    <row r="384" spans="1:11" s="275" customFormat="1">
      <c r="A384" s="548"/>
      <c r="B384" s="548"/>
      <c r="C384" s="548"/>
      <c r="K384" s="548"/>
    </row>
    <row r="385" spans="1:11" s="275" customFormat="1">
      <c r="A385" s="548"/>
      <c r="B385" s="548"/>
      <c r="C385" s="548"/>
      <c r="K385" s="548"/>
    </row>
    <row r="386" spans="1:11" s="275" customFormat="1">
      <c r="A386" s="548"/>
      <c r="B386" s="548"/>
      <c r="C386" s="548"/>
      <c r="K386" s="548"/>
    </row>
    <row r="387" spans="1:11" s="275" customFormat="1">
      <c r="A387" s="548"/>
      <c r="B387" s="548"/>
      <c r="C387" s="548"/>
      <c r="K387" s="548"/>
    </row>
    <row r="388" spans="1:11" s="275" customFormat="1">
      <c r="A388" s="548"/>
      <c r="B388" s="548"/>
      <c r="C388" s="548"/>
      <c r="K388" s="548"/>
    </row>
    <row r="389" spans="1:11" s="275" customFormat="1">
      <c r="A389" s="548"/>
      <c r="B389" s="548"/>
      <c r="C389" s="548"/>
      <c r="K389" s="548"/>
    </row>
    <row r="390" spans="1:11" s="275" customFormat="1">
      <c r="A390" s="548"/>
      <c r="B390" s="548"/>
      <c r="C390" s="548"/>
      <c r="K390" s="548"/>
    </row>
    <row r="391" spans="1:11" s="275" customFormat="1">
      <c r="A391" s="548"/>
      <c r="B391" s="548"/>
      <c r="C391" s="548"/>
      <c r="K391" s="548"/>
    </row>
    <row r="392" spans="1:11" s="275" customFormat="1">
      <c r="A392" s="548"/>
      <c r="B392" s="548"/>
      <c r="C392" s="548"/>
      <c r="K392" s="548"/>
    </row>
    <row r="393" spans="1:11" s="275" customFormat="1">
      <c r="A393" s="548"/>
      <c r="B393" s="548"/>
      <c r="C393" s="548"/>
      <c r="K393" s="548"/>
    </row>
    <row r="394" spans="1:11" s="275" customFormat="1">
      <c r="A394" s="548"/>
      <c r="B394" s="548"/>
      <c r="C394" s="548"/>
      <c r="K394" s="548"/>
    </row>
    <row r="395" spans="1:11" s="275" customFormat="1">
      <c r="A395" s="548"/>
      <c r="B395" s="548"/>
      <c r="C395" s="548"/>
      <c r="K395" s="548"/>
    </row>
    <row r="396" spans="1:11" s="275" customFormat="1">
      <c r="A396" s="548"/>
      <c r="B396" s="548"/>
      <c r="C396" s="548"/>
      <c r="K396" s="548"/>
    </row>
    <row r="397" spans="1:11" s="275" customFormat="1">
      <c r="A397" s="548"/>
      <c r="B397" s="548"/>
      <c r="C397" s="548"/>
      <c r="K397" s="548"/>
    </row>
    <row r="398" spans="1:11" s="275" customFormat="1">
      <c r="A398" s="548"/>
      <c r="B398" s="548"/>
      <c r="C398" s="548"/>
      <c r="K398" s="548"/>
    </row>
    <row r="399" spans="1:11" s="275" customFormat="1">
      <c r="A399" s="548"/>
      <c r="B399" s="548"/>
      <c r="C399" s="548"/>
      <c r="K399" s="548"/>
    </row>
    <row r="400" spans="1:11" s="275" customFormat="1">
      <c r="A400" s="548"/>
      <c r="B400" s="548"/>
      <c r="C400" s="548"/>
      <c r="K400" s="548"/>
    </row>
    <row r="401" spans="1:11" s="275" customFormat="1">
      <c r="A401" s="548"/>
      <c r="B401" s="548"/>
      <c r="C401" s="548"/>
      <c r="K401" s="548"/>
    </row>
    <row r="402" spans="1:11" s="275" customFormat="1">
      <c r="A402" s="548"/>
      <c r="B402" s="548"/>
      <c r="C402" s="548"/>
      <c r="K402" s="548"/>
    </row>
    <row r="403" spans="1:11" s="275" customFormat="1">
      <c r="A403" s="548"/>
      <c r="B403" s="548"/>
      <c r="C403" s="548"/>
      <c r="K403" s="548"/>
    </row>
    <row r="404" spans="1:11" s="275" customFormat="1">
      <c r="A404" s="548"/>
      <c r="B404" s="548"/>
      <c r="C404" s="548"/>
      <c r="K404" s="548"/>
    </row>
    <row r="405" spans="1:11" s="275" customFormat="1">
      <c r="A405" s="548"/>
      <c r="B405" s="548"/>
      <c r="C405" s="548"/>
      <c r="K405" s="548"/>
    </row>
    <row r="406" spans="1:11" s="275" customFormat="1">
      <c r="A406" s="548"/>
      <c r="B406" s="548"/>
      <c r="C406" s="548"/>
      <c r="K406" s="548"/>
    </row>
    <row r="407" spans="1:11" s="275" customFormat="1">
      <c r="A407" s="548"/>
      <c r="B407" s="548"/>
      <c r="C407" s="548"/>
      <c r="K407" s="548"/>
    </row>
    <row r="408" spans="1:11" s="275" customFormat="1">
      <c r="A408" s="548"/>
      <c r="B408" s="548"/>
      <c r="C408" s="548"/>
      <c r="K408" s="548"/>
    </row>
    <row r="409" spans="1:11" s="275" customFormat="1">
      <c r="A409" s="548"/>
      <c r="B409" s="548"/>
      <c r="C409" s="548"/>
      <c r="K409" s="548"/>
    </row>
    <row r="410" spans="1:11" s="275" customFormat="1">
      <c r="A410" s="548"/>
      <c r="B410" s="548"/>
      <c r="C410" s="548"/>
      <c r="K410" s="548"/>
    </row>
    <row r="411" spans="1:11" s="275" customFormat="1">
      <c r="A411" s="548"/>
      <c r="B411" s="548"/>
      <c r="C411" s="548"/>
      <c r="K411" s="548"/>
    </row>
    <row r="412" spans="1:11" s="275" customFormat="1">
      <c r="A412" s="548"/>
      <c r="B412" s="548"/>
      <c r="C412" s="548"/>
      <c r="K412" s="548"/>
    </row>
    <row r="413" spans="1:11" s="275" customFormat="1">
      <c r="A413" s="548"/>
      <c r="B413" s="548"/>
      <c r="C413" s="548"/>
      <c r="K413" s="548"/>
    </row>
    <row r="414" spans="1:11" s="275" customFormat="1">
      <c r="A414" s="548"/>
      <c r="B414" s="548"/>
      <c r="C414" s="548"/>
      <c r="K414" s="548"/>
    </row>
    <row r="415" spans="1:11" s="275" customFormat="1">
      <c r="A415" s="548"/>
      <c r="B415" s="548"/>
      <c r="C415" s="548"/>
      <c r="K415" s="548"/>
    </row>
    <row r="416" spans="1:11" s="275" customFormat="1">
      <c r="A416" s="548"/>
      <c r="B416" s="548"/>
      <c r="C416" s="548"/>
      <c r="K416" s="548"/>
    </row>
    <row r="417" spans="1:11" s="275" customFormat="1">
      <c r="A417" s="548"/>
      <c r="B417" s="548"/>
      <c r="C417" s="548"/>
      <c r="K417" s="548"/>
    </row>
    <row r="418" spans="1:11" s="275" customFormat="1">
      <c r="A418" s="548"/>
      <c r="B418" s="548"/>
      <c r="C418" s="548"/>
      <c r="K418" s="548"/>
    </row>
    <row r="419" spans="1:11" s="275" customFormat="1">
      <c r="A419" s="548"/>
      <c r="B419" s="548"/>
      <c r="C419" s="548"/>
      <c r="K419" s="548"/>
    </row>
    <row r="420" spans="1:11" s="275" customFormat="1">
      <c r="A420" s="548"/>
      <c r="B420" s="548"/>
      <c r="C420" s="548"/>
      <c r="K420" s="548"/>
    </row>
    <row r="421" spans="1:11" s="275" customFormat="1">
      <c r="A421" s="548"/>
      <c r="B421" s="548"/>
      <c r="C421" s="548"/>
      <c r="K421" s="548"/>
    </row>
    <row r="422" spans="1:11" s="275" customFormat="1">
      <c r="A422" s="548"/>
      <c r="B422" s="548"/>
      <c r="C422" s="548"/>
      <c r="K422" s="548"/>
    </row>
    <row r="423" spans="1:11" s="275" customFormat="1">
      <c r="A423" s="548"/>
      <c r="B423" s="548"/>
      <c r="C423" s="548"/>
      <c r="K423" s="548"/>
    </row>
    <row r="424" spans="1:11" s="275" customFormat="1">
      <c r="A424" s="548"/>
      <c r="B424" s="548"/>
      <c r="C424" s="548"/>
      <c r="K424" s="548"/>
    </row>
    <row r="425" spans="1:11" s="275" customFormat="1">
      <c r="A425" s="548"/>
      <c r="B425" s="548"/>
      <c r="C425" s="548"/>
      <c r="K425" s="548"/>
    </row>
    <row r="426" spans="1:11" s="275" customFormat="1">
      <c r="A426" s="548"/>
      <c r="B426" s="548"/>
      <c r="C426" s="548"/>
      <c r="K426" s="548"/>
    </row>
    <row r="427" spans="1:11" s="275" customFormat="1">
      <c r="A427" s="548"/>
      <c r="B427" s="548"/>
      <c r="C427" s="548"/>
      <c r="K427" s="548"/>
    </row>
    <row r="428" spans="1:11" s="275" customFormat="1">
      <c r="A428" s="548"/>
      <c r="B428" s="548"/>
      <c r="C428" s="548"/>
      <c r="K428" s="548"/>
    </row>
    <row r="429" spans="1:11" s="275" customFormat="1">
      <c r="A429" s="548"/>
      <c r="B429" s="548"/>
      <c r="C429" s="548"/>
      <c r="K429" s="548"/>
    </row>
    <row r="430" spans="1:11" s="275" customFormat="1">
      <c r="A430" s="548"/>
      <c r="B430" s="548"/>
      <c r="C430" s="548"/>
      <c r="K430" s="548"/>
    </row>
    <row r="431" spans="1:11" s="275" customFormat="1">
      <c r="A431" s="548"/>
      <c r="B431" s="548"/>
      <c r="C431" s="548"/>
      <c r="K431" s="548"/>
    </row>
    <row r="432" spans="1:11" s="275" customFormat="1">
      <c r="A432" s="548"/>
      <c r="B432" s="548"/>
      <c r="C432" s="548"/>
      <c r="K432" s="548"/>
    </row>
    <row r="433" spans="1:11" s="275" customFormat="1">
      <c r="A433" s="548"/>
      <c r="B433" s="548"/>
      <c r="C433" s="548"/>
      <c r="K433" s="548"/>
    </row>
    <row r="434" spans="1:11" s="275" customFormat="1">
      <c r="A434" s="548"/>
      <c r="B434" s="548"/>
      <c r="C434" s="548"/>
      <c r="K434" s="548"/>
    </row>
    <row r="435" spans="1:11" s="275" customFormat="1">
      <c r="A435" s="548"/>
      <c r="B435" s="548"/>
      <c r="C435" s="548"/>
      <c r="K435" s="548"/>
    </row>
    <row r="436" spans="1:11" s="275" customFormat="1">
      <c r="A436" s="548"/>
      <c r="B436" s="548"/>
      <c r="C436" s="548"/>
      <c r="K436" s="548"/>
    </row>
    <row r="437" spans="1:11" s="275" customFormat="1">
      <c r="A437" s="548"/>
      <c r="B437" s="548"/>
      <c r="C437" s="548"/>
      <c r="K437" s="548"/>
    </row>
    <row r="438" spans="1:11" s="275" customFormat="1">
      <c r="A438" s="548"/>
      <c r="B438" s="548"/>
      <c r="C438" s="548"/>
      <c r="K438" s="548"/>
    </row>
    <row r="439" spans="1:11" s="275" customFormat="1">
      <c r="A439" s="548"/>
      <c r="B439" s="548"/>
      <c r="C439" s="548"/>
      <c r="K439" s="548"/>
    </row>
    <row r="440" spans="1:11" s="275" customFormat="1">
      <c r="A440" s="548"/>
      <c r="B440" s="548"/>
      <c r="C440" s="548"/>
      <c r="K440" s="548"/>
    </row>
    <row r="441" spans="1:11" s="275" customFormat="1">
      <c r="A441" s="548"/>
      <c r="B441" s="548"/>
      <c r="C441" s="548"/>
      <c r="K441" s="548"/>
    </row>
    <row r="442" spans="1:11" s="275" customFormat="1">
      <c r="A442" s="548"/>
      <c r="B442" s="548"/>
      <c r="C442" s="548"/>
      <c r="K442" s="548"/>
    </row>
    <row r="443" spans="1:11" s="275" customFormat="1">
      <c r="A443" s="548"/>
      <c r="B443" s="548"/>
      <c r="C443" s="548"/>
      <c r="K443" s="548"/>
    </row>
    <row r="444" spans="1:11" s="275" customFormat="1">
      <c r="A444" s="548"/>
      <c r="B444" s="548"/>
      <c r="C444" s="548"/>
      <c r="K444" s="548"/>
    </row>
    <row r="445" spans="1:11" s="275" customFormat="1">
      <c r="A445" s="548"/>
      <c r="B445" s="548"/>
      <c r="C445" s="548"/>
      <c r="K445" s="548"/>
    </row>
    <row r="446" spans="1:11" s="275" customFormat="1">
      <c r="A446" s="548"/>
      <c r="B446" s="548"/>
      <c r="C446" s="548"/>
      <c r="K446" s="548"/>
    </row>
    <row r="447" spans="1:11" s="275" customFormat="1">
      <c r="A447" s="548"/>
      <c r="B447" s="548"/>
      <c r="C447" s="548"/>
      <c r="K447" s="548"/>
    </row>
    <row r="448" spans="1:11" s="275" customFormat="1">
      <c r="A448" s="548"/>
      <c r="B448" s="548"/>
      <c r="C448" s="548"/>
      <c r="K448" s="548"/>
    </row>
    <row r="449" spans="1:11" s="275" customFormat="1">
      <c r="A449" s="548"/>
      <c r="B449" s="548"/>
      <c r="C449" s="548"/>
      <c r="K449" s="548"/>
    </row>
    <row r="450" spans="1:11" s="275" customFormat="1">
      <c r="A450" s="548"/>
      <c r="B450" s="548"/>
      <c r="C450" s="548"/>
      <c r="K450" s="548"/>
    </row>
    <row r="451" spans="1:11" s="275" customFormat="1">
      <c r="A451" s="548"/>
      <c r="B451" s="548"/>
      <c r="C451" s="548"/>
      <c r="K451" s="548"/>
    </row>
    <row r="452" spans="1:11" s="275" customFormat="1">
      <c r="A452" s="548"/>
      <c r="B452" s="548"/>
      <c r="C452" s="548"/>
      <c r="K452" s="548"/>
    </row>
    <row r="453" spans="1:11" s="275" customFormat="1">
      <c r="A453" s="548"/>
      <c r="B453" s="548"/>
      <c r="C453" s="548"/>
      <c r="K453" s="548"/>
    </row>
    <row r="454" spans="1:11" s="275" customFormat="1">
      <c r="A454" s="548"/>
      <c r="B454" s="548"/>
      <c r="C454" s="548"/>
      <c r="K454" s="548"/>
    </row>
    <row r="455" spans="1:11" s="275" customFormat="1">
      <c r="A455" s="548"/>
      <c r="B455" s="548"/>
      <c r="C455" s="548"/>
      <c r="K455" s="548"/>
    </row>
    <row r="456" spans="1:11" s="275" customFormat="1">
      <c r="A456" s="548"/>
      <c r="B456" s="548"/>
      <c r="C456" s="548"/>
      <c r="K456" s="548"/>
    </row>
    <row r="457" spans="1:11" s="275" customFormat="1">
      <c r="A457" s="548"/>
      <c r="B457" s="548"/>
      <c r="C457" s="548"/>
      <c r="K457" s="548"/>
    </row>
    <row r="458" spans="1:11" s="275" customFormat="1">
      <c r="A458" s="548"/>
      <c r="B458" s="548"/>
      <c r="C458" s="548"/>
      <c r="K458" s="548"/>
    </row>
    <row r="459" spans="1:11" s="275" customFormat="1">
      <c r="A459" s="548"/>
      <c r="B459" s="548"/>
      <c r="C459" s="548"/>
      <c r="K459" s="548"/>
    </row>
    <row r="460" spans="1:11" s="275" customFormat="1">
      <c r="A460" s="548"/>
      <c r="B460" s="548"/>
      <c r="C460" s="548"/>
      <c r="K460" s="548"/>
    </row>
    <row r="461" spans="1:11" s="275" customFormat="1">
      <c r="A461" s="548"/>
      <c r="B461" s="548"/>
      <c r="C461" s="548"/>
      <c r="K461" s="548"/>
    </row>
    <row r="462" spans="1:11" s="275" customFormat="1">
      <c r="A462" s="548"/>
      <c r="B462" s="548"/>
      <c r="C462" s="548"/>
      <c r="K462" s="548"/>
    </row>
    <row r="463" spans="1:11" s="275" customFormat="1">
      <c r="A463" s="548"/>
      <c r="B463" s="548"/>
      <c r="C463" s="548"/>
      <c r="K463" s="548"/>
    </row>
    <row r="464" spans="1:11" s="275" customFormat="1">
      <c r="A464" s="548"/>
      <c r="B464" s="548"/>
      <c r="C464" s="548"/>
      <c r="K464" s="548"/>
    </row>
    <row r="465" spans="1:11" s="275" customFormat="1">
      <c r="A465" s="548"/>
      <c r="B465" s="548"/>
      <c r="C465" s="548"/>
      <c r="K465" s="548"/>
    </row>
    <row r="466" spans="1:11" s="275" customFormat="1">
      <c r="A466" s="548"/>
      <c r="B466" s="548"/>
      <c r="C466" s="548"/>
      <c r="K466" s="548"/>
    </row>
    <row r="467" spans="1:11" s="275" customFormat="1">
      <c r="A467" s="548"/>
      <c r="B467" s="548"/>
      <c r="C467" s="548"/>
      <c r="K467" s="548"/>
    </row>
    <row r="468" spans="1:11" s="275" customFormat="1">
      <c r="A468" s="548"/>
      <c r="B468" s="548"/>
      <c r="C468" s="548"/>
      <c r="K468" s="548"/>
    </row>
    <row r="469" spans="1:11" s="275" customFormat="1">
      <c r="A469" s="548"/>
      <c r="B469" s="548"/>
      <c r="C469" s="548"/>
      <c r="K469" s="548"/>
    </row>
    <row r="470" spans="1:11" s="275" customFormat="1">
      <c r="A470" s="548"/>
      <c r="B470" s="548"/>
      <c r="C470" s="548"/>
      <c r="K470" s="548"/>
    </row>
    <row r="471" spans="1:11" s="275" customFormat="1">
      <c r="A471" s="548"/>
      <c r="B471" s="548"/>
      <c r="C471" s="548"/>
      <c r="K471" s="548"/>
    </row>
    <row r="472" spans="1:11" s="275" customFormat="1">
      <c r="A472" s="548"/>
      <c r="B472" s="548"/>
      <c r="C472" s="548"/>
      <c r="K472" s="548"/>
    </row>
    <row r="473" spans="1:11" s="275" customFormat="1">
      <c r="A473" s="548"/>
      <c r="B473" s="548"/>
      <c r="C473" s="548"/>
      <c r="K473" s="548"/>
    </row>
    <row r="474" spans="1:11" s="275" customFormat="1">
      <c r="A474" s="548"/>
      <c r="B474" s="548"/>
      <c r="C474" s="548"/>
      <c r="K474" s="548"/>
    </row>
    <row r="475" spans="1:11" s="275" customFormat="1">
      <c r="A475" s="548"/>
      <c r="B475" s="548"/>
      <c r="C475" s="548"/>
      <c r="K475" s="548"/>
    </row>
    <row r="476" spans="1:11" s="275" customFormat="1">
      <c r="A476" s="548"/>
      <c r="B476" s="548"/>
      <c r="C476" s="548"/>
      <c r="K476" s="548"/>
    </row>
    <row r="477" spans="1:11" s="275" customFormat="1">
      <c r="A477" s="548"/>
      <c r="B477" s="548"/>
      <c r="C477" s="548"/>
      <c r="K477" s="548"/>
    </row>
    <row r="478" spans="1:11" s="275" customFormat="1">
      <c r="A478" s="548"/>
      <c r="B478" s="548"/>
      <c r="C478" s="548"/>
      <c r="K478" s="548"/>
    </row>
    <row r="479" spans="1:11" s="275" customFormat="1">
      <c r="A479" s="548"/>
      <c r="B479" s="548"/>
      <c r="C479" s="548"/>
      <c r="K479" s="548"/>
    </row>
    <row r="480" spans="1:11" s="275" customFormat="1">
      <c r="A480" s="548"/>
      <c r="B480" s="548"/>
      <c r="C480" s="548"/>
      <c r="K480" s="548"/>
    </row>
    <row r="481" spans="1:11" s="275" customFormat="1">
      <c r="A481" s="548"/>
      <c r="B481" s="548"/>
      <c r="C481" s="548"/>
      <c r="K481" s="548"/>
    </row>
    <row r="482" spans="1:11" s="275" customFormat="1">
      <c r="A482" s="548"/>
      <c r="B482" s="548"/>
      <c r="C482" s="548"/>
      <c r="K482" s="548"/>
    </row>
    <row r="483" spans="1:11" s="275" customFormat="1">
      <c r="A483" s="548"/>
      <c r="B483" s="548"/>
      <c r="C483" s="548"/>
      <c r="K483" s="548"/>
    </row>
    <row r="484" spans="1:11" s="275" customFormat="1">
      <c r="A484" s="548"/>
      <c r="B484" s="548"/>
      <c r="C484" s="548"/>
      <c r="K484" s="548"/>
    </row>
    <row r="485" spans="1:11" s="275" customFormat="1">
      <c r="A485" s="548"/>
      <c r="B485" s="548"/>
      <c r="C485" s="548"/>
      <c r="K485" s="548"/>
    </row>
    <row r="486" spans="1:11" s="275" customFormat="1">
      <c r="A486" s="548"/>
      <c r="B486" s="548"/>
      <c r="C486" s="548"/>
      <c r="K486" s="548"/>
    </row>
    <row r="487" spans="1:11" s="275" customFormat="1">
      <c r="A487" s="548"/>
      <c r="B487" s="548"/>
      <c r="C487" s="548"/>
      <c r="K487" s="548"/>
    </row>
    <row r="488" spans="1:11" s="275" customFormat="1">
      <c r="A488" s="548"/>
      <c r="B488" s="548"/>
      <c r="C488" s="548"/>
      <c r="K488" s="548"/>
    </row>
    <row r="489" spans="1:11" s="275" customFormat="1">
      <c r="A489" s="548"/>
      <c r="B489" s="548"/>
      <c r="C489" s="548"/>
      <c r="K489" s="548"/>
    </row>
    <row r="490" spans="1:11" s="275" customFormat="1">
      <c r="A490" s="548"/>
      <c r="B490" s="548"/>
      <c r="C490" s="548"/>
      <c r="K490" s="548"/>
    </row>
    <row r="491" spans="1:11" s="275" customFormat="1">
      <c r="A491" s="548"/>
      <c r="B491" s="548"/>
      <c r="C491" s="548"/>
      <c r="K491" s="548"/>
    </row>
    <row r="492" spans="1:11" s="275" customFormat="1">
      <c r="A492" s="548"/>
      <c r="B492" s="548"/>
      <c r="C492" s="548"/>
      <c r="K492" s="548"/>
    </row>
    <row r="493" spans="1:11" s="275" customFormat="1">
      <c r="A493" s="548"/>
      <c r="B493" s="548"/>
      <c r="C493" s="548"/>
      <c r="K493" s="548"/>
    </row>
    <row r="494" spans="1:11" s="275" customFormat="1">
      <c r="A494" s="548"/>
      <c r="B494" s="548"/>
      <c r="C494" s="548"/>
      <c r="K494" s="548"/>
    </row>
    <row r="495" spans="1:11" s="275" customFormat="1">
      <c r="A495" s="548"/>
      <c r="B495" s="548"/>
      <c r="C495" s="548"/>
      <c r="K495" s="548"/>
    </row>
    <row r="496" spans="1:11" s="275" customFormat="1">
      <c r="A496" s="548"/>
      <c r="B496" s="548"/>
      <c r="C496" s="548"/>
      <c r="K496" s="548"/>
    </row>
    <row r="497" spans="1:11" s="275" customFormat="1">
      <c r="A497" s="548"/>
      <c r="B497" s="548"/>
      <c r="C497" s="548"/>
      <c r="K497" s="548"/>
    </row>
    <row r="498" spans="1:11" s="275" customFormat="1">
      <c r="A498" s="548"/>
      <c r="B498" s="548"/>
      <c r="C498" s="548"/>
      <c r="K498" s="548"/>
    </row>
    <row r="499" spans="1:11" s="275" customFormat="1">
      <c r="A499" s="548"/>
      <c r="B499" s="548"/>
      <c r="C499" s="548"/>
      <c r="K499" s="548"/>
    </row>
    <row r="500" spans="1:11" s="275" customFormat="1">
      <c r="A500" s="548"/>
      <c r="B500" s="548"/>
      <c r="C500" s="548"/>
      <c r="K500" s="548"/>
    </row>
    <row r="501" spans="1:11" s="275" customFormat="1">
      <c r="A501" s="548"/>
      <c r="B501" s="548"/>
      <c r="C501" s="548"/>
      <c r="K501" s="548"/>
    </row>
    <row r="502" spans="1:11" s="275" customFormat="1">
      <c r="A502" s="548"/>
      <c r="B502" s="548"/>
      <c r="C502" s="548"/>
      <c r="K502" s="548"/>
    </row>
    <row r="503" spans="1:11" s="275" customFormat="1">
      <c r="A503" s="548"/>
      <c r="B503" s="548"/>
      <c r="C503" s="548"/>
      <c r="K503" s="548"/>
    </row>
    <row r="504" spans="1:11" s="275" customFormat="1">
      <c r="A504" s="548"/>
      <c r="B504" s="548"/>
      <c r="C504" s="548"/>
      <c r="K504" s="548"/>
    </row>
    <row r="505" spans="1:11" s="275" customFormat="1">
      <c r="A505" s="548"/>
      <c r="B505" s="548"/>
      <c r="C505" s="548"/>
      <c r="K505" s="548"/>
    </row>
    <row r="506" spans="1:11" s="275" customFormat="1">
      <c r="A506" s="548"/>
      <c r="B506" s="548"/>
      <c r="C506" s="548"/>
      <c r="K506" s="548"/>
    </row>
    <row r="507" spans="1:11" s="275" customFormat="1">
      <c r="A507" s="548"/>
      <c r="B507" s="548"/>
      <c r="C507" s="548"/>
      <c r="K507" s="548"/>
    </row>
    <row r="508" spans="1:11" s="275" customFormat="1">
      <c r="A508" s="548"/>
      <c r="B508" s="548"/>
      <c r="C508" s="548"/>
      <c r="K508" s="548"/>
    </row>
    <row r="509" spans="1:11" s="275" customFormat="1">
      <c r="A509" s="548"/>
      <c r="B509" s="548"/>
      <c r="C509" s="548"/>
      <c r="K509" s="548"/>
    </row>
    <row r="510" spans="1:11" s="275" customFormat="1">
      <c r="A510" s="548"/>
      <c r="B510" s="548"/>
      <c r="C510" s="548"/>
      <c r="K510" s="548"/>
    </row>
    <row r="511" spans="1:11" s="275" customFormat="1">
      <c r="A511" s="548"/>
      <c r="B511" s="548"/>
      <c r="C511" s="548"/>
      <c r="K511" s="548"/>
    </row>
    <row r="512" spans="1:11" s="275" customFormat="1">
      <c r="A512" s="548"/>
      <c r="B512" s="548"/>
      <c r="C512" s="548"/>
      <c r="K512" s="548"/>
    </row>
    <row r="513" spans="1:11" s="275" customFormat="1">
      <c r="A513" s="548"/>
      <c r="B513" s="548"/>
      <c r="C513" s="548"/>
      <c r="K513" s="548"/>
    </row>
    <row r="514" spans="1:11" s="275" customFormat="1">
      <c r="A514" s="548"/>
      <c r="B514" s="548"/>
      <c r="C514" s="548"/>
      <c r="K514" s="548"/>
    </row>
    <row r="515" spans="1:11" s="275" customFormat="1">
      <c r="A515" s="548"/>
      <c r="B515" s="548"/>
      <c r="C515" s="548"/>
      <c r="K515" s="548"/>
    </row>
    <row r="516" spans="1:11" s="275" customFormat="1">
      <c r="A516" s="548"/>
      <c r="B516" s="548"/>
      <c r="C516" s="548"/>
      <c r="K516" s="548"/>
    </row>
    <row r="517" spans="1:11" s="275" customFormat="1">
      <c r="A517" s="548"/>
      <c r="B517" s="548"/>
      <c r="C517" s="548"/>
      <c r="K517" s="548"/>
    </row>
    <row r="518" spans="1:11" s="275" customFormat="1">
      <c r="A518" s="548"/>
      <c r="B518" s="548"/>
      <c r="C518" s="548"/>
      <c r="K518" s="548"/>
    </row>
    <row r="519" spans="1:11" s="275" customFormat="1">
      <c r="A519" s="548"/>
      <c r="B519" s="548"/>
      <c r="C519" s="548"/>
      <c r="K519" s="548"/>
    </row>
    <row r="520" spans="1:11" s="275" customFormat="1">
      <c r="A520" s="548"/>
      <c r="B520" s="548"/>
      <c r="C520" s="548"/>
      <c r="K520" s="548"/>
    </row>
    <row r="521" spans="1:11" s="275" customFormat="1">
      <c r="A521" s="548"/>
      <c r="B521" s="548"/>
      <c r="C521" s="548"/>
      <c r="K521" s="548"/>
    </row>
    <row r="522" spans="1:11" s="275" customFormat="1">
      <c r="A522" s="548"/>
      <c r="B522" s="548"/>
      <c r="C522" s="548"/>
      <c r="K522" s="548"/>
    </row>
    <row r="523" spans="1:11" s="275" customFormat="1">
      <c r="A523" s="548"/>
      <c r="B523" s="548"/>
      <c r="C523" s="548"/>
      <c r="K523" s="548"/>
    </row>
    <row r="524" spans="1:11" s="275" customFormat="1">
      <c r="A524" s="548"/>
      <c r="B524" s="548"/>
      <c r="C524" s="548"/>
      <c r="K524" s="548"/>
    </row>
    <row r="525" spans="1:11" s="275" customFormat="1">
      <c r="A525" s="548"/>
      <c r="B525" s="548"/>
      <c r="C525" s="548"/>
      <c r="K525" s="548"/>
    </row>
    <row r="526" spans="1:11" s="275" customFormat="1">
      <c r="A526" s="548"/>
      <c r="B526" s="548"/>
      <c r="C526" s="548"/>
      <c r="K526" s="548"/>
    </row>
    <row r="527" spans="1:11" s="275" customFormat="1">
      <c r="A527" s="548"/>
      <c r="B527" s="548"/>
      <c r="C527" s="548"/>
      <c r="K527" s="548"/>
    </row>
    <row r="528" spans="1:11" s="275" customFormat="1">
      <c r="A528" s="548"/>
      <c r="B528" s="548"/>
      <c r="C528" s="548"/>
      <c r="K528" s="548"/>
    </row>
    <row r="529" spans="1:11" s="275" customFormat="1">
      <c r="A529" s="548"/>
      <c r="B529" s="548"/>
      <c r="C529" s="548"/>
      <c r="K529" s="548"/>
    </row>
    <row r="530" spans="1:11" s="275" customFormat="1">
      <c r="A530" s="548"/>
      <c r="B530" s="548"/>
      <c r="C530" s="548"/>
      <c r="K530" s="548"/>
    </row>
    <row r="531" spans="1:11" s="275" customFormat="1">
      <c r="A531" s="548"/>
      <c r="B531" s="548"/>
      <c r="C531" s="548"/>
      <c r="K531" s="548"/>
    </row>
    <row r="532" spans="1:11" s="275" customFormat="1">
      <c r="A532" s="548"/>
      <c r="B532" s="548"/>
      <c r="C532" s="548"/>
      <c r="K532" s="548"/>
    </row>
    <row r="533" spans="1:11" s="275" customFormat="1">
      <c r="A533" s="548"/>
      <c r="B533" s="548"/>
      <c r="C533" s="548"/>
      <c r="K533" s="548"/>
    </row>
    <row r="534" spans="1:11" s="275" customFormat="1">
      <c r="A534" s="548"/>
      <c r="B534" s="548"/>
      <c r="C534" s="548"/>
      <c r="K534" s="548"/>
    </row>
    <row r="535" spans="1:11" s="275" customFormat="1">
      <c r="A535" s="548"/>
      <c r="B535" s="548"/>
      <c r="C535" s="548"/>
      <c r="K535" s="548"/>
    </row>
    <row r="536" spans="1:11" s="275" customFormat="1">
      <c r="A536" s="548"/>
      <c r="B536" s="548"/>
      <c r="C536" s="548"/>
      <c r="K536" s="548"/>
    </row>
    <row r="537" spans="1:11" s="275" customFormat="1">
      <c r="A537" s="548"/>
      <c r="B537" s="548"/>
      <c r="C537" s="548"/>
      <c r="K537" s="548"/>
    </row>
    <row r="538" spans="1:11" s="275" customFormat="1">
      <c r="A538" s="548"/>
      <c r="B538" s="548"/>
      <c r="C538" s="548"/>
      <c r="K538" s="548"/>
    </row>
    <row r="539" spans="1:11" s="275" customFormat="1">
      <c r="A539" s="548"/>
      <c r="B539" s="548"/>
      <c r="C539" s="548"/>
      <c r="K539" s="548"/>
    </row>
    <row r="540" spans="1:11" s="275" customFormat="1">
      <c r="A540" s="548"/>
      <c r="B540" s="548"/>
      <c r="C540" s="548"/>
      <c r="K540" s="548"/>
    </row>
    <row r="541" spans="1:11" s="275" customFormat="1">
      <c r="A541" s="548"/>
      <c r="B541" s="548"/>
      <c r="C541" s="548"/>
      <c r="K541" s="548"/>
    </row>
    <row r="542" spans="1:11" s="275" customFormat="1">
      <c r="A542" s="548"/>
      <c r="B542" s="548"/>
      <c r="C542" s="548"/>
      <c r="K542" s="548"/>
    </row>
    <row r="543" spans="1:11" s="275" customFormat="1">
      <c r="A543" s="548"/>
      <c r="B543" s="548"/>
      <c r="C543" s="548"/>
      <c r="K543" s="548"/>
    </row>
    <row r="544" spans="1:11" s="275" customFormat="1">
      <c r="A544" s="548"/>
      <c r="B544" s="548"/>
      <c r="C544" s="548"/>
      <c r="K544" s="548"/>
    </row>
    <row r="545" spans="1:11" s="275" customFormat="1">
      <c r="A545" s="548"/>
      <c r="B545" s="548"/>
      <c r="C545" s="548"/>
      <c r="K545" s="548"/>
    </row>
    <row r="546" spans="1:11" s="275" customFormat="1">
      <c r="A546" s="548"/>
      <c r="B546" s="548"/>
      <c r="C546" s="548"/>
      <c r="K546" s="548"/>
    </row>
    <row r="547" spans="1:11" s="275" customFormat="1">
      <c r="A547" s="548"/>
      <c r="B547" s="548"/>
      <c r="C547" s="548"/>
      <c r="K547" s="548"/>
    </row>
    <row r="548" spans="1:11" s="275" customFormat="1">
      <c r="A548" s="548"/>
      <c r="B548" s="548"/>
      <c r="C548" s="548"/>
      <c r="K548" s="548"/>
    </row>
    <row r="549" spans="1:11" s="275" customFormat="1">
      <c r="A549" s="548"/>
      <c r="B549" s="548"/>
      <c r="C549" s="548"/>
      <c r="K549" s="548"/>
    </row>
    <row r="550" spans="1:11" s="275" customFormat="1">
      <c r="A550" s="548"/>
      <c r="B550" s="548"/>
      <c r="C550" s="548"/>
      <c r="K550" s="548"/>
    </row>
    <row r="551" spans="1:11" s="275" customFormat="1">
      <c r="A551" s="548"/>
      <c r="B551" s="548"/>
      <c r="C551" s="548"/>
      <c r="K551" s="548"/>
    </row>
    <row r="552" spans="1:11" s="275" customFormat="1">
      <c r="A552" s="548"/>
      <c r="B552" s="548"/>
      <c r="C552" s="548"/>
      <c r="K552" s="548"/>
    </row>
    <row r="553" spans="1:11" s="275" customFormat="1">
      <c r="A553" s="548"/>
      <c r="B553" s="548"/>
      <c r="C553" s="548"/>
      <c r="K553" s="548"/>
    </row>
    <row r="554" spans="1:11" s="275" customFormat="1">
      <c r="A554" s="548"/>
      <c r="B554" s="548"/>
      <c r="C554" s="548"/>
      <c r="K554" s="548"/>
    </row>
    <row r="555" spans="1:11" s="275" customFormat="1">
      <c r="A555" s="548"/>
      <c r="B555" s="548"/>
      <c r="C555" s="548"/>
      <c r="K555" s="548"/>
    </row>
    <row r="556" spans="1:11" s="275" customFormat="1">
      <c r="A556" s="548"/>
      <c r="B556" s="548"/>
      <c r="C556" s="548"/>
      <c r="K556" s="548"/>
    </row>
    <row r="557" spans="1:11" s="275" customFormat="1">
      <c r="A557" s="548"/>
      <c r="B557" s="548"/>
      <c r="C557" s="548"/>
      <c r="K557" s="548"/>
    </row>
    <row r="558" spans="1:11" s="275" customFormat="1">
      <c r="A558" s="548"/>
      <c r="B558" s="548"/>
      <c r="C558" s="548"/>
      <c r="K558" s="548"/>
    </row>
    <row r="559" spans="1:11" s="275" customFormat="1">
      <c r="A559" s="548"/>
      <c r="B559" s="548"/>
      <c r="C559" s="548"/>
      <c r="K559" s="548"/>
    </row>
    <row r="560" spans="1:11" s="275" customFormat="1">
      <c r="A560" s="548"/>
      <c r="B560" s="548"/>
      <c r="C560" s="548"/>
      <c r="K560" s="548"/>
    </row>
    <row r="561" spans="1:11" s="275" customFormat="1">
      <c r="A561" s="548"/>
      <c r="B561" s="548"/>
      <c r="C561" s="548"/>
      <c r="K561" s="548"/>
    </row>
    <row r="562" spans="1:11" s="275" customFormat="1">
      <c r="A562" s="548"/>
      <c r="B562" s="548"/>
      <c r="C562" s="548"/>
      <c r="K562" s="548"/>
    </row>
    <row r="563" spans="1:11" s="275" customFormat="1">
      <c r="A563" s="548"/>
      <c r="B563" s="548"/>
      <c r="C563" s="548"/>
      <c r="K563" s="548"/>
    </row>
    <row r="564" spans="1:11" s="275" customFormat="1">
      <c r="A564" s="548"/>
      <c r="B564" s="548"/>
      <c r="C564" s="548"/>
      <c r="K564" s="548"/>
    </row>
    <row r="565" spans="1:11" s="275" customFormat="1">
      <c r="A565" s="548"/>
      <c r="B565" s="548"/>
      <c r="C565" s="548"/>
      <c r="K565" s="548"/>
    </row>
    <row r="566" spans="1:11" s="275" customFormat="1">
      <c r="A566" s="548"/>
      <c r="B566" s="548"/>
      <c r="C566" s="548"/>
      <c r="K566" s="548"/>
    </row>
    <row r="567" spans="1:11" s="275" customFormat="1">
      <c r="A567" s="548"/>
      <c r="B567" s="548"/>
      <c r="C567" s="548"/>
      <c r="K567" s="548"/>
    </row>
    <row r="568" spans="1:11" s="275" customFormat="1">
      <c r="A568" s="548"/>
      <c r="B568" s="548"/>
      <c r="C568" s="548"/>
      <c r="K568" s="548"/>
    </row>
    <row r="569" spans="1:11" s="275" customFormat="1">
      <c r="A569" s="548"/>
      <c r="B569" s="548"/>
      <c r="C569" s="548"/>
      <c r="K569" s="548"/>
    </row>
    <row r="570" spans="1:11" s="275" customFormat="1">
      <c r="A570" s="548"/>
      <c r="B570" s="548"/>
      <c r="C570" s="548"/>
      <c r="K570" s="548"/>
    </row>
    <row r="571" spans="1:11" s="275" customFormat="1">
      <c r="A571" s="548"/>
      <c r="B571" s="548"/>
      <c r="C571" s="548"/>
      <c r="K571" s="548"/>
    </row>
    <row r="572" spans="1:11" s="275" customFormat="1">
      <c r="A572" s="548"/>
      <c r="B572" s="548"/>
      <c r="C572" s="548"/>
      <c r="K572" s="548"/>
    </row>
    <row r="573" spans="1:11" s="275" customFormat="1">
      <c r="A573" s="548"/>
      <c r="B573" s="548"/>
      <c r="C573" s="548"/>
      <c r="K573" s="548"/>
    </row>
    <row r="574" spans="1:11" s="275" customFormat="1">
      <c r="A574" s="548"/>
      <c r="B574" s="548"/>
      <c r="C574" s="548"/>
      <c r="K574" s="548"/>
    </row>
    <row r="575" spans="1:11" s="275" customFormat="1">
      <c r="A575" s="548"/>
      <c r="B575" s="548"/>
      <c r="C575" s="548"/>
      <c r="K575" s="548"/>
    </row>
    <row r="576" spans="1:11" s="275" customFormat="1">
      <c r="A576" s="548"/>
      <c r="B576" s="548"/>
      <c r="C576" s="548"/>
      <c r="K576" s="548"/>
    </row>
    <row r="577" spans="1:11" s="275" customFormat="1">
      <c r="A577" s="548"/>
      <c r="B577" s="548"/>
      <c r="C577" s="548"/>
      <c r="K577" s="548"/>
    </row>
    <row r="578" spans="1:11" s="275" customFormat="1">
      <c r="A578" s="548"/>
      <c r="B578" s="548"/>
      <c r="C578" s="548"/>
      <c r="K578" s="548"/>
    </row>
    <row r="579" spans="1:11" s="275" customFormat="1">
      <c r="A579" s="548"/>
      <c r="B579" s="548"/>
      <c r="C579" s="548"/>
      <c r="K579" s="548"/>
    </row>
    <row r="580" spans="1:11" s="275" customFormat="1">
      <c r="A580" s="548"/>
      <c r="B580" s="548"/>
      <c r="C580" s="548"/>
      <c r="K580" s="548"/>
    </row>
    <row r="581" spans="1:11" s="275" customFormat="1">
      <c r="A581" s="548"/>
      <c r="B581" s="548"/>
      <c r="C581" s="548"/>
      <c r="K581" s="548"/>
    </row>
    <row r="582" spans="1:11" s="275" customFormat="1">
      <c r="A582" s="548"/>
      <c r="B582" s="548"/>
      <c r="C582" s="548"/>
      <c r="K582" s="548"/>
    </row>
    <row r="583" spans="1:11" s="275" customFormat="1">
      <c r="A583" s="548"/>
      <c r="B583" s="548"/>
      <c r="C583" s="548"/>
      <c r="K583" s="548"/>
    </row>
    <row r="584" spans="1:11" s="275" customFormat="1">
      <c r="A584" s="548"/>
      <c r="B584" s="548"/>
      <c r="C584" s="548"/>
      <c r="K584" s="548"/>
    </row>
    <row r="585" spans="1:11" s="275" customFormat="1">
      <c r="A585" s="548"/>
      <c r="B585" s="548"/>
      <c r="C585" s="548"/>
      <c r="K585" s="548"/>
    </row>
    <row r="586" spans="1:11" s="275" customFormat="1">
      <c r="A586" s="548"/>
      <c r="B586" s="548"/>
      <c r="C586" s="548"/>
      <c r="K586" s="548"/>
    </row>
    <row r="587" spans="1:11" s="275" customFormat="1">
      <c r="A587" s="548"/>
      <c r="B587" s="548"/>
      <c r="C587" s="548"/>
      <c r="K587" s="548"/>
    </row>
    <row r="588" spans="1:11" s="275" customFormat="1">
      <c r="A588" s="548"/>
      <c r="B588" s="548"/>
      <c r="C588" s="548"/>
      <c r="K588" s="548"/>
    </row>
    <row r="589" spans="1:11" s="275" customFormat="1">
      <c r="A589" s="548"/>
      <c r="B589" s="548"/>
      <c r="C589" s="548"/>
      <c r="K589" s="548"/>
    </row>
    <row r="590" spans="1:11" s="275" customFormat="1">
      <c r="A590" s="548"/>
      <c r="B590" s="548"/>
      <c r="C590" s="548"/>
      <c r="K590" s="548"/>
    </row>
    <row r="591" spans="1:11" s="275" customFormat="1">
      <c r="A591" s="548"/>
      <c r="B591" s="548"/>
      <c r="C591" s="548"/>
      <c r="K591" s="548"/>
    </row>
    <row r="592" spans="1:11" s="275" customFormat="1">
      <c r="A592" s="548"/>
      <c r="B592" s="548"/>
      <c r="C592" s="548"/>
      <c r="K592" s="548"/>
    </row>
    <row r="593" spans="1:11" s="275" customFormat="1">
      <c r="A593" s="548"/>
      <c r="B593" s="548"/>
      <c r="C593" s="548"/>
      <c r="K593" s="548"/>
    </row>
    <row r="594" spans="1:11" s="275" customFormat="1">
      <c r="A594" s="548"/>
      <c r="B594" s="548"/>
      <c r="C594" s="548"/>
      <c r="K594" s="548"/>
    </row>
    <row r="595" spans="1:11" s="275" customFormat="1">
      <c r="A595" s="548"/>
      <c r="B595" s="548"/>
      <c r="C595" s="548"/>
      <c r="K595" s="548"/>
    </row>
    <row r="596" spans="1:11" s="275" customFormat="1">
      <c r="A596" s="548"/>
      <c r="B596" s="548"/>
      <c r="C596" s="548"/>
      <c r="K596" s="548"/>
    </row>
    <row r="597" spans="1:11" s="275" customFormat="1">
      <c r="A597" s="548"/>
      <c r="B597" s="548"/>
      <c r="C597" s="548"/>
      <c r="K597" s="548"/>
    </row>
    <row r="598" spans="1:11" s="275" customFormat="1">
      <c r="A598" s="548"/>
      <c r="B598" s="548"/>
      <c r="C598" s="548"/>
      <c r="K598" s="548"/>
    </row>
    <row r="599" spans="1:11" s="275" customFormat="1">
      <c r="A599" s="548"/>
      <c r="B599" s="548"/>
      <c r="C599" s="548"/>
      <c r="K599" s="548"/>
    </row>
    <row r="600" spans="1:11" s="275" customFormat="1">
      <c r="A600" s="548"/>
      <c r="B600" s="548"/>
      <c r="C600" s="548"/>
      <c r="K600" s="548"/>
    </row>
    <row r="601" spans="1:11" s="275" customFormat="1">
      <c r="A601" s="548"/>
      <c r="B601" s="548"/>
      <c r="C601" s="548"/>
      <c r="K601" s="548"/>
    </row>
    <row r="602" spans="1:11" s="275" customFormat="1">
      <c r="A602" s="548"/>
      <c r="B602" s="548"/>
      <c r="C602" s="548"/>
      <c r="K602" s="548"/>
    </row>
    <row r="603" spans="1:11" s="275" customFormat="1">
      <c r="A603" s="548"/>
      <c r="B603" s="548"/>
      <c r="C603" s="548"/>
      <c r="K603" s="548"/>
    </row>
    <row r="604" spans="1:11" s="275" customFormat="1">
      <c r="A604" s="548"/>
      <c r="B604" s="548"/>
      <c r="C604" s="548"/>
      <c r="K604" s="548"/>
    </row>
    <row r="605" spans="1:11" s="275" customFormat="1">
      <c r="A605" s="548"/>
      <c r="B605" s="548"/>
      <c r="C605" s="548"/>
      <c r="K605" s="548"/>
    </row>
    <row r="606" spans="1:11" s="275" customFormat="1">
      <c r="A606" s="548"/>
      <c r="B606" s="548"/>
      <c r="C606" s="548"/>
      <c r="K606" s="548"/>
    </row>
    <row r="607" spans="1:11" s="275" customFormat="1">
      <c r="A607" s="548"/>
      <c r="B607" s="548"/>
      <c r="C607" s="548"/>
      <c r="K607" s="548"/>
    </row>
    <row r="608" spans="1:11" s="275" customFormat="1">
      <c r="A608" s="548"/>
      <c r="B608" s="548"/>
      <c r="C608" s="548"/>
      <c r="K608" s="548"/>
    </row>
    <row r="609" spans="1:11" s="275" customFormat="1">
      <c r="A609" s="548"/>
      <c r="B609" s="548"/>
      <c r="C609" s="548"/>
      <c r="K609" s="548"/>
    </row>
    <row r="610" spans="1:11" s="275" customFormat="1">
      <c r="A610" s="548"/>
      <c r="B610" s="548"/>
      <c r="C610" s="548"/>
      <c r="K610" s="548"/>
    </row>
    <row r="611" spans="1:11" s="275" customFormat="1">
      <c r="A611" s="548"/>
      <c r="B611" s="548"/>
      <c r="C611" s="548"/>
      <c r="K611" s="548"/>
    </row>
    <row r="612" spans="1:11" s="275" customFormat="1">
      <c r="A612" s="548"/>
      <c r="B612" s="548"/>
      <c r="C612" s="548"/>
      <c r="K612" s="548"/>
    </row>
    <row r="613" spans="1:11" s="275" customFormat="1">
      <c r="A613" s="548"/>
      <c r="B613" s="548"/>
      <c r="C613" s="548"/>
      <c r="K613" s="548"/>
    </row>
    <row r="614" spans="1:11" s="275" customFormat="1">
      <c r="A614" s="548"/>
      <c r="B614" s="548"/>
      <c r="C614" s="548"/>
      <c r="K614" s="548"/>
    </row>
    <row r="615" spans="1:11" s="275" customFormat="1">
      <c r="A615" s="548"/>
      <c r="B615" s="548"/>
      <c r="C615" s="548"/>
      <c r="K615" s="548"/>
    </row>
    <row r="616" spans="1:11" s="275" customFormat="1">
      <c r="A616" s="548"/>
      <c r="B616" s="548"/>
      <c r="C616" s="548"/>
      <c r="K616" s="548"/>
    </row>
    <row r="617" spans="1:11" s="275" customFormat="1">
      <c r="A617" s="548"/>
      <c r="B617" s="548"/>
      <c r="C617" s="548"/>
      <c r="K617" s="548"/>
    </row>
    <row r="618" spans="1:11" s="275" customFormat="1">
      <c r="A618" s="548"/>
      <c r="B618" s="548"/>
      <c r="C618" s="548"/>
      <c r="K618" s="548"/>
    </row>
    <row r="619" spans="1:11" s="275" customFormat="1">
      <c r="A619" s="548"/>
      <c r="B619" s="548"/>
      <c r="C619" s="548"/>
      <c r="K619" s="548"/>
    </row>
    <row r="620" spans="1:11" s="275" customFormat="1">
      <c r="A620" s="548"/>
      <c r="B620" s="548"/>
      <c r="C620" s="548"/>
      <c r="K620" s="548"/>
    </row>
    <row r="621" spans="1:11" s="275" customFormat="1">
      <c r="A621" s="548"/>
      <c r="B621" s="548"/>
      <c r="C621" s="548"/>
      <c r="K621" s="548"/>
    </row>
    <row r="622" spans="1:11" s="275" customFormat="1">
      <c r="A622" s="548"/>
      <c r="B622" s="548"/>
      <c r="C622" s="548"/>
      <c r="K622" s="548"/>
    </row>
    <row r="623" spans="1:11" s="275" customFormat="1">
      <c r="A623" s="548"/>
      <c r="B623" s="548"/>
      <c r="C623" s="548"/>
      <c r="K623" s="548"/>
    </row>
    <row r="624" spans="1:11" s="275" customFormat="1">
      <c r="A624" s="548"/>
      <c r="B624" s="548"/>
      <c r="C624" s="548"/>
      <c r="K624" s="548"/>
    </row>
    <row r="625" spans="1:11" s="275" customFormat="1">
      <c r="A625" s="548"/>
      <c r="B625" s="548"/>
      <c r="C625" s="548"/>
      <c r="K625" s="548"/>
    </row>
    <row r="626" spans="1:11" s="275" customFormat="1">
      <c r="A626" s="548"/>
      <c r="B626" s="548"/>
      <c r="C626" s="548"/>
      <c r="K626" s="548"/>
    </row>
    <row r="627" spans="1:11" s="275" customFormat="1">
      <c r="A627" s="548"/>
      <c r="B627" s="548"/>
      <c r="C627" s="548"/>
      <c r="K627" s="548"/>
    </row>
    <row r="628" spans="1:11" s="275" customFormat="1">
      <c r="A628" s="548"/>
      <c r="B628" s="548"/>
      <c r="C628" s="548"/>
      <c r="K628" s="548"/>
    </row>
    <row r="629" spans="1:11" s="275" customFormat="1">
      <c r="A629" s="548"/>
      <c r="B629" s="548"/>
      <c r="C629" s="548"/>
      <c r="K629" s="548"/>
    </row>
    <row r="630" spans="1:11" s="275" customFormat="1">
      <c r="A630" s="548"/>
      <c r="B630" s="548"/>
      <c r="C630" s="548"/>
      <c r="K630" s="548"/>
    </row>
    <row r="631" spans="1:11" s="275" customFormat="1">
      <c r="A631" s="548"/>
      <c r="B631" s="548"/>
      <c r="C631" s="548"/>
      <c r="K631" s="548"/>
    </row>
    <row r="632" spans="1:11" s="275" customFormat="1">
      <c r="A632" s="548"/>
      <c r="B632" s="548"/>
      <c r="C632" s="548"/>
      <c r="K632" s="548"/>
    </row>
    <row r="633" spans="1:11" s="275" customFormat="1">
      <c r="A633" s="548"/>
      <c r="B633" s="548"/>
      <c r="C633" s="548"/>
      <c r="K633" s="548"/>
    </row>
    <row r="634" spans="1:11" s="275" customFormat="1">
      <c r="A634" s="548"/>
      <c r="B634" s="548"/>
      <c r="C634" s="548"/>
      <c r="K634" s="548"/>
    </row>
    <row r="635" spans="1:11" s="275" customFormat="1">
      <c r="A635" s="548"/>
      <c r="B635" s="548"/>
      <c r="C635" s="548"/>
      <c r="K635" s="548"/>
    </row>
    <row r="636" spans="1:11" s="275" customFormat="1">
      <c r="A636" s="548"/>
      <c r="B636" s="548"/>
      <c r="C636" s="548"/>
      <c r="K636" s="548"/>
    </row>
    <row r="637" spans="1:11" s="275" customFormat="1">
      <c r="A637" s="548"/>
      <c r="B637" s="548"/>
      <c r="C637" s="548"/>
      <c r="K637" s="548"/>
    </row>
    <row r="638" spans="1:11" s="275" customFormat="1">
      <c r="A638" s="548"/>
      <c r="B638" s="548"/>
      <c r="C638" s="548"/>
      <c r="K638" s="548"/>
    </row>
    <row r="639" spans="1:11" s="275" customFormat="1">
      <c r="A639" s="548"/>
      <c r="B639" s="548"/>
      <c r="C639" s="548"/>
      <c r="K639" s="548"/>
    </row>
    <row r="640" spans="1:11" s="275" customFormat="1">
      <c r="A640" s="548"/>
      <c r="B640" s="548"/>
      <c r="C640" s="548"/>
      <c r="K640" s="548"/>
    </row>
    <row r="641" spans="1:11" s="275" customFormat="1">
      <c r="A641" s="548"/>
      <c r="B641" s="548"/>
      <c r="C641" s="548"/>
      <c r="K641" s="548"/>
    </row>
    <row r="642" spans="1:11" s="275" customFormat="1">
      <c r="A642" s="548"/>
      <c r="B642" s="548"/>
      <c r="C642" s="548"/>
      <c r="K642" s="548"/>
    </row>
    <row r="643" spans="1:11" s="275" customFormat="1">
      <c r="A643" s="548"/>
      <c r="B643" s="548"/>
      <c r="C643" s="548"/>
      <c r="K643" s="548"/>
    </row>
    <row r="644" spans="1:11" s="275" customFormat="1">
      <c r="A644" s="548"/>
      <c r="B644" s="548"/>
      <c r="C644" s="548"/>
      <c r="K644" s="548"/>
    </row>
    <row r="645" spans="1:11" s="275" customFormat="1">
      <c r="A645" s="548"/>
      <c r="B645" s="548"/>
      <c r="C645" s="548"/>
      <c r="K645" s="548"/>
    </row>
    <row r="646" spans="1:11" s="275" customFormat="1">
      <c r="A646" s="548"/>
      <c r="B646" s="548"/>
      <c r="C646" s="548"/>
      <c r="K646" s="548"/>
    </row>
    <row r="647" spans="1:11" s="275" customFormat="1">
      <c r="A647" s="548"/>
      <c r="B647" s="548"/>
      <c r="C647" s="548"/>
      <c r="K647" s="548"/>
    </row>
    <row r="648" spans="1:11" s="275" customFormat="1">
      <c r="A648" s="548"/>
      <c r="B648" s="548"/>
      <c r="C648" s="548"/>
      <c r="K648" s="548"/>
    </row>
    <row r="649" spans="1:11" s="275" customFormat="1">
      <c r="A649" s="548"/>
      <c r="B649" s="548"/>
      <c r="C649" s="548"/>
      <c r="K649" s="548"/>
    </row>
    <row r="650" spans="1:11" s="275" customFormat="1">
      <c r="A650" s="548"/>
      <c r="B650" s="548"/>
      <c r="C650" s="548"/>
      <c r="K650" s="548"/>
    </row>
    <row r="651" spans="1:11" s="275" customFormat="1">
      <c r="A651" s="548"/>
      <c r="B651" s="548"/>
      <c r="C651" s="548"/>
      <c r="K651" s="548"/>
    </row>
    <row r="652" spans="1:11" s="275" customFormat="1">
      <c r="A652" s="548"/>
      <c r="B652" s="548"/>
      <c r="C652" s="548"/>
      <c r="K652" s="548"/>
    </row>
    <row r="653" spans="1:11" s="275" customFormat="1">
      <c r="A653" s="548"/>
      <c r="B653" s="548"/>
      <c r="C653" s="548"/>
      <c r="K653" s="548"/>
    </row>
    <row r="654" spans="1:11" s="275" customFormat="1">
      <c r="A654" s="548"/>
      <c r="B654" s="548"/>
      <c r="C654" s="548"/>
      <c r="K654" s="548"/>
    </row>
    <row r="655" spans="1:11" s="275" customFormat="1">
      <c r="A655" s="548"/>
      <c r="B655" s="548"/>
      <c r="C655" s="548"/>
      <c r="K655" s="548"/>
    </row>
    <row r="656" spans="1:11" s="275" customFormat="1">
      <c r="A656" s="548"/>
      <c r="B656" s="548"/>
      <c r="C656" s="548"/>
      <c r="K656" s="548"/>
    </row>
    <row r="657" spans="1:11" s="275" customFormat="1">
      <c r="A657" s="548"/>
      <c r="B657" s="548"/>
      <c r="C657" s="548"/>
      <c r="K657" s="548"/>
    </row>
    <row r="658" spans="1:11" s="275" customFormat="1">
      <c r="A658" s="548"/>
      <c r="B658" s="548"/>
      <c r="C658" s="548"/>
      <c r="K658" s="548"/>
    </row>
    <row r="659" spans="1:11" s="275" customFormat="1">
      <c r="A659" s="548"/>
      <c r="B659" s="548"/>
      <c r="C659" s="548"/>
      <c r="K659" s="548"/>
    </row>
    <row r="660" spans="1:11" s="275" customFormat="1">
      <c r="A660" s="548"/>
      <c r="B660" s="548"/>
      <c r="C660" s="548"/>
      <c r="K660" s="548"/>
    </row>
    <row r="661" spans="1:11" s="275" customFormat="1">
      <c r="A661" s="548"/>
      <c r="B661" s="548"/>
      <c r="C661" s="548"/>
      <c r="K661" s="548"/>
    </row>
    <row r="662" spans="1:11" s="275" customFormat="1">
      <c r="A662" s="548"/>
      <c r="B662" s="548"/>
      <c r="C662" s="548"/>
      <c r="K662" s="548"/>
    </row>
    <row r="663" spans="1:11" s="275" customFormat="1">
      <c r="A663" s="548"/>
      <c r="B663" s="548"/>
      <c r="C663" s="548"/>
      <c r="K663" s="548"/>
    </row>
    <row r="664" spans="1:11" s="275" customFormat="1">
      <c r="A664" s="548"/>
      <c r="B664" s="548"/>
      <c r="C664" s="548"/>
      <c r="K664" s="548"/>
    </row>
    <row r="665" spans="1:11" s="275" customFormat="1">
      <c r="A665" s="548"/>
      <c r="B665" s="548"/>
      <c r="C665" s="548"/>
      <c r="K665" s="548"/>
    </row>
    <row r="666" spans="1:11" s="275" customFormat="1">
      <c r="A666" s="548"/>
      <c r="B666" s="548"/>
      <c r="C666" s="548"/>
      <c r="K666" s="548"/>
    </row>
    <row r="667" spans="1:11" s="275" customFormat="1">
      <c r="A667" s="548"/>
      <c r="B667" s="548"/>
      <c r="C667" s="548"/>
      <c r="K667" s="548"/>
    </row>
    <row r="668" spans="1:11" s="275" customFormat="1">
      <c r="A668" s="548"/>
      <c r="B668" s="548"/>
      <c r="C668" s="548"/>
      <c r="K668" s="548"/>
    </row>
    <row r="669" spans="1:11" s="275" customFormat="1">
      <c r="A669" s="548"/>
      <c r="B669" s="548"/>
      <c r="C669" s="548"/>
      <c r="K669" s="548"/>
    </row>
    <row r="670" spans="1:11" s="275" customFormat="1">
      <c r="A670" s="548"/>
      <c r="B670" s="548"/>
      <c r="C670" s="548"/>
      <c r="K670" s="548"/>
    </row>
    <row r="671" spans="1:11" s="275" customFormat="1">
      <c r="A671" s="548"/>
      <c r="B671" s="548"/>
      <c r="C671" s="548"/>
      <c r="K671" s="548"/>
    </row>
    <row r="672" spans="1:11" s="275" customFormat="1">
      <c r="A672" s="548"/>
      <c r="B672" s="548"/>
      <c r="C672" s="548"/>
      <c r="K672" s="548"/>
    </row>
    <row r="673" spans="1:11" s="275" customFormat="1">
      <c r="A673" s="548"/>
      <c r="B673" s="548"/>
      <c r="C673" s="548"/>
      <c r="K673" s="548"/>
    </row>
    <row r="674" spans="1:11" s="275" customFormat="1">
      <c r="A674" s="548"/>
      <c r="B674" s="548"/>
      <c r="C674" s="548"/>
      <c r="K674" s="548"/>
    </row>
    <row r="675" spans="1:11" s="275" customFormat="1">
      <c r="A675" s="548"/>
      <c r="B675" s="548"/>
      <c r="C675" s="548"/>
      <c r="K675" s="548"/>
    </row>
    <row r="676" spans="1:11" s="275" customFormat="1">
      <c r="A676" s="548"/>
      <c r="B676" s="548"/>
      <c r="C676" s="548"/>
      <c r="K676" s="548"/>
    </row>
    <row r="677" spans="1:11" s="275" customFormat="1">
      <c r="A677" s="548"/>
      <c r="B677" s="548"/>
      <c r="C677" s="548"/>
      <c r="K677" s="548"/>
    </row>
    <row r="678" spans="1:11" s="275" customFormat="1">
      <c r="A678" s="548"/>
      <c r="B678" s="548"/>
      <c r="C678" s="548"/>
      <c r="K678" s="548"/>
    </row>
    <row r="679" spans="1:11" s="275" customFormat="1">
      <c r="A679" s="548"/>
      <c r="B679" s="548"/>
      <c r="C679" s="548"/>
      <c r="K679" s="548"/>
    </row>
    <row r="680" spans="1:11" s="275" customFormat="1">
      <c r="A680" s="548"/>
      <c r="B680" s="548"/>
      <c r="C680" s="548"/>
      <c r="K680" s="548"/>
    </row>
    <row r="681" spans="1:11" s="275" customFormat="1">
      <c r="A681" s="548"/>
      <c r="B681" s="548"/>
      <c r="C681" s="548"/>
      <c r="K681" s="548"/>
    </row>
    <row r="682" spans="1:11" s="275" customFormat="1">
      <c r="A682" s="548"/>
      <c r="B682" s="548"/>
      <c r="C682" s="548"/>
      <c r="K682" s="548"/>
    </row>
    <row r="683" spans="1:11" s="275" customFormat="1">
      <c r="A683" s="548"/>
      <c r="B683" s="548"/>
      <c r="C683" s="548"/>
      <c r="K683" s="548"/>
    </row>
    <row r="684" spans="1:11" s="275" customFormat="1">
      <c r="A684" s="548"/>
      <c r="B684" s="548"/>
      <c r="C684" s="548"/>
      <c r="K684" s="548"/>
    </row>
    <row r="685" spans="1:11" s="275" customFormat="1">
      <c r="A685" s="548"/>
      <c r="B685" s="548"/>
      <c r="C685" s="548"/>
      <c r="K685" s="548"/>
    </row>
    <row r="686" spans="1:11" s="275" customFormat="1">
      <c r="A686" s="548"/>
      <c r="B686" s="548"/>
      <c r="C686" s="548"/>
      <c r="K686" s="548"/>
    </row>
    <row r="687" spans="1:11" s="275" customFormat="1">
      <c r="A687" s="548"/>
      <c r="B687" s="548"/>
      <c r="C687" s="548"/>
      <c r="K687" s="548"/>
    </row>
    <row r="688" spans="1:11" s="275" customFormat="1">
      <c r="A688" s="548"/>
      <c r="B688" s="548"/>
      <c r="C688" s="548"/>
      <c r="K688" s="548"/>
    </row>
    <row r="689" spans="1:11" s="275" customFormat="1">
      <c r="A689" s="548"/>
      <c r="B689" s="548"/>
      <c r="C689" s="548"/>
      <c r="K689" s="548"/>
    </row>
    <row r="690" spans="1:11" s="275" customFormat="1">
      <c r="A690" s="548"/>
      <c r="B690" s="548"/>
      <c r="C690" s="548"/>
      <c r="K690" s="548"/>
    </row>
    <row r="691" spans="1:11" s="275" customFormat="1">
      <c r="A691" s="548"/>
      <c r="B691" s="548"/>
      <c r="C691" s="548"/>
      <c r="K691" s="548"/>
    </row>
    <row r="692" spans="1:11" s="275" customFormat="1">
      <c r="A692" s="548"/>
      <c r="B692" s="548"/>
      <c r="C692" s="548"/>
      <c r="K692" s="548"/>
    </row>
    <row r="693" spans="1:11" s="275" customFormat="1">
      <c r="A693" s="548"/>
      <c r="B693" s="548"/>
      <c r="C693" s="548"/>
      <c r="K693" s="548"/>
    </row>
    <row r="694" spans="1:11" s="275" customFormat="1">
      <c r="A694" s="548"/>
      <c r="B694" s="548"/>
      <c r="C694" s="548"/>
      <c r="K694" s="548"/>
    </row>
    <row r="695" spans="1:11" s="275" customFormat="1">
      <c r="A695" s="548"/>
      <c r="B695" s="548"/>
      <c r="C695" s="548"/>
      <c r="K695" s="548"/>
    </row>
    <row r="696" spans="1:11" s="275" customFormat="1">
      <c r="A696" s="548"/>
      <c r="B696" s="548"/>
      <c r="C696" s="548"/>
      <c r="K696" s="548"/>
    </row>
    <row r="697" spans="1:11" s="275" customFormat="1">
      <c r="A697" s="548"/>
      <c r="B697" s="548"/>
      <c r="C697" s="548"/>
      <c r="K697" s="548"/>
    </row>
    <row r="698" spans="1:11" s="275" customFormat="1">
      <c r="A698" s="548"/>
      <c r="B698" s="548"/>
      <c r="C698" s="548"/>
      <c r="K698" s="548"/>
    </row>
    <row r="699" spans="1:11" s="275" customFormat="1">
      <c r="A699" s="548"/>
      <c r="B699" s="548"/>
      <c r="C699" s="548"/>
      <c r="K699" s="548"/>
    </row>
    <row r="700" spans="1:11" s="275" customFormat="1">
      <c r="A700" s="548"/>
      <c r="B700" s="548"/>
      <c r="C700" s="548"/>
      <c r="K700" s="548"/>
    </row>
    <row r="701" spans="1:11" s="275" customFormat="1">
      <c r="A701" s="548"/>
      <c r="B701" s="548"/>
      <c r="C701" s="548"/>
      <c r="K701" s="548"/>
    </row>
    <row r="702" spans="1:11" s="275" customFormat="1">
      <c r="A702" s="548"/>
      <c r="B702" s="548"/>
      <c r="C702" s="548"/>
      <c r="K702" s="548"/>
    </row>
    <row r="703" spans="1:11" s="275" customFormat="1">
      <c r="A703" s="548"/>
      <c r="B703" s="548"/>
      <c r="C703" s="548"/>
      <c r="K703" s="548"/>
    </row>
    <row r="704" spans="1:11" s="275" customFormat="1">
      <c r="A704" s="548"/>
      <c r="B704" s="548"/>
      <c r="C704" s="548"/>
      <c r="K704" s="548"/>
    </row>
    <row r="705" spans="1:11" s="275" customFormat="1">
      <c r="A705" s="548"/>
      <c r="B705" s="548"/>
      <c r="C705" s="548"/>
      <c r="K705" s="548"/>
    </row>
    <row r="706" spans="1:11" s="275" customFormat="1">
      <c r="A706" s="548"/>
      <c r="B706" s="548"/>
      <c r="C706" s="548"/>
      <c r="K706" s="548"/>
    </row>
    <row r="707" spans="1:11" s="275" customFormat="1">
      <c r="A707" s="548"/>
      <c r="B707" s="548"/>
      <c r="C707" s="548"/>
      <c r="K707" s="548"/>
    </row>
    <row r="708" spans="1:11" s="275" customFormat="1">
      <c r="A708" s="548"/>
      <c r="B708" s="548"/>
      <c r="C708" s="548"/>
      <c r="K708" s="548"/>
    </row>
    <row r="709" spans="1:11" s="275" customFormat="1">
      <c r="A709" s="548"/>
      <c r="B709" s="548"/>
      <c r="C709" s="548"/>
      <c r="K709" s="548"/>
    </row>
    <row r="710" spans="1:11" s="275" customFormat="1">
      <c r="A710" s="548"/>
      <c r="B710" s="548"/>
      <c r="C710" s="548"/>
      <c r="K710" s="548"/>
    </row>
    <row r="711" spans="1:11" s="275" customFormat="1">
      <c r="A711" s="548"/>
      <c r="B711" s="548"/>
      <c r="C711" s="548"/>
      <c r="K711" s="548"/>
    </row>
    <row r="712" spans="1:11" s="275" customFormat="1">
      <c r="A712" s="548"/>
      <c r="B712" s="548"/>
      <c r="C712" s="548"/>
      <c r="K712" s="548"/>
    </row>
    <row r="713" spans="1:11" s="275" customFormat="1">
      <c r="A713" s="548"/>
      <c r="B713" s="548"/>
      <c r="C713" s="548"/>
      <c r="K713" s="548"/>
    </row>
    <row r="714" spans="1:11" s="275" customFormat="1">
      <c r="A714" s="548"/>
      <c r="B714" s="548"/>
      <c r="C714" s="548"/>
      <c r="K714" s="548"/>
    </row>
    <row r="715" spans="1:11" s="275" customFormat="1">
      <c r="A715" s="548"/>
      <c r="B715" s="548"/>
      <c r="C715" s="548"/>
      <c r="K715" s="548"/>
    </row>
    <row r="716" spans="1:11" s="275" customFormat="1">
      <c r="A716" s="548"/>
      <c r="B716" s="548"/>
      <c r="C716" s="548"/>
      <c r="K716" s="548"/>
    </row>
    <row r="717" spans="1:11" s="275" customFormat="1">
      <c r="A717" s="548"/>
      <c r="B717" s="548"/>
      <c r="C717" s="548"/>
      <c r="K717" s="548"/>
    </row>
    <row r="718" spans="1:11" s="275" customFormat="1">
      <c r="A718" s="548"/>
      <c r="B718" s="548"/>
      <c r="C718" s="548"/>
      <c r="K718" s="548"/>
    </row>
    <row r="719" spans="1:11" s="275" customFormat="1">
      <c r="A719" s="548"/>
      <c r="B719" s="548"/>
      <c r="C719" s="548"/>
      <c r="K719" s="548"/>
    </row>
    <row r="720" spans="1:11" s="275" customFormat="1">
      <c r="A720" s="548"/>
      <c r="B720" s="548"/>
      <c r="C720" s="548"/>
      <c r="K720" s="548"/>
    </row>
    <row r="721" spans="1:11" s="275" customFormat="1">
      <c r="A721" s="548"/>
      <c r="B721" s="548"/>
      <c r="C721" s="548"/>
      <c r="K721" s="548"/>
    </row>
    <row r="722" spans="1:11" s="275" customFormat="1">
      <c r="A722" s="548"/>
      <c r="B722" s="548"/>
      <c r="C722" s="548"/>
      <c r="K722" s="548"/>
    </row>
    <row r="723" spans="1:11" s="275" customFormat="1">
      <c r="A723" s="548"/>
      <c r="B723" s="548"/>
      <c r="C723" s="548"/>
      <c r="K723" s="548"/>
    </row>
    <row r="724" spans="1:11" s="275" customFormat="1">
      <c r="A724" s="548"/>
      <c r="B724" s="548"/>
      <c r="C724" s="548"/>
      <c r="K724" s="548"/>
    </row>
    <row r="725" spans="1:11" s="275" customFormat="1">
      <c r="A725" s="548"/>
      <c r="B725" s="548"/>
      <c r="C725" s="548"/>
      <c r="K725" s="548"/>
    </row>
    <row r="726" spans="1:11" s="275" customFormat="1">
      <c r="A726" s="548"/>
      <c r="B726" s="548"/>
      <c r="C726" s="548"/>
      <c r="K726" s="548"/>
    </row>
    <row r="727" spans="1:11" s="275" customFormat="1">
      <c r="A727" s="548"/>
      <c r="B727" s="548"/>
      <c r="C727" s="548"/>
      <c r="K727" s="548"/>
    </row>
    <row r="728" spans="1:11" s="275" customFormat="1">
      <c r="A728" s="548"/>
      <c r="B728" s="548"/>
      <c r="C728" s="548"/>
      <c r="K728" s="548"/>
    </row>
    <row r="729" spans="1:11" s="275" customFormat="1">
      <c r="A729" s="548"/>
      <c r="B729" s="548"/>
      <c r="C729" s="548"/>
      <c r="K729" s="548"/>
    </row>
    <row r="730" spans="1:11" s="275" customFormat="1">
      <c r="A730" s="548"/>
      <c r="B730" s="548"/>
      <c r="C730" s="548"/>
      <c r="K730" s="548"/>
    </row>
    <row r="731" spans="1:11" s="275" customFormat="1">
      <c r="A731" s="548"/>
      <c r="B731" s="548"/>
      <c r="C731" s="548"/>
      <c r="K731" s="548"/>
    </row>
    <row r="732" spans="1:11" s="275" customFormat="1">
      <c r="A732" s="548"/>
      <c r="B732" s="548"/>
      <c r="C732" s="548"/>
      <c r="K732" s="548"/>
    </row>
    <row r="733" spans="1:11" s="275" customFormat="1">
      <c r="A733" s="548"/>
      <c r="B733" s="548"/>
      <c r="C733" s="548"/>
      <c r="K733" s="548"/>
    </row>
    <row r="734" spans="1:11" s="275" customFormat="1">
      <c r="A734" s="548"/>
      <c r="B734" s="548"/>
      <c r="C734" s="548"/>
      <c r="K734" s="548"/>
    </row>
    <row r="735" spans="1:11" s="275" customFormat="1">
      <c r="A735" s="548"/>
      <c r="B735" s="548"/>
      <c r="C735" s="548"/>
      <c r="K735" s="548"/>
    </row>
    <row r="736" spans="1:11" s="275" customFormat="1">
      <c r="A736" s="548"/>
      <c r="B736" s="548"/>
      <c r="C736" s="548"/>
      <c r="K736" s="548"/>
    </row>
    <row r="737" spans="1:11" s="275" customFormat="1">
      <c r="A737" s="548"/>
      <c r="B737" s="548"/>
      <c r="C737" s="548"/>
      <c r="K737" s="548"/>
    </row>
    <row r="738" spans="1:11" s="275" customFormat="1">
      <c r="A738" s="548"/>
      <c r="B738" s="548"/>
      <c r="C738" s="548"/>
      <c r="K738" s="548"/>
    </row>
    <row r="739" spans="1:11" s="275" customFormat="1">
      <c r="A739" s="548"/>
      <c r="B739" s="548"/>
      <c r="C739" s="548"/>
      <c r="K739" s="548"/>
    </row>
    <row r="740" spans="1:11" s="275" customFormat="1">
      <c r="A740" s="548"/>
      <c r="B740" s="548"/>
      <c r="C740" s="548"/>
      <c r="K740" s="548"/>
    </row>
    <row r="741" spans="1:11" s="275" customFormat="1">
      <c r="A741" s="548"/>
      <c r="B741" s="548"/>
      <c r="C741" s="548"/>
      <c r="K741" s="548"/>
    </row>
    <row r="742" spans="1:11" s="275" customFormat="1">
      <c r="A742" s="548"/>
      <c r="B742" s="548"/>
      <c r="C742" s="548"/>
      <c r="K742" s="548"/>
    </row>
    <row r="743" spans="1:11" s="275" customFormat="1">
      <c r="A743" s="548"/>
      <c r="B743" s="548"/>
      <c r="C743" s="548"/>
      <c r="K743" s="548"/>
    </row>
    <row r="744" spans="1:11" s="275" customFormat="1">
      <c r="A744" s="548"/>
      <c r="B744" s="548"/>
      <c r="C744" s="548"/>
      <c r="K744" s="548"/>
    </row>
    <row r="745" spans="1:11" s="275" customFormat="1">
      <c r="A745" s="548"/>
      <c r="B745" s="548"/>
      <c r="C745" s="548"/>
      <c r="K745" s="548"/>
    </row>
    <row r="746" spans="1:11" s="275" customFormat="1">
      <c r="A746" s="548"/>
      <c r="B746" s="548"/>
      <c r="C746" s="548"/>
      <c r="K746" s="548"/>
    </row>
    <row r="747" spans="1:11" s="275" customFormat="1">
      <c r="A747" s="548"/>
      <c r="B747" s="548"/>
      <c r="C747" s="548"/>
      <c r="K747" s="548"/>
    </row>
    <row r="748" spans="1:11" s="275" customFormat="1">
      <c r="A748" s="548"/>
      <c r="B748" s="548"/>
      <c r="C748" s="548"/>
      <c r="K748" s="548"/>
    </row>
    <row r="749" spans="1:11" s="275" customFormat="1">
      <c r="A749" s="548"/>
      <c r="B749" s="548"/>
      <c r="C749" s="548"/>
      <c r="K749" s="548"/>
    </row>
    <row r="750" spans="1:11" s="275" customFormat="1">
      <c r="A750" s="548"/>
      <c r="B750" s="548"/>
      <c r="C750" s="548"/>
      <c r="K750" s="548"/>
    </row>
    <row r="751" spans="1:11" s="275" customFormat="1">
      <c r="A751" s="548"/>
      <c r="B751" s="548"/>
      <c r="C751" s="548"/>
      <c r="K751" s="548"/>
    </row>
    <row r="752" spans="1:11" s="275" customFormat="1">
      <c r="A752" s="548"/>
      <c r="B752" s="548"/>
      <c r="C752" s="548"/>
      <c r="K752" s="548"/>
    </row>
    <row r="753" spans="1:11" s="275" customFormat="1">
      <c r="A753" s="548"/>
      <c r="B753" s="548"/>
      <c r="C753" s="548"/>
      <c r="K753" s="548"/>
    </row>
    <row r="754" spans="1:11" s="275" customFormat="1">
      <c r="A754" s="548"/>
      <c r="B754" s="548"/>
      <c r="C754" s="548"/>
      <c r="K754" s="548"/>
    </row>
    <row r="755" spans="1:11" s="275" customFormat="1">
      <c r="A755" s="548"/>
      <c r="B755" s="548"/>
      <c r="C755" s="548"/>
      <c r="K755" s="548"/>
    </row>
    <row r="756" spans="1:11" s="275" customFormat="1">
      <c r="A756" s="548"/>
      <c r="B756" s="548"/>
      <c r="C756" s="548"/>
      <c r="K756" s="548"/>
    </row>
    <row r="757" spans="1:11" s="275" customFormat="1">
      <c r="A757" s="548"/>
      <c r="B757" s="548"/>
      <c r="C757" s="548"/>
      <c r="K757" s="548"/>
    </row>
    <row r="758" spans="1:11" s="275" customFormat="1">
      <c r="A758" s="548"/>
      <c r="B758" s="548"/>
      <c r="C758" s="548"/>
      <c r="K758" s="548"/>
    </row>
    <row r="759" spans="1:11" s="275" customFormat="1">
      <c r="A759" s="548"/>
      <c r="B759" s="548"/>
      <c r="C759" s="548"/>
      <c r="K759" s="548"/>
    </row>
    <row r="760" spans="1:11" s="275" customFormat="1">
      <c r="A760" s="548"/>
      <c r="B760" s="548"/>
      <c r="C760" s="548"/>
      <c r="K760" s="548"/>
    </row>
    <row r="761" spans="1:11" s="275" customFormat="1">
      <c r="A761" s="548"/>
      <c r="B761" s="548"/>
      <c r="C761" s="548"/>
      <c r="K761" s="548"/>
    </row>
    <row r="762" spans="1:11" s="275" customFormat="1">
      <c r="A762" s="548"/>
      <c r="B762" s="548"/>
      <c r="C762" s="548"/>
      <c r="K762" s="548"/>
    </row>
    <row r="763" spans="1:11" s="275" customFormat="1">
      <c r="A763" s="548"/>
      <c r="B763" s="548"/>
      <c r="C763" s="548"/>
      <c r="K763" s="548"/>
    </row>
    <row r="764" spans="1:11" s="275" customFormat="1">
      <c r="A764" s="548"/>
      <c r="B764" s="548"/>
      <c r="C764" s="548"/>
      <c r="K764" s="548"/>
    </row>
    <row r="765" spans="1:11" s="275" customFormat="1">
      <c r="A765" s="548"/>
      <c r="B765" s="548"/>
      <c r="C765" s="548"/>
      <c r="K765" s="548"/>
    </row>
    <row r="766" spans="1:11" s="275" customFormat="1">
      <c r="A766" s="548"/>
      <c r="B766" s="548"/>
      <c r="C766" s="548"/>
      <c r="K766" s="548"/>
    </row>
    <row r="767" spans="1:11" s="275" customFormat="1">
      <c r="A767" s="548"/>
      <c r="B767" s="548"/>
      <c r="C767" s="548"/>
      <c r="K767" s="548"/>
    </row>
    <row r="768" spans="1:11" s="275" customFormat="1">
      <c r="A768" s="548"/>
      <c r="B768" s="548"/>
      <c r="C768" s="548"/>
      <c r="K768" s="548"/>
    </row>
    <row r="769" spans="1:22" s="275" customFormat="1">
      <c r="A769" s="548"/>
      <c r="B769" s="548"/>
      <c r="C769" s="548"/>
      <c r="K769" s="548"/>
    </row>
    <row r="770" spans="1:22" s="275" customFormat="1">
      <c r="A770" s="548"/>
      <c r="B770" s="548"/>
      <c r="C770" s="548"/>
      <c r="K770" s="548"/>
      <c r="T770" s="277"/>
      <c r="U770" s="277"/>
      <c r="V770" s="277"/>
    </row>
  </sheetData>
  <sortState xmlns:xlrd2="http://schemas.microsoft.com/office/spreadsheetml/2017/richdata2" ref="A12:V22">
    <sortCondition ref="F12:F22"/>
  </sortState>
  <mergeCells count="4">
    <mergeCell ref="A5:C5"/>
    <mergeCell ref="I6:P6"/>
    <mergeCell ref="B8:C8"/>
    <mergeCell ref="R9:R10"/>
  </mergeCells>
  <hyperlinks>
    <hyperlink ref="T1" location="Index!A1" display="Return to Index" xr:uid="{00000000-0004-0000-0C00-000000000000}"/>
  </hyperlinks>
  <printOptions horizontalCentered="1"/>
  <pageMargins left="0.25" right="0.25" top="0.5" bottom="0.5" header="0.5" footer="0.5"/>
  <pageSetup fitToHeight="0" orientation="landscape" horizontalDpi="1200" verticalDpi="1200" r:id="rId1"/>
  <headerFooter alignWithMargins="0">
    <oddFooter>&amp;L&amp;8Planning &amp; Accountability&amp;R&amp;8&amp;D</oddFooter>
  </headerFooter>
  <rowBreaks count="1" manualBreakCount="1">
    <brk id="28" max="12"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1"/>
  </sheetPr>
  <dimension ref="A1:T784"/>
  <sheetViews>
    <sheetView showGridLines="0" zoomScale="85" zoomScaleNormal="85" workbookViewId="0">
      <pane xSplit="7" ySplit="9" topLeftCell="H14" activePane="bottomRight" state="frozen"/>
      <selection activeCell="B4" sqref="A1:XFD1048576"/>
      <selection pane="topRight" activeCell="B4" sqref="A1:XFD1048576"/>
      <selection pane="bottomLeft" activeCell="B4" sqref="A1:XFD1048576"/>
      <selection pane="bottomRight" activeCell="H24" sqref="H24:M24"/>
    </sheetView>
  </sheetViews>
  <sheetFormatPr defaultColWidth="9.109375" defaultRowHeight="13.2" outlineLevelRow="1"/>
  <cols>
    <col min="1" max="1" width="7.33203125" style="282" customWidth="1"/>
    <col min="2" max="2" width="5" style="282" customWidth="1"/>
    <col min="3" max="3" width="9" style="282" customWidth="1"/>
    <col min="4" max="4" width="25.109375" style="277" customWidth="1"/>
    <col min="5" max="5" width="10.33203125" style="277" customWidth="1"/>
    <col min="6" max="6" width="13.33203125" style="277" customWidth="1"/>
    <col min="7" max="7" width="10.44140625" style="277" customWidth="1"/>
    <col min="8" max="8" width="17.88671875" style="599" customWidth="1"/>
    <col min="9" max="9" width="14" style="277" customWidth="1"/>
    <col min="10" max="10" width="17.33203125" style="599" customWidth="1"/>
    <col min="11" max="11" width="16.44140625" style="599" customWidth="1"/>
    <col min="12" max="12" width="18.5546875" style="599" customWidth="1"/>
    <col min="13" max="13" width="15.5546875" style="599" customWidth="1"/>
    <col min="14" max="14" width="21.44140625" style="599" customWidth="1"/>
    <col min="15" max="15" width="18.33203125" style="599" customWidth="1"/>
    <col min="16" max="16" width="7.6640625" style="277" customWidth="1"/>
    <col min="17" max="17" width="4" style="277" customWidth="1"/>
    <col min="18" max="18" width="19.44140625" style="277" customWidth="1"/>
    <col min="19" max="19" width="16.5546875" style="277" customWidth="1"/>
    <col min="20" max="20" width="26.88671875" style="277" customWidth="1"/>
    <col min="21" max="16384" width="9.109375" style="277"/>
  </cols>
  <sheetData>
    <row r="1" spans="1:20" ht="13.8" thickBot="1">
      <c r="H1" s="275"/>
      <c r="I1" s="293" t="s">
        <v>315</v>
      </c>
      <c r="J1" s="275"/>
      <c r="K1" s="275"/>
      <c r="L1" s="545" t="s">
        <v>51</v>
      </c>
      <c r="M1" s="275"/>
      <c r="N1" s="275"/>
      <c r="O1" s="293"/>
    </row>
    <row r="2" spans="1:20">
      <c r="H2" s="275"/>
      <c r="I2" s="293" t="s">
        <v>420</v>
      </c>
      <c r="J2" s="275"/>
      <c r="K2" s="275"/>
      <c r="L2" s="275"/>
      <c r="M2" s="275"/>
      <c r="N2" s="275"/>
      <c r="O2" s="293"/>
    </row>
    <row r="3" spans="1:20">
      <c r="A3" s="546"/>
      <c r="H3" s="275"/>
      <c r="I3" s="547">
        <v>45008</v>
      </c>
      <c r="J3" s="275"/>
      <c r="K3" s="275"/>
      <c r="L3" s="275"/>
      <c r="M3" s="275"/>
      <c r="N3" s="275"/>
      <c r="O3" s="293"/>
    </row>
    <row r="4" spans="1:20" ht="13.8" thickBot="1">
      <c r="E4" s="282">
        <v>2022</v>
      </c>
      <c r="H4" s="275"/>
      <c r="J4" s="275"/>
      <c r="K4" s="275"/>
      <c r="L4" s="275"/>
      <c r="M4" s="275"/>
      <c r="N4" s="275"/>
      <c r="O4" s="275"/>
    </row>
    <row r="5" spans="1:20" ht="13.8" thickBot="1">
      <c r="A5" s="277" t="s">
        <v>421</v>
      </c>
      <c r="G5" s="282"/>
      <c r="H5" s="1254" t="s">
        <v>422</v>
      </c>
      <c r="I5" s="1255"/>
      <c r="J5" s="1255"/>
      <c r="K5" s="1255"/>
      <c r="L5" s="1255"/>
      <c r="M5" s="1256"/>
      <c r="N5" s="1254"/>
      <c r="O5" s="1256"/>
      <c r="P5" s="275"/>
    </row>
    <row r="6" spans="1:20">
      <c r="D6" s="277" t="s">
        <v>423</v>
      </c>
      <c r="E6" s="282"/>
      <c r="F6" s="282"/>
      <c r="G6" s="282"/>
      <c r="H6" s="548">
        <v>1</v>
      </c>
      <c r="I6" s="548">
        <v>2</v>
      </c>
      <c r="J6" s="548">
        <v>3</v>
      </c>
      <c r="K6" s="548">
        <v>4</v>
      </c>
      <c r="L6" s="548">
        <v>5</v>
      </c>
      <c r="M6" s="548">
        <v>6</v>
      </c>
      <c r="N6" s="548"/>
      <c r="O6" s="275"/>
    </row>
    <row r="7" spans="1:20">
      <c r="D7" s="277" t="s">
        <v>424</v>
      </c>
      <c r="G7" s="282"/>
      <c r="H7" s="548">
        <v>1</v>
      </c>
      <c r="I7" s="548">
        <v>1</v>
      </c>
      <c r="J7" s="548">
        <v>1</v>
      </c>
      <c r="K7" s="548">
        <v>1</v>
      </c>
      <c r="L7" s="548">
        <v>1</v>
      </c>
      <c r="M7" s="548">
        <v>1</v>
      </c>
      <c r="N7" s="275"/>
      <c r="O7" s="275"/>
    </row>
    <row r="8" spans="1:20" s="555" customFormat="1" ht="48.75" customHeight="1" thickBot="1">
      <c r="A8" s="549" t="s">
        <v>227</v>
      </c>
      <c r="B8" s="1250" t="s">
        <v>321</v>
      </c>
      <c r="C8" s="1250"/>
      <c r="D8" s="550" t="s">
        <v>322</v>
      </c>
      <c r="E8" s="550" t="s">
        <v>323</v>
      </c>
      <c r="F8" s="551" t="s">
        <v>425</v>
      </c>
      <c r="G8" s="550" t="s">
        <v>99</v>
      </c>
      <c r="H8" s="552" t="s">
        <v>101</v>
      </c>
      <c r="I8" s="550" t="s">
        <v>326</v>
      </c>
      <c r="J8" s="552" t="s">
        <v>58</v>
      </c>
      <c r="K8" s="552" t="s">
        <v>274</v>
      </c>
      <c r="L8" s="552" t="s">
        <v>324</v>
      </c>
      <c r="M8" s="552" t="s">
        <v>347</v>
      </c>
      <c r="N8" s="552" t="s">
        <v>105</v>
      </c>
      <c r="O8" s="552" t="s">
        <v>346</v>
      </c>
      <c r="P8" s="553"/>
      <c r="Q8" s="554"/>
      <c r="R8" s="277"/>
      <c r="S8" s="277"/>
      <c r="T8" s="277"/>
    </row>
    <row r="9" spans="1:20" ht="18" customHeight="1">
      <c r="A9" s="277" t="s">
        <v>426</v>
      </c>
      <c r="D9" s="312"/>
      <c r="E9" s="556" t="s">
        <v>331</v>
      </c>
      <c r="F9" s="557" t="s">
        <v>425</v>
      </c>
      <c r="G9" s="282" t="s">
        <v>56</v>
      </c>
      <c r="H9" s="558" t="s">
        <v>366</v>
      </c>
      <c r="I9" s="556" t="s">
        <v>372</v>
      </c>
      <c r="J9" s="559" t="s">
        <v>365</v>
      </c>
      <c r="K9" s="556" t="s">
        <v>367</v>
      </c>
      <c r="L9" s="556" t="s">
        <v>370</v>
      </c>
      <c r="M9" s="556" t="s">
        <v>364</v>
      </c>
      <c r="N9" s="558" t="s">
        <v>362</v>
      </c>
      <c r="O9" s="560" t="s">
        <v>363</v>
      </c>
      <c r="P9" s="561"/>
      <c r="R9" s="278"/>
      <c r="S9" s="278"/>
      <c r="T9" s="278"/>
    </row>
    <row r="10" spans="1:20" ht="14.25" customHeight="1">
      <c r="A10" s="282">
        <v>390</v>
      </c>
      <c r="C10" s="562"/>
      <c r="D10" s="384" t="s">
        <v>112</v>
      </c>
      <c r="E10" s="563">
        <f t="shared" ref="E10:E24" si="0">$E$4</f>
        <v>2022</v>
      </c>
      <c r="F10" s="563" t="s">
        <v>427</v>
      </c>
      <c r="G10" s="562">
        <v>30</v>
      </c>
      <c r="H10" s="564">
        <f>'SWM Sum'!$G$11</f>
        <v>260323607</v>
      </c>
      <c r="I10" s="565">
        <f>'SWM Sum'!$G$14</f>
        <v>0</v>
      </c>
      <c r="J10" s="565">
        <f>'SWM Sum'!$F$20</f>
        <v>27045240</v>
      </c>
      <c r="K10" s="565">
        <f>'SWM Sum'!$F$23</f>
        <v>322461621</v>
      </c>
      <c r="L10" s="565">
        <f>'SWM Sum'!$F$38</f>
        <v>1181026583</v>
      </c>
      <c r="M10" s="565">
        <f>'SWM Sum'!$G$41</f>
        <v>1790857051</v>
      </c>
      <c r="N10" s="566">
        <f>'SWM Sum'!$C$6</f>
        <v>2301.35</v>
      </c>
      <c r="O10" s="567">
        <f>'SWM Sum'!$I$8</f>
        <v>2876.36</v>
      </c>
      <c r="P10" s="568"/>
      <c r="R10" s="278"/>
      <c r="S10" s="278"/>
      <c r="T10" s="278"/>
    </row>
    <row r="11" spans="1:20" ht="14.25" customHeight="1">
      <c r="A11" s="282">
        <v>420</v>
      </c>
      <c r="C11" s="562"/>
      <c r="D11" s="384" t="s">
        <v>114</v>
      </c>
      <c r="E11" s="563">
        <f t="shared" si="0"/>
        <v>2022</v>
      </c>
      <c r="F11" s="563" t="s">
        <v>427</v>
      </c>
      <c r="G11" s="562">
        <v>40</v>
      </c>
      <c r="H11" s="564">
        <f>'HSSA Sum'!$G$11</f>
        <v>202667107</v>
      </c>
      <c r="I11" s="565">
        <f>'HSSA Sum'!$G$14</f>
        <v>0</v>
      </c>
      <c r="J11" s="565">
        <f>'HSSA Sum'!$F$20</f>
        <v>52538344</v>
      </c>
      <c r="K11" s="565">
        <f>'HSSA Sum'!$F$23</f>
        <v>207996481</v>
      </c>
      <c r="L11" s="565">
        <f>'HSSA Sum'!$F$38</f>
        <v>419243055</v>
      </c>
      <c r="M11" s="565">
        <f>'HSSA Sum'!$G$41</f>
        <v>882444987</v>
      </c>
      <c r="N11" s="566">
        <f>'HSSA Sum'!$C$6</f>
        <v>3971.78</v>
      </c>
      <c r="O11" s="567">
        <f>'HSSA Sum'!$I$8</f>
        <v>1604.18</v>
      </c>
      <c r="P11" s="569"/>
      <c r="R11" s="300"/>
      <c r="S11" s="300"/>
      <c r="T11" s="300"/>
    </row>
    <row r="12" spans="1:20">
      <c r="A12" s="282">
        <v>450</v>
      </c>
      <c r="C12" s="562"/>
      <c r="D12" s="384" t="s">
        <v>116</v>
      </c>
      <c r="E12" s="563">
        <f t="shared" si="0"/>
        <v>2022</v>
      </c>
      <c r="F12" s="563" t="s">
        <v>427</v>
      </c>
      <c r="G12" s="562">
        <v>89</v>
      </c>
      <c r="H12" s="564">
        <f>'TAMHSC Sum'!$G$11</f>
        <v>183205223</v>
      </c>
      <c r="I12" s="565">
        <f>'TAMHSC Sum'!$G$14</f>
        <v>46943006</v>
      </c>
      <c r="J12" s="565">
        <f>'TAMHSC Sum'!$F$20</f>
        <v>52579324</v>
      </c>
      <c r="K12" s="565">
        <f>'TAMHSC Sum'!$F$23</f>
        <v>85141456</v>
      </c>
      <c r="L12" s="565">
        <f>'TAMHSC Sum'!$F$38</f>
        <v>66021527</v>
      </c>
      <c r="M12" s="565">
        <f>'TAMHSC Sum'!$G$41</f>
        <v>386947530</v>
      </c>
      <c r="N12" s="566">
        <f>'TAMHSC Sum'!$C$6</f>
        <v>3607.6499999999996</v>
      </c>
      <c r="O12" s="567">
        <f>'TAMHSC Sum'!$I$8</f>
        <v>602.4</v>
      </c>
      <c r="P12" s="569"/>
      <c r="R12" s="300"/>
      <c r="S12" s="300"/>
      <c r="T12" s="300"/>
    </row>
    <row r="13" spans="1:20">
      <c r="A13" s="282">
        <v>460</v>
      </c>
      <c r="C13" s="562"/>
      <c r="D13" s="384" t="s">
        <v>415</v>
      </c>
      <c r="E13" s="563">
        <f t="shared" si="0"/>
        <v>2022</v>
      </c>
      <c r="F13" s="563" t="s">
        <v>427</v>
      </c>
      <c r="G13" s="562">
        <v>130</v>
      </c>
      <c r="H13" s="564">
        <f>'UNTHS1 Sum'!$G$11</f>
        <v>114368847</v>
      </c>
      <c r="I13" s="565">
        <f>'UNTHS1 Sum'!$G$14</f>
        <v>15125502</v>
      </c>
      <c r="J13" s="565">
        <f>'UNTHS1 Sum'!$F$20</f>
        <v>34477812</v>
      </c>
      <c r="K13" s="565">
        <f>'UNTHS1 Sum'!$F$23</f>
        <v>55261728</v>
      </c>
      <c r="L13" s="565">
        <f>'UNTHS1 Sum'!$F$38</f>
        <v>80229672</v>
      </c>
      <c r="M13" s="565">
        <f>'UNTHS1 Sum'!$G$41</f>
        <v>284338059</v>
      </c>
      <c r="N13" s="566">
        <f>'UNTHS1 Sum'!$C$6</f>
        <v>2988.4</v>
      </c>
      <c r="O13" s="567">
        <f>'UNTHS1 Sum'!$I$8</f>
        <v>309.99</v>
      </c>
      <c r="P13" s="570"/>
      <c r="R13" s="300"/>
      <c r="S13" s="300"/>
      <c r="T13" s="300"/>
    </row>
    <row r="14" spans="1:20">
      <c r="A14" s="282">
        <v>470</v>
      </c>
      <c r="C14" s="562"/>
      <c r="D14" s="384" t="s">
        <v>123</v>
      </c>
      <c r="E14" s="563">
        <f t="shared" si="0"/>
        <v>2022</v>
      </c>
      <c r="F14" s="563" t="s">
        <v>427</v>
      </c>
      <c r="G14" s="562">
        <v>412</v>
      </c>
      <c r="H14" s="564">
        <f>'TTUHSC Sum'!$G$11</f>
        <v>195515892</v>
      </c>
      <c r="I14" s="565">
        <f>'TTUHSC Sum'!$G$14</f>
        <v>21652392</v>
      </c>
      <c r="J14" s="565">
        <f>'TTUHSC Sum'!$F$20</f>
        <v>71519865</v>
      </c>
      <c r="K14" s="565">
        <f>'TTUHSC Sum'!$F$23</f>
        <v>34704177</v>
      </c>
      <c r="L14" s="565">
        <f>'TTUHSC Sum'!$F$38</f>
        <v>255870385</v>
      </c>
      <c r="M14" s="565">
        <f>'TTUHSC Sum'!$G$41</f>
        <v>557610319</v>
      </c>
      <c r="N14" s="566">
        <f>'TTUHSC Sum'!$C$6</f>
        <v>6016.07</v>
      </c>
      <c r="O14" s="567">
        <f>'TTUHSC Sum'!$I$8</f>
        <v>792.83</v>
      </c>
      <c r="P14" s="569"/>
      <c r="R14" s="300"/>
      <c r="S14" s="300"/>
      <c r="T14" s="300"/>
    </row>
    <row r="15" spans="1:20">
      <c r="A15" s="282">
        <v>480</v>
      </c>
      <c r="C15" s="562"/>
      <c r="D15" s="384" t="s">
        <v>243</v>
      </c>
      <c r="E15" s="563">
        <f t="shared" si="0"/>
        <v>2022</v>
      </c>
      <c r="F15" s="563" t="s">
        <v>427</v>
      </c>
      <c r="G15" s="562">
        <v>862</v>
      </c>
      <c r="H15" s="564">
        <f>'TTUHSCEP Sum'!$G$11</f>
        <v>86757644</v>
      </c>
      <c r="I15" s="565">
        <f>'TTUHSCEP Sum'!$G$14</f>
        <v>5557572</v>
      </c>
      <c r="J15" s="565">
        <f>'TTUHSCEP Sum'!$F$20</f>
        <v>13256992</v>
      </c>
      <c r="K15" s="565">
        <f>'TTUHSCEP Sum'!$F$23</f>
        <v>4397437</v>
      </c>
      <c r="L15" s="565">
        <f>'TTUHSCEP Sum'!$F$38</f>
        <v>132616140</v>
      </c>
      <c r="M15" s="565">
        <f>'TTUHSCEP Sum'!$G$41</f>
        <v>237028213</v>
      </c>
      <c r="N15" s="566">
        <f>'TTUHSCEP Sum'!$C$6</f>
        <v>851.1</v>
      </c>
      <c r="O15" s="567">
        <f>'TTUHSCEP Sum'!$I$8</f>
        <v>333.28</v>
      </c>
      <c r="P15" s="570"/>
      <c r="R15" s="300"/>
      <c r="S15" s="300"/>
      <c r="T15" s="300"/>
    </row>
    <row r="16" spans="1:20">
      <c r="A16" s="282">
        <v>410</v>
      </c>
      <c r="C16" s="562"/>
      <c r="D16" s="384" t="s">
        <v>125</v>
      </c>
      <c r="E16" s="563">
        <f t="shared" si="0"/>
        <v>2022</v>
      </c>
      <c r="F16" s="563" t="s">
        <v>427</v>
      </c>
      <c r="G16" s="562">
        <v>11618</v>
      </c>
      <c r="H16" s="564">
        <f>'HSH Sum'!$G$11</f>
        <v>260301322</v>
      </c>
      <c r="I16" s="565">
        <f>'HSH Sum'!$G$14</f>
        <v>0</v>
      </c>
      <c r="J16" s="565">
        <f>'HSH Sum'!$F$20</f>
        <v>69364466</v>
      </c>
      <c r="K16" s="565">
        <f>'HSH Sum'!$F$23</f>
        <v>249224368</v>
      </c>
      <c r="L16" s="565">
        <f>'HSH Sum'!$F$38</f>
        <v>1065277556</v>
      </c>
      <c r="M16" s="565">
        <f>'HSH Sum'!$G$41</f>
        <v>1644167712</v>
      </c>
      <c r="N16" s="566">
        <f>'HSH Sum'!$C$6</f>
        <v>5267.72</v>
      </c>
      <c r="O16" s="567">
        <f>'HSH Sum'!$I$8</f>
        <v>1989.43</v>
      </c>
      <c r="P16" s="570"/>
      <c r="R16" s="300"/>
      <c r="S16" s="300"/>
      <c r="T16" s="300"/>
    </row>
    <row r="17" spans="1:20">
      <c r="A17" s="282">
        <v>430</v>
      </c>
      <c r="C17" s="562"/>
      <c r="D17" s="384" t="s">
        <v>127</v>
      </c>
      <c r="E17" s="563">
        <f t="shared" si="0"/>
        <v>2022</v>
      </c>
      <c r="F17" s="563" t="s">
        <v>427</v>
      </c>
      <c r="G17" s="562">
        <v>25554</v>
      </c>
      <c r="H17" s="564">
        <f>'MDA Sum'!$G$11</f>
        <v>261645065</v>
      </c>
      <c r="I17" s="565">
        <f>'MDA Sum'!$G$14</f>
        <v>0</v>
      </c>
      <c r="J17" s="565">
        <f>'MDA Sum'!$F$20</f>
        <v>1833860</v>
      </c>
      <c r="K17" s="565">
        <f>'MDA Sum'!$F$23</f>
        <v>306905101</v>
      </c>
      <c r="L17" s="565">
        <f>'MDA Sum'!$F$38</f>
        <v>972093569</v>
      </c>
      <c r="M17" s="565">
        <f>'MDA Sum'!$G$41</f>
        <v>1542477595</v>
      </c>
      <c r="N17" s="566">
        <f>'MDA Sum'!$C$6</f>
        <v>382.05</v>
      </c>
      <c r="O17" s="567">
        <f>'MDA Sum'!$I$8</f>
        <v>1879.17</v>
      </c>
      <c r="P17" s="570"/>
      <c r="R17" s="300"/>
      <c r="S17" s="300"/>
      <c r="T17" s="300"/>
    </row>
    <row r="18" spans="1:20">
      <c r="A18" s="282">
        <v>440</v>
      </c>
      <c r="C18" s="562"/>
      <c r="D18" s="384" t="s">
        <v>120</v>
      </c>
      <c r="E18" s="563">
        <f t="shared" si="0"/>
        <v>2022</v>
      </c>
      <c r="F18" s="563" t="s">
        <v>427</v>
      </c>
      <c r="G18" s="562">
        <v>42439</v>
      </c>
      <c r="H18" s="564">
        <f>'THC Sum'!$G$11</f>
        <v>61784935</v>
      </c>
      <c r="I18" s="565">
        <f>'THC Sum'!$G$14</f>
        <v>0</v>
      </c>
      <c r="J18" s="565">
        <f>'THC Sum'!$F$20</f>
        <v>645312</v>
      </c>
      <c r="K18" s="565">
        <f>'THC Sum'!$F$23</f>
        <v>21490496</v>
      </c>
      <c r="L18" s="565">
        <f>'THC Sum'!$F$38</f>
        <v>105363939</v>
      </c>
      <c r="M18" s="565">
        <f>'THC Sum'!$G$41</f>
        <v>189284682</v>
      </c>
      <c r="N18" s="566">
        <f>'THC Sum'!$C$6</f>
        <v>80.5</v>
      </c>
      <c r="O18" s="567">
        <f>'THC Sum'!$I$8</f>
        <v>235.1</v>
      </c>
      <c r="P18" s="570"/>
      <c r="R18" s="300"/>
      <c r="S18" s="300"/>
      <c r="T18" s="300"/>
    </row>
    <row r="19" spans="1:20">
      <c r="A19" s="282">
        <v>400</v>
      </c>
      <c r="C19" s="562"/>
      <c r="D19" s="384" t="s">
        <v>128</v>
      </c>
      <c r="E19" s="563">
        <f t="shared" si="0"/>
        <v>2022</v>
      </c>
      <c r="F19" s="563" t="s">
        <v>427</v>
      </c>
      <c r="G19" s="562">
        <v>104952</v>
      </c>
      <c r="H19" s="564">
        <f>'MBG Sum'!$G$11</f>
        <v>392636564</v>
      </c>
      <c r="I19" s="565">
        <f>'MBG Sum'!$G$14</f>
        <v>0</v>
      </c>
      <c r="J19" s="565">
        <f>'MBG Sum'!$F$20</f>
        <v>50392268</v>
      </c>
      <c r="K19" s="565">
        <f>'MBG Sum'!$F$23</f>
        <v>179173759</v>
      </c>
      <c r="L19" s="565">
        <f>'MBG Sum'!$F$38</f>
        <v>325171593</v>
      </c>
      <c r="M19" s="565">
        <f>'MBG Sum'!$G$41</f>
        <v>947374184</v>
      </c>
      <c r="N19" s="566">
        <f>'MBG Sum'!$C$6</f>
        <v>3859.84</v>
      </c>
      <c r="O19" s="567">
        <f>'MBG Sum'!$I$8</f>
        <v>1419.99</v>
      </c>
      <c r="P19" s="571"/>
      <c r="R19" s="300"/>
      <c r="S19" s="300"/>
      <c r="T19" s="300"/>
    </row>
    <row r="20" spans="1:20">
      <c r="A20" s="282">
        <v>510</v>
      </c>
      <c r="C20" s="562"/>
      <c r="D20" s="384" t="s">
        <v>245</v>
      </c>
      <c r="E20" s="563">
        <f t="shared" si="0"/>
        <v>2022</v>
      </c>
      <c r="F20" s="563" t="s">
        <v>427</v>
      </c>
      <c r="G20" s="562">
        <v>203599</v>
      </c>
      <c r="H20" s="564">
        <f>'RGVM Sum'!$G$11</f>
        <v>49474555</v>
      </c>
      <c r="I20" s="565">
        <f>'RGVM Sum'!$G$14</f>
        <v>0</v>
      </c>
      <c r="J20" s="565">
        <f>'RGVM Sum'!$F$20</f>
        <v>4648799</v>
      </c>
      <c r="K20" s="565">
        <f>'RGVM Sum'!$F$23</f>
        <v>7981482</v>
      </c>
      <c r="L20" s="565">
        <f>'RGVM Sum'!$F$38</f>
        <v>60765156</v>
      </c>
      <c r="M20" s="565">
        <f>'RGVM Sum'!$G$41</f>
        <v>122869992</v>
      </c>
      <c r="N20" s="566">
        <f>'RGVM Sum'!$C$6</f>
        <v>222</v>
      </c>
      <c r="O20" s="567">
        <f>'RGVM Sum'!$I$8</f>
        <v>156.05000000000001</v>
      </c>
      <c r="P20" s="570"/>
      <c r="R20" s="300"/>
      <c r="S20" s="300"/>
      <c r="T20" s="300"/>
    </row>
    <row r="21" spans="1:20">
      <c r="A21" s="282">
        <v>500</v>
      </c>
      <c r="C21" s="562"/>
      <c r="D21" s="384" t="s">
        <v>244</v>
      </c>
      <c r="E21" s="563">
        <f t="shared" si="0"/>
        <v>2022</v>
      </c>
      <c r="F21" s="563" t="s">
        <v>427</v>
      </c>
      <c r="G21" s="562">
        <v>203658</v>
      </c>
      <c r="H21" s="564">
        <f>'AUSM Sum'!$G$11</f>
        <v>21205978</v>
      </c>
      <c r="I21" s="565">
        <f>'AUSM Sum'!$G$14</f>
        <v>25010190</v>
      </c>
      <c r="J21" s="565">
        <f>'AUSM Sum'!$F$20</f>
        <v>3489213</v>
      </c>
      <c r="K21" s="565">
        <f>'AUSM Sum'!$F$23</f>
        <v>12717100</v>
      </c>
      <c r="L21" s="565">
        <f>'AUSM Sum'!$F$38</f>
        <v>163430402</v>
      </c>
      <c r="M21" s="565">
        <f>'AUSM Sum'!$G$41</f>
        <v>200842693</v>
      </c>
      <c r="N21" s="566">
        <f>'AUSM Sum'!$C$6</f>
        <v>197</v>
      </c>
      <c r="O21" s="567">
        <f>'AUSM Sum'!$I$8</f>
        <v>290.3</v>
      </c>
      <c r="P21" s="570"/>
      <c r="R21" s="300"/>
      <c r="S21" s="300"/>
      <c r="T21" s="300"/>
    </row>
    <row r="22" spans="1:20">
      <c r="C22" s="277"/>
      <c r="D22" s="384" t="s">
        <v>1674</v>
      </c>
      <c r="E22" s="563">
        <f t="shared" si="0"/>
        <v>2022</v>
      </c>
      <c r="F22" s="563" t="s">
        <v>427</v>
      </c>
      <c r="G22" s="562">
        <v>103606</v>
      </c>
      <c r="H22" s="564">
        <f>'SHNF Sum'!$G$11</f>
        <v>1141959</v>
      </c>
      <c r="I22" s="565">
        <f>'SHNF Sum'!$G$14</f>
        <v>0</v>
      </c>
      <c r="J22" s="565">
        <f>'SHNF Sum'!$F$20</f>
        <v>10092500</v>
      </c>
      <c r="K22" s="565">
        <f>'SHNF Sum'!$F$23</f>
        <v>277251</v>
      </c>
      <c r="L22" s="565">
        <f>'SHNF Sum'!$F$38</f>
        <v>1040174</v>
      </c>
      <c r="M22" s="565">
        <f>'SHNF Sum'!$G$41</f>
        <v>12551884</v>
      </c>
      <c r="N22" s="566">
        <f>'SHNF Sum'!$C$6</f>
        <v>75</v>
      </c>
      <c r="O22" s="567">
        <f>'SHNF Sum'!$I$8</f>
        <v>31.95</v>
      </c>
      <c r="P22" s="570"/>
      <c r="R22" s="300"/>
      <c r="S22" s="300"/>
      <c r="T22" s="300"/>
    </row>
    <row r="23" spans="1:20">
      <c r="A23" s="282">
        <v>520</v>
      </c>
      <c r="C23" s="562"/>
      <c r="D23" s="384" t="s">
        <v>31</v>
      </c>
      <c r="E23" s="563">
        <v>2019</v>
      </c>
      <c r="F23" s="563" t="s">
        <v>427</v>
      </c>
      <c r="G23" s="562">
        <v>203652</v>
      </c>
      <c r="H23" s="564">
        <f>'UHM Sum'!$G$11</f>
        <v>14940263</v>
      </c>
      <c r="I23" s="565">
        <f>'UHM Sum'!$G$14</f>
        <v>0</v>
      </c>
      <c r="J23" s="565">
        <f>'UHM Sum'!$F$20</f>
        <v>1041735</v>
      </c>
      <c r="K23" s="565">
        <f>'UHM Sum'!$F$23</f>
        <v>531356</v>
      </c>
      <c r="L23" s="565">
        <f>'UHM Sum'!$F$38</f>
        <v>5609376</v>
      </c>
      <c r="M23" s="565">
        <f>'UHM Sum'!$G$41</f>
        <v>22122730</v>
      </c>
      <c r="N23" s="566">
        <f>'UHM Sum'!$C$6</f>
        <v>60</v>
      </c>
      <c r="O23" s="567">
        <f>'UHM Sum'!$I$8</f>
        <v>93.2</v>
      </c>
      <c r="P23" s="570"/>
      <c r="R23" s="300"/>
      <c r="S23" s="300"/>
      <c r="T23" s="300"/>
    </row>
    <row r="24" spans="1:20" ht="13.8" thickBot="1">
      <c r="A24" s="572"/>
      <c r="B24" s="572"/>
      <c r="C24" s="572">
        <f>COUNTA(D10:D23)</f>
        <v>14</v>
      </c>
      <c r="D24" s="573" t="s">
        <v>129</v>
      </c>
      <c r="E24" s="572">
        <f t="shared" si="0"/>
        <v>2022</v>
      </c>
      <c r="F24" s="572" t="s">
        <v>427</v>
      </c>
      <c r="G24" s="574">
        <v>999999</v>
      </c>
      <c r="H24" s="575">
        <f>SUM(H10:H23)</f>
        <v>2105968961</v>
      </c>
      <c r="I24" s="575">
        <f t="shared" ref="I24:M24" si="1">SUM(I10:I23)</f>
        <v>114288662</v>
      </c>
      <c r="J24" s="575">
        <f t="shared" si="1"/>
        <v>392925730</v>
      </c>
      <c r="K24" s="575">
        <f t="shared" si="1"/>
        <v>1488263813</v>
      </c>
      <c r="L24" s="575">
        <f t="shared" si="1"/>
        <v>4833759127</v>
      </c>
      <c r="M24" s="575">
        <f t="shared" si="1"/>
        <v>8820917631</v>
      </c>
      <c r="N24" s="577">
        <f>'Smmy Sum'!$C$19</f>
        <v>29805.46</v>
      </c>
      <c r="O24" s="578">
        <f>'Smmy Sum'!$I$21</f>
        <v>12614.230000000001</v>
      </c>
      <c r="P24" s="579"/>
      <c r="R24" s="275"/>
      <c r="S24" s="275"/>
      <c r="T24" s="275"/>
    </row>
    <row r="25" spans="1:20" s="275" customFormat="1" ht="13.8" thickTop="1">
      <c r="A25" s="548"/>
      <c r="B25" s="548"/>
      <c r="C25" s="548"/>
      <c r="I25" s="580"/>
      <c r="P25" s="580"/>
    </row>
    <row r="26" spans="1:20" s="275" customFormat="1">
      <c r="A26" s="548"/>
      <c r="B26" s="275" t="s">
        <v>286</v>
      </c>
      <c r="C26" s="548"/>
      <c r="I26" s="580"/>
      <c r="P26" s="580"/>
    </row>
    <row r="27" spans="1:20" s="275" customFormat="1">
      <c r="A27" s="548"/>
      <c r="B27" s="275" t="s">
        <v>287</v>
      </c>
      <c r="C27" s="548"/>
      <c r="H27" s="548" t="s">
        <v>375</v>
      </c>
      <c r="I27" s="580"/>
      <c r="J27" s="548" t="s">
        <v>375</v>
      </c>
      <c r="K27" s="548"/>
      <c r="L27" s="548" t="s">
        <v>375</v>
      </c>
      <c r="M27" s="548" t="s">
        <v>375</v>
      </c>
      <c r="N27" s="548"/>
      <c r="O27" s="548"/>
      <c r="P27" s="580"/>
    </row>
    <row r="28" spans="1:20" s="275" customFormat="1" ht="39.6">
      <c r="A28" s="548"/>
      <c r="B28" s="548"/>
      <c r="C28" s="275" t="s">
        <v>314</v>
      </c>
      <c r="H28" s="581" t="s">
        <v>101</v>
      </c>
      <c r="J28" s="582" t="s">
        <v>165</v>
      </c>
      <c r="K28" s="582" t="s">
        <v>168</v>
      </c>
      <c r="L28" s="582" t="s">
        <v>172</v>
      </c>
      <c r="M28" s="583" t="s">
        <v>271</v>
      </c>
      <c r="N28" s="548"/>
      <c r="O28" s="548"/>
    </row>
    <row r="29" spans="1:20" s="275" customFormat="1" ht="39.6" outlineLevel="1">
      <c r="A29" s="548"/>
      <c r="B29" s="548"/>
      <c r="C29" s="548"/>
      <c r="D29" s="275" t="s">
        <v>131</v>
      </c>
      <c r="H29" s="581" t="s">
        <v>134</v>
      </c>
      <c r="J29" s="582" t="s">
        <v>166</v>
      </c>
      <c r="K29" s="584"/>
      <c r="L29" s="582" t="s">
        <v>173</v>
      </c>
      <c r="M29" s="585" t="s">
        <v>378</v>
      </c>
      <c r="N29" s="548"/>
      <c r="O29" s="548"/>
    </row>
    <row r="30" spans="1:20" s="275" customFormat="1" ht="26.4" outlineLevel="1">
      <c r="A30" s="548"/>
      <c r="B30" s="548"/>
      <c r="C30" s="548"/>
      <c r="H30" s="581" t="s">
        <v>136</v>
      </c>
      <c r="J30" s="585" t="s">
        <v>380</v>
      </c>
      <c r="K30" s="586"/>
      <c r="L30" s="582" t="s">
        <v>174</v>
      </c>
      <c r="M30" s="585" t="s">
        <v>379</v>
      </c>
      <c r="N30" s="586"/>
      <c r="O30" s="586"/>
    </row>
    <row r="31" spans="1:20" s="275" customFormat="1" ht="39.6" outlineLevel="1">
      <c r="A31" s="548"/>
      <c r="B31" s="548"/>
      <c r="C31" s="548"/>
      <c r="H31" s="586"/>
      <c r="J31" s="277"/>
      <c r="K31" s="277"/>
      <c r="L31" s="582" t="s">
        <v>175</v>
      </c>
      <c r="M31" s="585" t="s">
        <v>381</v>
      </c>
      <c r="N31" s="277"/>
      <c r="O31" s="277"/>
    </row>
    <row r="32" spans="1:20" s="275" customFormat="1" ht="26.4" outlineLevel="1">
      <c r="A32" s="548"/>
      <c r="B32" s="548"/>
      <c r="C32" s="548"/>
      <c r="L32" s="587" t="s">
        <v>382</v>
      </c>
    </row>
    <row r="33" spans="1:18" s="275" customFormat="1" ht="26.4" outlineLevel="1">
      <c r="A33" s="548"/>
      <c r="B33" s="548"/>
      <c r="C33" s="548"/>
      <c r="L33" s="582" t="s">
        <v>177</v>
      </c>
    </row>
    <row r="34" spans="1:18" s="275" customFormat="1" outlineLevel="1">
      <c r="A34" s="548"/>
      <c r="B34" s="548"/>
      <c r="C34" s="548"/>
      <c r="H34" s="293"/>
      <c r="J34" s="293"/>
      <c r="K34" s="293"/>
      <c r="L34" s="293"/>
      <c r="M34" s="293"/>
      <c r="N34" s="293"/>
      <c r="O34" s="293"/>
    </row>
    <row r="35" spans="1:18" s="275" customFormat="1" outlineLevel="1">
      <c r="A35" s="548"/>
      <c r="B35" s="548"/>
      <c r="C35" s="548"/>
      <c r="H35" s="588"/>
      <c r="J35" s="588"/>
      <c r="K35" s="588"/>
      <c r="L35" s="588"/>
      <c r="M35" s="588"/>
      <c r="N35" s="588"/>
      <c r="O35" s="588"/>
    </row>
    <row r="36" spans="1:18" s="275" customFormat="1" outlineLevel="1">
      <c r="A36" s="548"/>
      <c r="B36" s="548"/>
      <c r="C36" s="548"/>
      <c r="H36" s="588"/>
      <c r="J36" s="588"/>
      <c r="K36" s="588"/>
      <c r="L36" s="588"/>
      <c r="M36" s="588"/>
      <c r="N36" s="588"/>
      <c r="O36" s="588"/>
    </row>
    <row r="37" spans="1:18" s="275" customFormat="1" outlineLevel="1">
      <c r="A37" s="548"/>
      <c r="B37" s="548"/>
      <c r="C37" s="548"/>
      <c r="H37" s="588"/>
      <c r="J37" s="588"/>
      <c r="K37" s="588"/>
      <c r="L37" s="588"/>
      <c r="M37" s="588"/>
      <c r="N37" s="588"/>
      <c r="O37" s="588"/>
    </row>
    <row r="38" spans="1:18" s="275" customFormat="1" outlineLevel="1">
      <c r="A38" s="548"/>
      <c r="B38" s="548"/>
      <c r="C38" s="548"/>
      <c r="H38" s="588"/>
      <c r="J38" s="588"/>
      <c r="K38" s="588"/>
      <c r="L38" s="588"/>
      <c r="M38" s="588"/>
      <c r="N38" s="588"/>
      <c r="O38" s="588"/>
    </row>
    <row r="39" spans="1:18" s="275" customFormat="1">
      <c r="A39" s="548"/>
      <c r="B39" s="548"/>
      <c r="C39" s="548"/>
      <c r="R39" s="318"/>
    </row>
    <row r="40" spans="1:18" s="275" customFormat="1">
      <c r="A40" s="548"/>
      <c r="B40" s="548"/>
      <c r="C40" s="548"/>
    </row>
    <row r="41" spans="1:18" s="275" customFormat="1">
      <c r="A41" s="548"/>
      <c r="B41" s="548"/>
      <c r="C41" s="548"/>
      <c r="H41" s="589" t="s">
        <v>428</v>
      </c>
      <c r="I41" s="589" t="s">
        <v>428</v>
      </c>
      <c r="J41" s="589" t="s">
        <v>428</v>
      </c>
      <c r="K41" s="589" t="s">
        <v>428</v>
      </c>
      <c r="L41" s="589" t="s">
        <v>428</v>
      </c>
      <c r="M41" s="589" t="s">
        <v>428</v>
      </c>
      <c r="N41" s="589" t="s">
        <v>428</v>
      </c>
      <c r="O41" s="589" t="s">
        <v>428</v>
      </c>
      <c r="P41" s="589"/>
    </row>
    <row r="42" spans="1:18" s="275" customFormat="1">
      <c r="A42" s="548"/>
      <c r="B42" s="548"/>
      <c r="C42" s="548"/>
    </row>
    <row r="43" spans="1:18" s="275" customFormat="1">
      <c r="A43" s="548"/>
      <c r="B43" s="548"/>
      <c r="C43" s="548"/>
      <c r="H43" s="548" t="s">
        <v>386</v>
      </c>
      <c r="I43" s="548" t="s">
        <v>389</v>
      </c>
      <c r="J43" s="548" t="s">
        <v>385</v>
      </c>
      <c r="K43" s="548" t="s">
        <v>387</v>
      </c>
      <c r="L43" s="548" t="s">
        <v>388</v>
      </c>
      <c r="M43" s="548" t="s">
        <v>384</v>
      </c>
      <c r="N43" s="548" t="s">
        <v>303</v>
      </c>
      <c r="O43" s="548" t="s">
        <v>383</v>
      </c>
      <c r="P43" s="548"/>
    </row>
    <row r="44" spans="1:18" s="275" customFormat="1">
      <c r="A44" s="548"/>
      <c r="B44" s="548"/>
      <c r="C44" s="548"/>
    </row>
    <row r="45" spans="1:18" s="275" customFormat="1" ht="13.8" thickBot="1">
      <c r="A45" s="548"/>
      <c r="B45" s="548"/>
      <c r="D45" s="275" t="s">
        <v>429</v>
      </c>
      <c r="H45" s="590">
        <v>1917326507</v>
      </c>
      <c r="I45" s="576">
        <v>109189795</v>
      </c>
      <c r="J45" s="590">
        <v>358849089</v>
      </c>
      <c r="K45" s="590">
        <v>1701655635</v>
      </c>
      <c r="L45" s="576">
        <v>4380794497</v>
      </c>
      <c r="M45" s="590">
        <v>8358625728</v>
      </c>
      <c r="N45" s="591">
        <v>29436.049999999992</v>
      </c>
      <c r="O45" s="591">
        <v>11837.9</v>
      </c>
      <c r="P45" s="579"/>
    </row>
    <row r="46" spans="1:18" s="275" customFormat="1" ht="13.8" thickTop="1">
      <c r="A46" s="548"/>
      <c r="B46" s="548"/>
      <c r="C46" s="548"/>
    </row>
    <row r="47" spans="1:18" s="275" customFormat="1">
      <c r="A47" s="548"/>
      <c r="B47" s="548"/>
      <c r="C47" s="548"/>
      <c r="H47" s="592"/>
      <c r="I47" s="592"/>
      <c r="J47" s="592"/>
      <c r="K47" s="592"/>
      <c r="L47" s="592"/>
      <c r="M47" s="592"/>
      <c r="N47" s="592"/>
      <c r="O47" s="592"/>
    </row>
    <row r="48" spans="1:18" s="275" customFormat="1">
      <c r="A48" s="548"/>
      <c r="B48" s="548"/>
      <c r="C48" s="548"/>
    </row>
    <row r="49" spans="1:18" s="275" customFormat="1">
      <c r="A49" s="548"/>
      <c r="B49" s="548"/>
      <c r="C49" s="548"/>
      <c r="H49" s="593"/>
      <c r="I49" s="593"/>
      <c r="J49" s="593"/>
      <c r="K49" s="593"/>
      <c r="L49" s="593"/>
      <c r="M49" s="593"/>
      <c r="N49" s="593"/>
      <c r="O49" s="593"/>
      <c r="P49" s="593"/>
    </row>
    <row r="50" spans="1:18" s="275" customFormat="1">
      <c r="A50" s="548"/>
      <c r="B50" s="548"/>
      <c r="C50" s="548"/>
    </row>
    <row r="51" spans="1:18" s="275" customFormat="1">
      <c r="A51" s="548"/>
      <c r="B51" s="548"/>
      <c r="C51" s="548"/>
      <c r="D51" s="293" t="s">
        <v>430</v>
      </c>
      <c r="G51" s="594">
        <f t="shared" ref="G51:O51" si="2">SUM(G10:G23)+G24</f>
        <v>1900640</v>
      </c>
      <c r="H51" s="594">
        <f t="shared" si="2"/>
        <v>4211937922</v>
      </c>
      <c r="I51" s="594">
        <f t="shared" si="2"/>
        <v>228577324</v>
      </c>
      <c r="J51" s="594">
        <f t="shared" si="2"/>
        <v>785851460</v>
      </c>
      <c r="K51" s="594">
        <f t="shared" si="2"/>
        <v>2976527626</v>
      </c>
      <c r="L51" s="594">
        <f t="shared" si="2"/>
        <v>9667518254</v>
      </c>
      <c r="M51" s="594">
        <f t="shared" si="2"/>
        <v>17641835262</v>
      </c>
      <c r="N51" s="594">
        <f t="shared" si="2"/>
        <v>59685.919999999998</v>
      </c>
      <c r="O51" s="594">
        <f t="shared" si="2"/>
        <v>25228.46</v>
      </c>
      <c r="R51" s="595">
        <f>SUM(G51:Q51)</f>
        <v>35514233402.379997</v>
      </c>
    </row>
    <row r="52" spans="1:18" s="275" customFormat="1">
      <c r="A52" s="548"/>
      <c r="B52" s="548"/>
      <c r="C52" s="548"/>
      <c r="H52" s="594"/>
      <c r="I52" s="594"/>
      <c r="J52" s="594"/>
      <c r="K52" s="594"/>
      <c r="L52" s="594"/>
      <c r="M52" s="594"/>
      <c r="N52" s="594"/>
      <c r="O52" s="594"/>
    </row>
    <row r="53" spans="1:18" s="275" customFormat="1">
      <c r="A53" s="548"/>
      <c r="B53" s="548"/>
      <c r="C53" s="548"/>
    </row>
    <row r="54" spans="1:18" s="275" customFormat="1">
      <c r="A54" s="548"/>
      <c r="B54" s="548"/>
      <c r="C54" s="548"/>
      <c r="D54" s="275" t="s">
        <v>431</v>
      </c>
      <c r="G54" s="275">
        <v>1797034</v>
      </c>
      <c r="H54" s="275">
        <v>3834653014</v>
      </c>
      <c r="I54" s="275">
        <v>218379590</v>
      </c>
      <c r="J54" s="275">
        <v>717698178</v>
      </c>
      <c r="K54" s="275">
        <v>3403311270</v>
      </c>
      <c r="L54" s="275">
        <v>8761588994</v>
      </c>
      <c r="M54" s="275">
        <v>16717251456</v>
      </c>
      <c r="R54" s="596">
        <v>33654762856.079998</v>
      </c>
    </row>
    <row r="55" spans="1:18" s="275" customFormat="1">
      <c r="A55" s="548"/>
      <c r="B55" s="548"/>
      <c r="C55" s="548"/>
      <c r="G55" s="597">
        <f t="shared" ref="G55:O55" si="3">G51-G54</f>
        <v>103606</v>
      </c>
      <c r="H55" s="597">
        <f>H51-H54</f>
        <v>377284908</v>
      </c>
      <c r="I55" s="597">
        <f>I51-I54</f>
        <v>10197734</v>
      </c>
      <c r="J55" s="597">
        <f>J51-J54</f>
        <v>68153282</v>
      </c>
      <c r="K55" s="597">
        <f t="shared" ref="K55" si="4">K51-K54</f>
        <v>-426783644</v>
      </c>
      <c r="L55" s="597">
        <f>L51-L54</f>
        <v>905929260</v>
      </c>
      <c r="M55" s="597">
        <f>M51-M54</f>
        <v>924583806</v>
      </c>
      <c r="N55" s="597">
        <f t="shared" si="3"/>
        <v>59685.919999999998</v>
      </c>
      <c r="O55" s="597">
        <f t="shared" si="3"/>
        <v>25228.46</v>
      </c>
      <c r="R55" s="597">
        <f>R51-R54</f>
        <v>1859470546.2999992</v>
      </c>
    </row>
    <row r="56" spans="1:18" s="275" customFormat="1">
      <c r="A56" s="548"/>
      <c r="B56" s="548"/>
      <c r="C56" s="548"/>
    </row>
    <row r="57" spans="1:18" s="275" customFormat="1">
      <c r="A57" s="548"/>
      <c r="B57" s="548"/>
      <c r="C57" s="548"/>
      <c r="D57" s="275" t="s">
        <v>432</v>
      </c>
    </row>
    <row r="58" spans="1:18" s="275" customFormat="1">
      <c r="A58" s="548"/>
      <c r="B58" s="548"/>
      <c r="C58" s="548"/>
      <c r="D58" s="598">
        <v>44546</v>
      </c>
    </row>
    <row r="59" spans="1:18" s="275" customFormat="1">
      <c r="A59" s="548"/>
      <c r="B59" s="548"/>
      <c r="C59" s="548"/>
    </row>
    <row r="60" spans="1:18" s="275" customFormat="1">
      <c r="A60" s="548"/>
      <c r="B60" s="548"/>
      <c r="C60" s="548"/>
    </row>
    <row r="61" spans="1:18" s="275" customFormat="1">
      <c r="A61" s="548"/>
      <c r="B61" s="548"/>
      <c r="C61" s="548"/>
    </row>
    <row r="62" spans="1:18" s="275" customFormat="1">
      <c r="A62" s="548"/>
      <c r="B62" s="548"/>
      <c r="C62" s="548"/>
    </row>
    <row r="63" spans="1:18" s="275" customFormat="1">
      <c r="A63" s="548"/>
      <c r="B63" s="548"/>
      <c r="C63" s="548"/>
    </row>
    <row r="64" spans="1:18" s="275" customFormat="1">
      <c r="A64" s="548"/>
      <c r="B64" s="548"/>
      <c r="C64" s="548"/>
    </row>
    <row r="65" spans="1:3" s="275" customFormat="1">
      <c r="A65" s="548"/>
      <c r="B65" s="548"/>
      <c r="C65" s="548"/>
    </row>
    <row r="66" spans="1:3" s="275" customFormat="1">
      <c r="A66" s="548"/>
      <c r="B66" s="548"/>
      <c r="C66" s="548"/>
    </row>
    <row r="67" spans="1:3" s="275" customFormat="1">
      <c r="A67" s="548"/>
      <c r="B67" s="548"/>
      <c r="C67" s="548"/>
    </row>
    <row r="68" spans="1:3" s="275" customFormat="1">
      <c r="A68" s="548"/>
      <c r="B68" s="548"/>
      <c r="C68" s="548"/>
    </row>
    <row r="69" spans="1:3" s="275" customFormat="1">
      <c r="A69" s="548"/>
      <c r="B69" s="548"/>
      <c r="C69" s="548"/>
    </row>
    <row r="70" spans="1:3" s="275" customFormat="1">
      <c r="A70" s="548"/>
      <c r="B70" s="548"/>
      <c r="C70" s="548"/>
    </row>
    <row r="71" spans="1:3" s="275" customFormat="1">
      <c r="A71" s="548"/>
      <c r="B71" s="548"/>
      <c r="C71" s="548"/>
    </row>
    <row r="72" spans="1:3" s="275" customFormat="1">
      <c r="A72" s="548"/>
      <c r="B72" s="548"/>
      <c r="C72" s="548"/>
    </row>
    <row r="73" spans="1:3" s="275" customFormat="1">
      <c r="A73" s="548"/>
      <c r="B73" s="548"/>
      <c r="C73" s="548"/>
    </row>
    <row r="74" spans="1:3" s="275" customFormat="1">
      <c r="A74" s="548"/>
      <c r="B74" s="548"/>
      <c r="C74" s="548"/>
    </row>
    <row r="75" spans="1:3" s="275" customFormat="1">
      <c r="A75" s="548"/>
      <c r="B75" s="548"/>
      <c r="C75" s="548"/>
    </row>
    <row r="76" spans="1:3" s="275" customFormat="1">
      <c r="A76" s="548"/>
      <c r="B76" s="548"/>
      <c r="C76" s="548"/>
    </row>
    <row r="77" spans="1:3" s="275" customFormat="1">
      <c r="A77" s="548"/>
      <c r="B77" s="548"/>
      <c r="C77" s="548"/>
    </row>
    <row r="78" spans="1:3" s="275" customFormat="1">
      <c r="A78" s="548"/>
      <c r="B78" s="548"/>
      <c r="C78" s="548"/>
    </row>
    <row r="79" spans="1:3" s="275" customFormat="1">
      <c r="A79" s="548"/>
      <c r="B79" s="548"/>
      <c r="C79" s="548"/>
    </row>
    <row r="80" spans="1:3" s="275" customFormat="1">
      <c r="A80" s="548"/>
      <c r="B80" s="548"/>
      <c r="C80" s="548"/>
    </row>
    <row r="81" spans="1:3" s="275" customFormat="1">
      <c r="A81" s="548"/>
      <c r="B81" s="548"/>
      <c r="C81" s="548"/>
    </row>
    <row r="82" spans="1:3" s="275" customFormat="1">
      <c r="A82" s="548"/>
      <c r="B82" s="548"/>
      <c r="C82" s="548"/>
    </row>
    <row r="83" spans="1:3" s="275" customFormat="1">
      <c r="A83" s="548"/>
      <c r="B83" s="548"/>
      <c r="C83" s="548"/>
    </row>
    <row r="84" spans="1:3" s="275" customFormat="1">
      <c r="A84" s="548"/>
      <c r="B84" s="548"/>
      <c r="C84" s="548"/>
    </row>
    <row r="85" spans="1:3" s="275" customFormat="1">
      <c r="A85" s="548"/>
      <c r="B85" s="548"/>
      <c r="C85" s="548"/>
    </row>
    <row r="86" spans="1:3" s="275" customFormat="1">
      <c r="A86" s="548"/>
      <c r="B86" s="548"/>
      <c r="C86" s="548"/>
    </row>
    <row r="87" spans="1:3" s="275" customFormat="1">
      <c r="A87" s="548"/>
      <c r="B87" s="548"/>
      <c r="C87" s="548"/>
    </row>
    <row r="88" spans="1:3" s="275" customFormat="1">
      <c r="A88" s="548"/>
      <c r="B88" s="548"/>
      <c r="C88" s="548"/>
    </row>
    <row r="89" spans="1:3" s="275" customFormat="1">
      <c r="A89" s="548"/>
      <c r="B89" s="548"/>
      <c r="C89" s="548"/>
    </row>
    <row r="90" spans="1:3" s="275" customFormat="1">
      <c r="A90" s="548"/>
      <c r="B90" s="548"/>
      <c r="C90" s="548"/>
    </row>
    <row r="91" spans="1:3" s="275" customFormat="1">
      <c r="A91" s="548"/>
      <c r="B91" s="548"/>
      <c r="C91" s="548"/>
    </row>
    <row r="92" spans="1:3" s="275" customFormat="1">
      <c r="A92" s="548"/>
      <c r="B92" s="548"/>
      <c r="C92" s="548"/>
    </row>
    <row r="93" spans="1:3" s="275" customFormat="1">
      <c r="A93" s="548"/>
      <c r="B93" s="548"/>
      <c r="C93" s="548"/>
    </row>
    <row r="94" spans="1:3" s="275" customFormat="1">
      <c r="A94" s="548"/>
      <c r="B94" s="548"/>
      <c r="C94" s="548"/>
    </row>
    <row r="95" spans="1:3" s="275" customFormat="1">
      <c r="A95" s="548"/>
      <c r="B95" s="548"/>
      <c r="C95" s="548"/>
    </row>
    <row r="96" spans="1:3" s="275" customFormat="1">
      <c r="A96" s="548"/>
      <c r="B96" s="548"/>
      <c r="C96" s="548"/>
    </row>
    <row r="97" spans="1:3" s="275" customFormat="1">
      <c r="A97" s="548"/>
      <c r="B97" s="548"/>
      <c r="C97" s="548"/>
    </row>
    <row r="98" spans="1:3" s="275" customFormat="1">
      <c r="A98" s="548"/>
      <c r="B98" s="548"/>
      <c r="C98" s="548"/>
    </row>
    <row r="99" spans="1:3" s="275" customFormat="1">
      <c r="A99" s="548"/>
      <c r="B99" s="548"/>
      <c r="C99" s="548"/>
    </row>
    <row r="100" spans="1:3" s="275" customFormat="1">
      <c r="A100" s="548"/>
      <c r="B100" s="548"/>
      <c r="C100" s="548"/>
    </row>
    <row r="101" spans="1:3" s="275" customFormat="1">
      <c r="A101" s="548"/>
      <c r="B101" s="548"/>
      <c r="C101" s="548"/>
    </row>
    <row r="102" spans="1:3" s="275" customFormat="1">
      <c r="A102" s="548"/>
      <c r="B102" s="548"/>
      <c r="C102" s="548"/>
    </row>
    <row r="103" spans="1:3" s="275" customFormat="1">
      <c r="A103" s="548"/>
      <c r="B103" s="548"/>
      <c r="C103" s="548"/>
    </row>
    <row r="104" spans="1:3" s="275" customFormat="1">
      <c r="A104" s="548"/>
      <c r="B104" s="548"/>
      <c r="C104" s="548"/>
    </row>
    <row r="105" spans="1:3" s="275" customFormat="1">
      <c r="A105" s="548"/>
      <c r="B105" s="548"/>
      <c r="C105" s="548"/>
    </row>
    <row r="106" spans="1:3" s="275" customFormat="1">
      <c r="A106" s="548"/>
      <c r="B106" s="548"/>
      <c r="C106" s="548"/>
    </row>
    <row r="107" spans="1:3" s="275" customFormat="1">
      <c r="A107" s="548"/>
      <c r="B107" s="548"/>
      <c r="C107" s="548"/>
    </row>
    <row r="108" spans="1:3" s="275" customFormat="1">
      <c r="A108" s="548"/>
      <c r="B108" s="548"/>
      <c r="C108" s="548"/>
    </row>
    <row r="109" spans="1:3" s="275" customFormat="1">
      <c r="A109" s="548"/>
      <c r="B109" s="548"/>
      <c r="C109" s="548"/>
    </row>
    <row r="110" spans="1:3" s="275" customFormat="1">
      <c r="A110" s="548"/>
      <c r="B110" s="548"/>
      <c r="C110" s="548"/>
    </row>
    <row r="111" spans="1:3" s="275" customFormat="1">
      <c r="A111" s="548"/>
      <c r="B111" s="548"/>
      <c r="C111" s="548"/>
    </row>
    <row r="112" spans="1:3" s="275" customFormat="1">
      <c r="A112" s="548"/>
      <c r="B112" s="548"/>
      <c r="C112" s="548"/>
    </row>
    <row r="113" spans="1:3" s="275" customFormat="1">
      <c r="A113" s="548"/>
      <c r="B113" s="548"/>
      <c r="C113" s="548"/>
    </row>
    <row r="114" spans="1:3" s="275" customFormat="1">
      <c r="A114" s="548"/>
      <c r="B114" s="548"/>
      <c r="C114" s="548"/>
    </row>
    <row r="115" spans="1:3" s="275" customFormat="1">
      <c r="A115" s="548"/>
      <c r="B115" s="548"/>
      <c r="C115" s="548"/>
    </row>
    <row r="116" spans="1:3" s="275" customFormat="1">
      <c r="A116" s="548"/>
      <c r="B116" s="548"/>
      <c r="C116" s="548"/>
    </row>
    <row r="117" spans="1:3" s="275" customFormat="1">
      <c r="A117" s="548"/>
      <c r="B117" s="548"/>
      <c r="C117" s="548"/>
    </row>
    <row r="118" spans="1:3" s="275" customFormat="1">
      <c r="A118" s="548"/>
      <c r="B118" s="548"/>
      <c r="C118" s="548"/>
    </row>
    <row r="119" spans="1:3" s="275" customFormat="1">
      <c r="A119" s="548"/>
      <c r="B119" s="548"/>
      <c r="C119" s="548"/>
    </row>
    <row r="120" spans="1:3" s="275" customFormat="1">
      <c r="A120" s="548"/>
      <c r="B120" s="548"/>
      <c r="C120" s="548"/>
    </row>
    <row r="121" spans="1:3" s="275" customFormat="1">
      <c r="A121" s="548"/>
      <c r="B121" s="548"/>
      <c r="C121" s="548"/>
    </row>
    <row r="122" spans="1:3" s="275" customFormat="1">
      <c r="A122" s="548"/>
      <c r="B122" s="548"/>
      <c r="C122" s="548"/>
    </row>
    <row r="123" spans="1:3" s="275" customFormat="1">
      <c r="A123" s="548"/>
      <c r="B123" s="548"/>
      <c r="C123" s="548"/>
    </row>
    <row r="124" spans="1:3" s="275" customFormat="1">
      <c r="A124" s="548"/>
      <c r="B124" s="548"/>
      <c r="C124" s="548"/>
    </row>
    <row r="125" spans="1:3" s="275" customFormat="1">
      <c r="A125" s="548"/>
      <c r="B125" s="548"/>
      <c r="C125" s="548"/>
    </row>
    <row r="126" spans="1:3" s="275" customFormat="1">
      <c r="A126" s="548"/>
      <c r="B126" s="548"/>
      <c r="C126" s="548"/>
    </row>
    <row r="127" spans="1:3" s="275" customFormat="1">
      <c r="A127" s="548"/>
      <c r="B127" s="548"/>
      <c r="C127" s="548"/>
    </row>
    <row r="128" spans="1:3" s="275" customFormat="1">
      <c r="A128" s="548"/>
      <c r="B128" s="548"/>
      <c r="C128" s="548"/>
    </row>
    <row r="129" spans="1:3" s="275" customFormat="1">
      <c r="A129" s="548"/>
      <c r="B129" s="548"/>
      <c r="C129" s="548"/>
    </row>
    <row r="130" spans="1:3" s="275" customFormat="1">
      <c r="A130" s="548"/>
      <c r="B130" s="548"/>
      <c r="C130" s="548"/>
    </row>
    <row r="131" spans="1:3" s="275" customFormat="1">
      <c r="A131" s="548"/>
      <c r="B131" s="548"/>
      <c r="C131" s="548"/>
    </row>
    <row r="132" spans="1:3" s="275" customFormat="1">
      <c r="A132" s="548"/>
      <c r="B132" s="548"/>
      <c r="C132" s="548"/>
    </row>
    <row r="133" spans="1:3" s="275" customFormat="1">
      <c r="A133" s="548"/>
      <c r="B133" s="548"/>
      <c r="C133" s="548"/>
    </row>
    <row r="134" spans="1:3" s="275" customFormat="1">
      <c r="A134" s="548"/>
      <c r="B134" s="548"/>
      <c r="C134" s="548"/>
    </row>
    <row r="135" spans="1:3" s="275" customFormat="1">
      <c r="A135" s="548"/>
      <c r="B135" s="548"/>
      <c r="C135" s="548"/>
    </row>
    <row r="136" spans="1:3" s="275" customFormat="1">
      <c r="A136" s="548"/>
      <c r="B136" s="548"/>
      <c r="C136" s="548"/>
    </row>
    <row r="137" spans="1:3" s="275" customFormat="1">
      <c r="A137" s="548"/>
      <c r="B137" s="548"/>
      <c r="C137" s="548"/>
    </row>
    <row r="138" spans="1:3" s="275" customFormat="1">
      <c r="A138" s="548"/>
      <c r="B138" s="548"/>
      <c r="C138" s="548"/>
    </row>
    <row r="139" spans="1:3" s="275" customFormat="1">
      <c r="A139" s="548"/>
      <c r="B139" s="548"/>
      <c r="C139" s="548"/>
    </row>
    <row r="140" spans="1:3" s="275" customFormat="1">
      <c r="A140" s="548"/>
      <c r="B140" s="548"/>
      <c r="C140" s="548"/>
    </row>
    <row r="141" spans="1:3" s="275" customFormat="1">
      <c r="A141" s="548"/>
      <c r="B141" s="548"/>
      <c r="C141" s="548"/>
    </row>
    <row r="142" spans="1:3" s="275" customFormat="1">
      <c r="A142" s="548"/>
      <c r="B142" s="548"/>
      <c r="C142" s="548"/>
    </row>
    <row r="143" spans="1:3" s="275" customFormat="1">
      <c r="A143" s="548"/>
      <c r="B143" s="548"/>
      <c r="C143" s="548"/>
    </row>
    <row r="144" spans="1:3" s="275" customFormat="1">
      <c r="A144" s="548"/>
      <c r="B144" s="548"/>
      <c r="C144" s="548"/>
    </row>
    <row r="145" spans="1:3" s="275" customFormat="1">
      <c r="A145" s="548"/>
      <c r="B145" s="548"/>
      <c r="C145" s="548"/>
    </row>
    <row r="146" spans="1:3" s="275" customFormat="1">
      <c r="A146" s="548"/>
      <c r="B146" s="548"/>
      <c r="C146" s="548"/>
    </row>
    <row r="147" spans="1:3" s="275" customFormat="1">
      <c r="A147" s="548"/>
      <c r="B147" s="548"/>
      <c r="C147" s="548"/>
    </row>
    <row r="148" spans="1:3" s="275" customFormat="1">
      <c r="A148" s="548"/>
      <c r="B148" s="548"/>
      <c r="C148" s="548"/>
    </row>
    <row r="149" spans="1:3" s="275" customFormat="1">
      <c r="A149" s="548"/>
      <c r="B149" s="548"/>
      <c r="C149" s="548"/>
    </row>
    <row r="150" spans="1:3" s="275" customFormat="1">
      <c r="A150" s="548"/>
      <c r="B150" s="548"/>
      <c r="C150" s="548"/>
    </row>
    <row r="151" spans="1:3" s="275" customFormat="1">
      <c r="A151" s="548"/>
      <c r="B151" s="548"/>
      <c r="C151" s="548"/>
    </row>
    <row r="152" spans="1:3" s="275" customFormat="1">
      <c r="A152" s="548"/>
      <c r="B152" s="548"/>
      <c r="C152" s="548"/>
    </row>
    <row r="153" spans="1:3" s="275" customFormat="1">
      <c r="A153" s="548"/>
      <c r="B153" s="548"/>
      <c r="C153" s="548"/>
    </row>
    <row r="154" spans="1:3" s="275" customFormat="1">
      <c r="A154" s="548"/>
      <c r="B154" s="548"/>
      <c r="C154" s="548"/>
    </row>
    <row r="155" spans="1:3" s="275" customFormat="1">
      <c r="A155" s="548"/>
      <c r="B155" s="548"/>
      <c r="C155" s="548"/>
    </row>
    <row r="156" spans="1:3" s="275" customFormat="1">
      <c r="A156" s="548"/>
      <c r="B156" s="548"/>
      <c r="C156" s="548"/>
    </row>
    <row r="157" spans="1:3" s="275" customFormat="1">
      <c r="A157" s="548"/>
      <c r="B157" s="548"/>
      <c r="C157" s="548"/>
    </row>
    <row r="158" spans="1:3" s="275" customFormat="1">
      <c r="A158" s="548"/>
      <c r="B158" s="548"/>
      <c r="C158" s="548"/>
    </row>
    <row r="159" spans="1:3" s="275" customFormat="1">
      <c r="A159" s="548"/>
      <c r="B159" s="548"/>
      <c r="C159" s="548"/>
    </row>
    <row r="160" spans="1:3" s="275" customFormat="1">
      <c r="A160" s="548"/>
      <c r="B160" s="548"/>
      <c r="C160" s="548"/>
    </row>
    <row r="161" spans="1:3" s="275" customFormat="1">
      <c r="A161" s="548"/>
      <c r="B161" s="548"/>
      <c r="C161" s="548"/>
    </row>
    <row r="162" spans="1:3" s="275" customFormat="1">
      <c r="A162" s="548"/>
      <c r="B162" s="548"/>
      <c r="C162" s="548"/>
    </row>
    <row r="163" spans="1:3" s="275" customFormat="1">
      <c r="A163" s="548"/>
      <c r="B163" s="548"/>
      <c r="C163" s="548"/>
    </row>
    <row r="164" spans="1:3" s="275" customFormat="1">
      <c r="A164" s="548"/>
      <c r="B164" s="548"/>
      <c r="C164" s="548"/>
    </row>
    <row r="165" spans="1:3" s="275" customFormat="1">
      <c r="A165" s="548"/>
      <c r="B165" s="548"/>
      <c r="C165" s="548"/>
    </row>
    <row r="166" spans="1:3" s="275" customFormat="1">
      <c r="A166" s="548"/>
      <c r="B166" s="548"/>
      <c r="C166" s="548"/>
    </row>
    <row r="167" spans="1:3" s="275" customFormat="1">
      <c r="A167" s="548"/>
      <c r="B167" s="548"/>
      <c r="C167" s="548"/>
    </row>
    <row r="168" spans="1:3" s="275" customFormat="1">
      <c r="A168" s="548"/>
      <c r="B168" s="548"/>
      <c r="C168" s="548"/>
    </row>
    <row r="169" spans="1:3" s="275" customFormat="1">
      <c r="A169" s="548"/>
      <c r="B169" s="548"/>
      <c r="C169" s="548"/>
    </row>
    <row r="170" spans="1:3" s="275" customFormat="1">
      <c r="A170" s="548"/>
      <c r="B170" s="548"/>
      <c r="C170" s="548"/>
    </row>
    <row r="171" spans="1:3" s="275" customFormat="1">
      <c r="A171" s="548"/>
      <c r="B171" s="548"/>
      <c r="C171" s="548"/>
    </row>
    <row r="172" spans="1:3" s="275" customFormat="1">
      <c r="A172" s="548"/>
      <c r="B172" s="548"/>
      <c r="C172" s="548"/>
    </row>
    <row r="173" spans="1:3" s="275" customFormat="1">
      <c r="A173" s="548"/>
      <c r="B173" s="548"/>
      <c r="C173" s="548"/>
    </row>
    <row r="174" spans="1:3" s="275" customFormat="1">
      <c r="A174" s="548"/>
      <c r="B174" s="548"/>
      <c r="C174" s="548"/>
    </row>
    <row r="175" spans="1:3" s="275" customFormat="1">
      <c r="A175" s="548"/>
      <c r="B175" s="548"/>
      <c r="C175" s="548"/>
    </row>
    <row r="176" spans="1:3" s="275" customFormat="1">
      <c r="A176" s="548"/>
      <c r="B176" s="548"/>
      <c r="C176" s="548"/>
    </row>
    <row r="177" spans="1:3" s="275" customFormat="1">
      <c r="A177" s="548"/>
      <c r="B177" s="548"/>
      <c r="C177" s="548"/>
    </row>
    <row r="178" spans="1:3" s="275" customFormat="1">
      <c r="A178" s="548"/>
      <c r="B178" s="548"/>
      <c r="C178" s="548"/>
    </row>
    <row r="179" spans="1:3" s="275" customFormat="1">
      <c r="A179" s="548"/>
      <c r="B179" s="548"/>
      <c r="C179" s="548"/>
    </row>
    <row r="180" spans="1:3" s="275" customFormat="1">
      <c r="A180" s="548"/>
      <c r="B180" s="548"/>
      <c r="C180" s="548"/>
    </row>
    <row r="181" spans="1:3" s="275" customFormat="1">
      <c r="A181" s="548"/>
      <c r="B181" s="548"/>
      <c r="C181" s="548"/>
    </row>
    <row r="182" spans="1:3" s="275" customFormat="1">
      <c r="A182" s="548"/>
      <c r="B182" s="548"/>
      <c r="C182" s="548"/>
    </row>
    <row r="183" spans="1:3" s="275" customFormat="1">
      <c r="A183" s="548"/>
      <c r="B183" s="548"/>
      <c r="C183" s="548"/>
    </row>
    <row r="184" spans="1:3" s="275" customFormat="1">
      <c r="A184" s="548"/>
      <c r="B184" s="548"/>
      <c r="C184" s="548"/>
    </row>
    <row r="185" spans="1:3" s="275" customFormat="1">
      <c r="A185" s="548"/>
      <c r="B185" s="548"/>
      <c r="C185" s="548"/>
    </row>
    <row r="186" spans="1:3" s="275" customFormat="1">
      <c r="A186" s="548"/>
      <c r="B186" s="548"/>
      <c r="C186" s="548"/>
    </row>
    <row r="187" spans="1:3" s="275" customFormat="1">
      <c r="A187" s="548"/>
      <c r="B187" s="548"/>
      <c r="C187" s="548"/>
    </row>
    <row r="188" spans="1:3" s="275" customFormat="1">
      <c r="A188" s="548"/>
      <c r="B188" s="548"/>
      <c r="C188" s="548"/>
    </row>
    <row r="189" spans="1:3" s="275" customFormat="1">
      <c r="A189" s="548"/>
      <c r="B189" s="548"/>
      <c r="C189" s="548"/>
    </row>
    <row r="190" spans="1:3" s="275" customFormat="1">
      <c r="A190" s="548"/>
      <c r="B190" s="548"/>
      <c r="C190" s="548"/>
    </row>
    <row r="191" spans="1:3" s="275" customFormat="1">
      <c r="A191" s="548"/>
      <c r="B191" s="548"/>
      <c r="C191" s="548"/>
    </row>
    <row r="192" spans="1:3" s="275" customFormat="1">
      <c r="A192" s="548"/>
      <c r="B192" s="548"/>
      <c r="C192" s="548"/>
    </row>
    <row r="193" spans="1:3" s="275" customFormat="1">
      <c r="A193" s="548"/>
      <c r="B193" s="548"/>
      <c r="C193" s="548"/>
    </row>
    <row r="194" spans="1:3" s="275" customFormat="1">
      <c r="A194" s="548"/>
      <c r="B194" s="548"/>
      <c r="C194" s="548"/>
    </row>
    <row r="195" spans="1:3" s="275" customFormat="1">
      <c r="A195" s="548"/>
      <c r="B195" s="548"/>
      <c r="C195" s="548"/>
    </row>
    <row r="196" spans="1:3" s="275" customFormat="1">
      <c r="A196" s="548"/>
      <c r="B196" s="548"/>
      <c r="C196" s="548"/>
    </row>
    <row r="197" spans="1:3" s="275" customFormat="1">
      <c r="A197" s="548"/>
      <c r="B197" s="548"/>
      <c r="C197" s="548"/>
    </row>
    <row r="198" spans="1:3" s="275" customFormat="1">
      <c r="A198" s="548"/>
      <c r="B198" s="548"/>
      <c r="C198" s="548"/>
    </row>
    <row r="199" spans="1:3" s="275" customFormat="1">
      <c r="A199" s="548"/>
      <c r="B199" s="548"/>
      <c r="C199" s="548"/>
    </row>
    <row r="200" spans="1:3" s="275" customFormat="1">
      <c r="A200" s="548"/>
      <c r="B200" s="548"/>
      <c r="C200" s="548"/>
    </row>
    <row r="201" spans="1:3" s="275" customFormat="1">
      <c r="A201" s="548"/>
      <c r="B201" s="548"/>
      <c r="C201" s="548"/>
    </row>
    <row r="202" spans="1:3" s="275" customFormat="1">
      <c r="A202" s="548"/>
      <c r="B202" s="548"/>
      <c r="C202" s="548"/>
    </row>
    <row r="203" spans="1:3" s="275" customFormat="1">
      <c r="A203" s="548"/>
      <c r="B203" s="548"/>
      <c r="C203" s="548"/>
    </row>
    <row r="204" spans="1:3" s="275" customFormat="1">
      <c r="A204" s="548"/>
      <c r="B204" s="548"/>
      <c r="C204" s="548"/>
    </row>
    <row r="205" spans="1:3" s="275" customFormat="1">
      <c r="A205" s="548"/>
      <c r="B205" s="548"/>
      <c r="C205" s="548"/>
    </row>
    <row r="206" spans="1:3" s="275" customFormat="1">
      <c r="A206" s="548"/>
      <c r="B206" s="548"/>
      <c r="C206" s="548"/>
    </row>
    <row r="207" spans="1:3" s="275" customFormat="1">
      <c r="A207" s="548"/>
      <c r="B207" s="548"/>
      <c r="C207" s="548"/>
    </row>
    <row r="208" spans="1:3" s="275" customFormat="1">
      <c r="A208" s="548"/>
      <c r="B208" s="548"/>
      <c r="C208" s="548"/>
    </row>
    <row r="209" spans="1:3" s="275" customFormat="1">
      <c r="A209" s="548"/>
      <c r="B209" s="548"/>
      <c r="C209" s="548"/>
    </row>
    <row r="210" spans="1:3" s="275" customFormat="1">
      <c r="A210" s="548"/>
      <c r="B210" s="548"/>
      <c r="C210" s="548"/>
    </row>
    <row r="211" spans="1:3" s="275" customFormat="1">
      <c r="A211" s="548"/>
      <c r="B211" s="548"/>
      <c r="C211" s="548"/>
    </row>
    <row r="212" spans="1:3" s="275" customFormat="1">
      <c r="A212" s="548"/>
      <c r="B212" s="548"/>
      <c r="C212" s="548"/>
    </row>
    <row r="213" spans="1:3" s="275" customFormat="1">
      <c r="A213" s="548"/>
      <c r="B213" s="548"/>
      <c r="C213" s="548"/>
    </row>
    <row r="214" spans="1:3" s="275" customFormat="1">
      <c r="A214" s="548"/>
      <c r="B214" s="548"/>
      <c r="C214" s="548"/>
    </row>
    <row r="215" spans="1:3" s="275" customFormat="1">
      <c r="A215" s="548"/>
      <c r="B215" s="548"/>
      <c r="C215" s="548"/>
    </row>
    <row r="216" spans="1:3" s="275" customFormat="1">
      <c r="A216" s="548"/>
      <c r="B216" s="548"/>
      <c r="C216" s="548"/>
    </row>
    <row r="217" spans="1:3" s="275" customFormat="1">
      <c r="A217" s="548"/>
      <c r="B217" s="548"/>
      <c r="C217" s="548"/>
    </row>
    <row r="218" spans="1:3" s="275" customFormat="1">
      <c r="A218" s="548"/>
      <c r="B218" s="548"/>
      <c r="C218" s="548"/>
    </row>
    <row r="219" spans="1:3" s="275" customFormat="1">
      <c r="A219" s="548"/>
      <c r="B219" s="548"/>
      <c r="C219" s="548"/>
    </row>
    <row r="220" spans="1:3" s="275" customFormat="1">
      <c r="A220" s="548"/>
      <c r="B220" s="548"/>
      <c r="C220" s="548"/>
    </row>
    <row r="221" spans="1:3" s="275" customFormat="1">
      <c r="A221" s="548"/>
      <c r="B221" s="548"/>
      <c r="C221" s="548"/>
    </row>
    <row r="222" spans="1:3" s="275" customFormat="1">
      <c r="A222" s="548"/>
      <c r="B222" s="548"/>
      <c r="C222" s="548"/>
    </row>
    <row r="223" spans="1:3" s="275" customFormat="1">
      <c r="A223" s="548"/>
      <c r="B223" s="548"/>
      <c r="C223" s="548"/>
    </row>
    <row r="224" spans="1:3" s="275" customFormat="1">
      <c r="A224" s="548"/>
      <c r="B224" s="548"/>
      <c r="C224" s="548"/>
    </row>
    <row r="225" spans="1:3" s="275" customFormat="1">
      <c r="A225" s="548"/>
      <c r="B225" s="548"/>
      <c r="C225" s="548"/>
    </row>
    <row r="226" spans="1:3" s="275" customFormat="1">
      <c r="A226" s="548"/>
      <c r="B226" s="548"/>
      <c r="C226" s="548"/>
    </row>
    <row r="227" spans="1:3" s="275" customFormat="1">
      <c r="A227" s="548"/>
      <c r="B227" s="548"/>
      <c r="C227" s="548"/>
    </row>
    <row r="228" spans="1:3" s="275" customFormat="1">
      <c r="A228" s="548"/>
      <c r="B228" s="548"/>
      <c r="C228" s="548"/>
    </row>
    <row r="229" spans="1:3" s="275" customFormat="1">
      <c r="A229" s="548"/>
      <c r="B229" s="548"/>
      <c r="C229" s="548"/>
    </row>
    <row r="230" spans="1:3" s="275" customFormat="1">
      <c r="A230" s="548"/>
      <c r="B230" s="548"/>
      <c r="C230" s="548"/>
    </row>
    <row r="231" spans="1:3" s="275" customFormat="1">
      <c r="A231" s="548"/>
      <c r="B231" s="548"/>
      <c r="C231" s="548"/>
    </row>
    <row r="232" spans="1:3" s="275" customFormat="1">
      <c r="A232" s="548"/>
      <c r="B232" s="548"/>
      <c r="C232" s="548"/>
    </row>
    <row r="233" spans="1:3" s="275" customFormat="1">
      <c r="A233" s="548"/>
      <c r="B233" s="548"/>
      <c r="C233" s="548"/>
    </row>
    <row r="234" spans="1:3" s="275" customFormat="1">
      <c r="A234" s="548"/>
      <c r="B234" s="548"/>
      <c r="C234" s="548"/>
    </row>
    <row r="235" spans="1:3" s="275" customFormat="1">
      <c r="A235" s="548"/>
      <c r="B235" s="548"/>
      <c r="C235" s="548"/>
    </row>
    <row r="236" spans="1:3" s="275" customFormat="1">
      <c r="A236" s="548"/>
      <c r="B236" s="548"/>
      <c r="C236" s="548"/>
    </row>
    <row r="237" spans="1:3" s="275" customFormat="1">
      <c r="A237" s="548"/>
      <c r="B237" s="548"/>
      <c r="C237" s="548"/>
    </row>
    <row r="238" spans="1:3" s="275" customFormat="1">
      <c r="A238" s="548"/>
      <c r="B238" s="548"/>
      <c r="C238" s="548"/>
    </row>
    <row r="239" spans="1:3" s="275" customFormat="1">
      <c r="A239" s="548"/>
      <c r="B239" s="548"/>
      <c r="C239" s="548"/>
    </row>
    <row r="240" spans="1:3" s="275" customFormat="1">
      <c r="A240" s="548"/>
      <c r="B240" s="548"/>
      <c r="C240" s="548"/>
    </row>
    <row r="241" spans="1:3" s="275" customFormat="1">
      <c r="A241" s="548"/>
      <c r="B241" s="548"/>
      <c r="C241" s="548"/>
    </row>
    <row r="242" spans="1:3" s="275" customFormat="1">
      <c r="A242" s="548"/>
      <c r="B242" s="548"/>
      <c r="C242" s="548"/>
    </row>
    <row r="243" spans="1:3" s="275" customFormat="1">
      <c r="A243" s="548"/>
      <c r="B243" s="548"/>
      <c r="C243" s="548"/>
    </row>
    <row r="244" spans="1:3" s="275" customFormat="1">
      <c r="A244" s="548"/>
      <c r="B244" s="548"/>
      <c r="C244" s="548"/>
    </row>
    <row r="245" spans="1:3" s="275" customFormat="1">
      <c r="A245" s="548"/>
      <c r="B245" s="548"/>
      <c r="C245" s="548"/>
    </row>
    <row r="246" spans="1:3" s="275" customFormat="1">
      <c r="A246" s="548"/>
      <c r="B246" s="548"/>
      <c r="C246" s="548"/>
    </row>
    <row r="247" spans="1:3" s="275" customFormat="1">
      <c r="A247" s="548"/>
      <c r="B247" s="548"/>
      <c r="C247" s="548"/>
    </row>
    <row r="248" spans="1:3" s="275" customFormat="1">
      <c r="A248" s="548"/>
      <c r="B248" s="548"/>
      <c r="C248" s="548"/>
    </row>
    <row r="249" spans="1:3" s="275" customFormat="1">
      <c r="A249" s="548"/>
      <c r="B249" s="548"/>
      <c r="C249" s="548"/>
    </row>
    <row r="250" spans="1:3" s="275" customFormat="1">
      <c r="A250" s="548"/>
      <c r="B250" s="548"/>
      <c r="C250" s="548"/>
    </row>
    <row r="251" spans="1:3" s="275" customFormat="1">
      <c r="A251" s="548"/>
      <c r="B251" s="548"/>
      <c r="C251" s="548"/>
    </row>
    <row r="252" spans="1:3" s="275" customFormat="1">
      <c r="A252" s="548"/>
      <c r="B252" s="548"/>
      <c r="C252" s="548"/>
    </row>
    <row r="253" spans="1:3" s="275" customFormat="1">
      <c r="A253" s="548"/>
      <c r="B253" s="548"/>
      <c r="C253" s="548"/>
    </row>
    <row r="254" spans="1:3" s="275" customFormat="1">
      <c r="A254" s="548"/>
      <c r="B254" s="548"/>
      <c r="C254" s="548"/>
    </row>
    <row r="255" spans="1:3" s="275" customFormat="1">
      <c r="A255" s="548"/>
      <c r="B255" s="548"/>
      <c r="C255" s="548"/>
    </row>
    <row r="256" spans="1:3" s="275" customFormat="1">
      <c r="A256" s="548"/>
      <c r="B256" s="548"/>
      <c r="C256" s="548"/>
    </row>
    <row r="257" spans="1:3" s="275" customFormat="1">
      <c r="A257" s="548"/>
      <c r="B257" s="548"/>
      <c r="C257" s="548"/>
    </row>
    <row r="258" spans="1:3" s="275" customFormat="1">
      <c r="A258" s="548"/>
      <c r="B258" s="548"/>
      <c r="C258" s="548"/>
    </row>
    <row r="259" spans="1:3" s="275" customFormat="1">
      <c r="A259" s="548"/>
      <c r="B259" s="548"/>
      <c r="C259" s="548"/>
    </row>
    <row r="260" spans="1:3" s="275" customFormat="1">
      <c r="A260" s="548"/>
      <c r="B260" s="548"/>
      <c r="C260" s="548"/>
    </row>
    <row r="261" spans="1:3" s="275" customFormat="1">
      <c r="A261" s="548"/>
      <c r="B261" s="548"/>
      <c r="C261" s="548"/>
    </row>
    <row r="262" spans="1:3" s="275" customFormat="1">
      <c r="A262" s="548"/>
      <c r="B262" s="548"/>
      <c r="C262" s="548"/>
    </row>
    <row r="263" spans="1:3" s="275" customFormat="1">
      <c r="A263" s="548"/>
      <c r="B263" s="548"/>
      <c r="C263" s="548"/>
    </row>
    <row r="264" spans="1:3" s="275" customFormat="1">
      <c r="A264" s="548"/>
      <c r="B264" s="548"/>
      <c r="C264" s="548"/>
    </row>
    <row r="265" spans="1:3" s="275" customFormat="1">
      <c r="A265" s="548"/>
      <c r="B265" s="548"/>
      <c r="C265" s="548"/>
    </row>
    <row r="266" spans="1:3" s="275" customFormat="1">
      <c r="A266" s="548"/>
      <c r="B266" s="548"/>
      <c r="C266" s="548"/>
    </row>
    <row r="267" spans="1:3" s="275" customFormat="1">
      <c r="A267" s="548"/>
      <c r="B267" s="548"/>
      <c r="C267" s="548"/>
    </row>
    <row r="268" spans="1:3" s="275" customFormat="1">
      <c r="A268" s="548"/>
      <c r="B268" s="548"/>
      <c r="C268" s="548"/>
    </row>
    <row r="269" spans="1:3" s="275" customFormat="1">
      <c r="A269" s="548"/>
      <c r="B269" s="548"/>
      <c r="C269" s="548"/>
    </row>
    <row r="270" spans="1:3" s="275" customFormat="1">
      <c r="A270" s="548"/>
      <c r="B270" s="548"/>
      <c r="C270" s="548"/>
    </row>
    <row r="271" spans="1:3" s="275" customFormat="1">
      <c r="A271" s="548"/>
      <c r="B271" s="548"/>
      <c r="C271" s="548"/>
    </row>
    <row r="272" spans="1:3" s="275" customFormat="1">
      <c r="A272" s="548"/>
      <c r="B272" s="548"/>
      <c r="C272" s="548"/>
    </row>
    <row r="273" spans="1:3" s="275" customFormat="1">
      <c r="A273" s="548"/>
      <c r="B273" s="548"/>
      <c r="C273" s="548"/>
    </row>
    <row r="274" spans="1:3" s="275" customFormat="1">
      <c r="A274" s="548"/>
      <c r="B274" s="548"/>
      <c r="C274" s="548"/>
    </row>
    <row r="275" spans="1:3" s="275" customFormat="1">
      <c r="A275" s="548"/>
      <c r="B275" s="548"/>
      <c r="C275" s="548"/>
    </row>
    <row r="276" spans="1:3" s="275" customFormat="1">
      <c r="A276" s="548"/>
      <c r="B276" s="548"/>
      <c r="C276" s="548"/>
    </row>
    <row r="277" spans="1:3" s="275" customFormat="1">
      <c r="A277" s="548"/>
      <c r="B277" s="548"/>
      <c r="C277" s="548"/>
    </row>
    <row r="278" spans="1:3" s="275" customFormat="1">
      <c r="A278" s="548"/>
      <c r="B278" s="548"/>
      <c r="C278" s="548"/>
    </row>
    <row r="279" spans="1:3" s="275" customFormat="1">
      <c r="A279" s="548"/>
      <c r="B279" s="548"/>
      <c r="C279" s="548"/>
    </row>
    <row r="280" spans="1:3" s="275" customFormat="1">
      <c r="A280" s="548"/>
      <c r="B280" s="548"/>
      <c r="C280" s="548"/>
    </row>
    <row r="281" spans="1:3" s="275" customFormat="1">
      <c r="A281" s="548"/>
      <c r="B281" s="548"/>
      <c r="C281" s="548"/>
    </row>
    <row r="282" spans="1:3" s="275" customFormat="1">
      <c r="A282" s="548"/>
      <c r="B282" s="548"/>
      <c r="C282" s="548"/>
    </row>
    <row r="283" spans="1:3" s="275" customFormat="1">
      <c r="A283" s="548"/>
      <c r="B283" s="548"/>
      <c r="C283" s="548"/>
    </row>
    <row r="284" spans="1:3" s="275" customFormat="1">
      <c r="A284" s="548"/>
      <c r="B284" s="548"/>
      <c r="C284" s="548"/>
    </row>
    <row r="285" spans="1:3" s="275" customFormat="1">
      <c r="A285" s="548"/>
      <c r="B285" s="548"/>
      <c r="C285" s="548"/>
    </row>
    <row r="286" spans="1:3" s="275" customFormat="1">
      <c r="A286" s="548"/>
      <c r="B286" s="548"/>
      <c r="C286" s="548"/>
    </row>
    <row r="287" spans="1:3" s="275" customFormat="1">
      <c r="A287" s="548"/>
      <c r="B287" s="548"/>
      <c r="C287" s="548"/>
    </row>
    <row r="288" spans="1:3" s="275" customFormat="1">
      <c r="A288" s="548"/>
      <c r="B288" s="548"/>
      <c r="C288" s="548"/>
    </row>
    <row r="289" spans="1:3" s="275" customFormat="1">
      <c r="A289" s="548"/>
      <c r="B289" s="548"/>
      <c r="C289" s="548"/>
    </row>
    <row r="290" spans="1:3" s="275" customFormat="1">
      <c r="A290" s="548"/>
      <c r="B290" s="548"/>
      <c r="C290" s="548"/>
    </row>
    <row r="291" spans="1:3" s="275" customFormat="1">
      <c r="A291" s="548"/>
      <c r="B291" s="548"/>
      <c r="C291" s="548"/>
    </row>
    <row r="292" spans="1:3" s="275" customFormat="1">
      <c r="A292" s="548"/>
      <c r="B292" s="548"/>
      <c r="C292" s="548"/>
    </row>
    <row r="293" spans="1:3" s="275" customFormat="1">
      <c r="A293" s="548"/>
      <c r="B293" s="548"/>
      <c r="C293" s="548"/>
    </row>
    <row r="294" spans="1:3" s="275" customFormat="1">
      <c r="A294" s="548"/>
      <c r="B294" s="548"/>
      <c r="C294" s="548"/>
    </row>
    <row r="295" spans="1:3" s="275" customFormat="1">
      <c r="A295" s="548"/>
      <c r="B295" s="548"/>
      <c r="C295" s="548"/>
    </row>
    <row r="296" spans="1:3" s="275" customFormat="1">
      <c r="A296" s="548"/>
      <c r="B296" s="548"/>
      <c r="C296" s="548"/>
    </row>
    <row r="297" spans="1:3" s="275" customFormat="1">
      <c r="A297" s="548"/>
      <c r="B297" s="548"/>
      <c r="C297" s="548"/>
    </row>
    <row r="298" spans="1:3" s="275" customFormat="1">
      <c r="A298" s="548"/>
      <c r="B298" s="548"/>
      <c r="C298" s="548"/>
    </row>
    <row r="299" spans="1:3" s="275" customFormat="1">
      <c r="A299" s="548"/>
      <c r="B299" s="548"/>
      <c r="C299" s="548"/>
    </row>
    <row r="300" spans="1:3" s="275" customFormat="1">
      <c r="A300" s="548"/>
      <c r="B300" s="548"/>
      <c r="C300" s="548"/>
    </row>
    <row r="301" spans="1:3" s="275" customFormat="1">
      <c r="A301" s="548"/>
      <c r="B301" s="548"/>
      <c r="C301" s="548"/>
    </row>
    <row r="302" spans="1:3" s="275" customFormat="1">
      <c r="A302" s="548"/>
      <c r="B302" s="548"/>
      <c r="C302" s="548"/>
    </row>
    <row r="303" spans="1:3" s="275" customFormat="1">
      <c r="A303" s="548"/>
      <c r="B303" s="548"/>
      <c r="C303" s="548"/>
    </row>
    <row r="304" spans="1:3" s="275" customFormat="1">
      <c r="A304" s="548"/>
      <c r="B304" s="548"/>
      <c r="C304" s="548"/>
    </row>
    <row r="305" spans="1:3" s="275" customFormat="1">
      <c r="A305" s="548"/>
      <c r="B305" s="548"/>
      <c r="C305" s="548"/>
    </row>
    <row r="306" spans="1:3" s="275" customFormat="1">
      <c r="A306" s="548"/>
      <c r="B306" s="548"/>
      <c r="C306" s="548"/>
    </row>
    <row r="307" spans="1:3" s="275" customFormat="1">
      <c r="A307" s="548"/>
      <c r="B307" s="548"/>
      <c r="C307" s="548"/>
    </row>
    <row r="308" spans="1:3" s="275" customFormat="1">
      <c r="A308" s="548"/>
      <c r="B308" s="548"/>
      <c r="C308" s="548"/>
    </row>
    <row r="309" spans="1:3" s="275" customFormat="1">
      <c r="A309" s="548"/>
      <c r="B309" s="548"/>
      <c r="C309" s="548"/>
    </row>
    <row r="310" spans="1:3" s="275" customFormat="1">
      <c r="A310" s="548"/>
      <c r="B310" s="548"/>
      <c r="C310" s="548"/>
    </row>
    <row r="311" spans="1:3" s="275" customFormat="1">
      <c r="A311" s="548"/>
      <c r="B311" s="548"/>
      <c r="C311" s="548"/>
    </row>
    <row r="312" spans="1:3" s="275" customFormat="1">
      <c r="A312" s="548"/>
      <c r="B312" s="548"/>
      <c r="C312" s="548"/>
    </row>
    <row r="313" spans="1:3" s="275" customFormat="1">
      <c r="A313" s="548"/>
      <c r="B313" s="548"/>
      <c r="C313" s="548"/>
    </row>
    <row r="314" spans="1:3" s="275" customFormat="1">
      <c r="A314" s="548"/>
      <c r="B314" s="548"/>
      <c r="C314" s="548"/>
    </row>
    <row r="315" spans="1:3" s="275" customFormat="1">
      <c r="A315" s="548"/>
      <c r="B315" s="548"/>
      <c r="C315" s="548"/>
    </row>
    <row r="316" spans="1:3" s="275" customFormat="1">
      <c r="A316" s="548"/>
      <c r="B316" s="548"/>
      <c r="C316" s="548"/>
    </row>
    <row r="317" spans="1:3" s="275" customFormat="1">
      <c r="A317" s="548"/>
      <c r="B317" s="548"/>
      <c r="C317" s="548"/>
    </row>
    <row r="318" spans="1:3" s="275" customFormat="1">
      <c r="A318" s="548"/>
      <c r="B318" s="548"/>
      <c r="C318" s="548"/>
    </row>
    <row r="319" spans="1:3" s="275" customFormat="1">
      <c r="A319" s="548"/>
      <c r="B319" s="548"/>
      <c r="C319" s="548"/>
    </row>
    <row r="320" spans="1:3" s="275" customFormat="1">
      <c r="A320" s="548"/>
      <c r="B320" s="548"/>
      <c r="C320" s="548"/>
    </row>
    <row r="321" spans="1:3" s="275" customFormat="1">
      <c r="A321" s="548"/>
      <c r="B321" s="548"/>
      <c r="C321" s="548"/>
    </row>
    <row r="322" spans="1:3" s="275" customFormat="1">
      <c r="A322" s="548"/>
      <c r="B322" s="548"/>
      <c r="C322" s="548"/>
    </row>
    <row r="323" spans="1:3" s="275" customFormat="1">
      <c r="A323" s="548"/>
      <c r="B323" s="548"/>
      <c r="C323" s="548"/>
    </row>
    <row r="324" spans="1:3" s="275" customFormat="1">
      <c r="A324" s="548"/>
      <c r="B324" s="548"/>
      <c r="C324" s="548"/>
    </row>
    <row r="325" spans="1:3" s="275" customFormat="1">
      <c r="A325" s="548"/>
      <c r="B325" s="548"/>
      <c r="C325" s="548"/>
    </row>
    <row r="326" spans="1:3" s="275" customFormat="1">
      <c r="A326" s="548"/>
      <c r="B326" s="548"/>
      <c r="C326" s="548"/>
    </row>
    <row r="327" spans="1:3" s="275" customFormat="1">
      <c r="A327" s="548"/>
      <c r="B327" s="548"/>
      <c r="C327" s="548"/>
    </row>
    <row r="328" spans="1:3" s="275" customFormat="1">
      <c r="A328" s="548"/>
      <c r="B328" s="548"/>
      <c r="C328" s="548"/>
    </row>
    <row r="329" spans="1:3" s="275" customFormat="1">
      <c r="A329" s="548"/>
      <c r="B329" s="548"/>
      <c r="C329" s="548"/>
    </row>
    <row r="330" spans="1:3" s="275" customFormat="1">
      <c r="A330" s="548"/>
      <c r="B330" s="548"/>
      <c r="C330" s="548"/>
    </row>
    <row r="331" spans="1:3" s="275" customFormat="1">
      <c r="A331" s="548"/>
      <c r="B331" s="548"/>
      <c r="C331" s="548"/>
    </row>
    <row r="332" spans="1:3" s="275" customFormat="1">
      <c r="A332" s="548"/>
      <c r="B332" s="548"/>
      <c r="C332" s="548"/>
    </row>
    <row r="333" spans="1:3" s="275" customFormat="1">
      <c r="A333" s="548"/>
      <c r="B333" s="548"/>
      <c r="C333" s="548"/>
    </row>
    <row r="334" spans="1:3" s="275" customFormat="1">
      <c r="A334" s="548"/>
      <c r="B334" s="548"/>
      <c r="C334" s="548"/>
    </row>
    <row r="335" spans="1:3" s="275" customFormat="1">
      <c r="A335" s="548"/>
      <c r="B335" s="548"/>
      <c r="C335" s="548"/>
    </row>
    <row r="336" spans="1:3" s="275" customFormat="1">
      <c r="A336" s="548"/>
      <c r="B336" s="548"/>
      <c r="C336" s="548"/>
    </row>
    <row r="337" spans="1:3" s="275" customFormat="1">
      <c r="A337" s="548"/>
      <c r="B337" s="548"/>
      <c r="C337" s="548"/>
    </row>
    <row r="338" spans="1:3" s="275" customFormat="1">
      <c r="A338" s="548"/>
      <c r="B338" s="548"/>
      <c r="C338" s="548"/>
    </row>
    <row r="339" spans="1:3" s="275" customFormat="1">
      <c r="A339" s="548"/>
      <c r="B339" s="548"/>
      <c r="C339" s="548"/>
    </row>
    <row r="340" spans="1:3" s="275" customFormat="1">
      <c r="A340" s="548"/>
      <c r="B340" s="548"/>
      <c r="C340" s="548"/>
    </row>
    <row r="341" spans="1:3" s="275" customFormat="1">
      <c r="A341" s="548"/>
      <c r="B341" s="548"/>
      <c r="C341" s="548"/>
    </row>
    <row r="342" spans="1:3" s="275" customFormat="1">
      <c r="A342" s="548"/>
      <c r="B342" s="548"/>
      <c r="C342" s="548"/>
    </row>
    <row r="343" spans="1:3" s="275" customFormat="1">
      <c r="A343" s="548"/>
      <c r="B343" s="548"/>
      <c r="C343" s="548"/>
    </row>
    <row r="344" spans="1:3" s="275" customFormat="1">
      <c r="A344" s="548"/>
      <c r="B344" s="548"/>
      <c r="C344" s="548"/>
    </row>
    <row r="345" spans="1:3" s="275" customFormat="1">
      <c r="A345" s="548"/>
      <c r="B345" s="548"/>
      <c r="C345" s="548"/>
    </row>
    <row r="346" spans="1:3" s="275" customFormat="1">
      <c r="A346" s="548"/>
      <c r="B346" s="548"/>
      <c r="C346" s="548"/>
    </row>
    <row r="347" spans="1:3" s="275" customFormat="1">
      <c r="A347" s="548"/>
      <c r="B347" s="548"/>
      <c r="C347" s="548"/>
    </row>
    <row r="348" spans="1:3" s="275" customFormat="1">
      <c r="A348" s="548"/>
      <c r="B348" s="548"/>
      <c r="C348" s="548"/>
    </row>
    <row r="349" spans="1:3" s="275" customFormat="1">
      <c r="A349" s="548"/>
      <c r="B349" s="548"/>
      <c r="C349" s="548"/>
    </row>
    <row r="350" spans="1:3" s="275" customFormat="1">
      <c r="A350" s="548"/>
      <c r="B350" s="548"/>
      <c r="C350" s="548"/>
    </row>
    <row r="351" spans="1:3" s="275" customFormat="1">
      <c r="A351" s="548"/>
      <c r="B351" s="548"/>
      <c r="C351" s="548"/>
    </row>
    <row r="352" spans="1:3" s="275" customFormat="1">
      <c r="A352" s="548"/>
      <c r="B352" s="548"/>
      <c r="C352" s="548"/>
    </row>
    <row r="353" spans="1:3" s="275" customFormat="1">
      <c r="A353" s="548"/>
      <c r="B353" s="548"/>
      <c r="C353" s="548"/>
    </row>
    <row r="354" spans="1:3" s="275" customFormat="1">
      <c r="A354" s="548"/>
      <c r="B354" s="548"/>
      <c r="C354" s="548"/>
    </row>
    <row r="355" spans="1:3" s="275" customFormat="1">
      <c r="A355" s="548"/>
      <c r="B355" s="548"/>
      <c r="C355" s="548"/>
    </row>
    <row r="356" spans="1:3" s="275" customFormat="1">
      <c r="A356" s="548"/>
      <c r="B356" s="548"/>
      <c r="C356" s="548"/>
    </row>
    <row r="357" spans="1:3" s="275" customFormat="1">
      <c r="A357" s="548"/>
      <c r="B357" s="548"/>
      <c r="C357" s="548"/>
    </row>
    <row r="358" spans="1:3" s="275" customFormat="1">
      <c r="A358" s="548"/>
      <c r="B358" s="548"/>
      <c r="C358" s="548"/>
    </row>
    <row r="359" spans="1:3" s="275" customFormat="1">
      <c r="A359" s="548"/>
      <c r="B359" s="548"/>
      <c r="C359" s="548"/>
    </row>
    <row r="360" spans="1:3" s="275" customFormat="1">
      <c r="A360" s="548"/>
      <c r="B360" s="548"/>
      <c r="C360" s="548"/>
    </row>
    <row r="361" spans="1:3" s="275" customFormat="1">
      <c r="A361" s="548"/>
      <c r="B361" s="548"/>
      <c r="C361" s="548"/>
    </row>
    <row r="362" spans="1:3" s="275" customFormat="1">
      <c r="A362" s="548"/>
      <c r="B362" s="548"/>
      <c r="C362" s="548"/>
    </row>
    <row r="363" spans="1:3" s="275" customFormat="1">
      <c r="A363" s="548"/>
      <c r="B363" s="548"/>
      <c r="C363" s="548"/>
    </row>
    <row r="364" spans="1:3" s="275" customFormat="1">
      <c r="A364" s="548"/>
      <c r="B364" s="548"/>
      <c r="C364" s="548"/>
    </row>
    <row r="365" spans="1:3" s="275" customFormat="1">
      <c r="A365" s="548"/>
      <c r="B365" s="548"/>
      <c r="C365" s="548"/>
    </row>
    <row r="366" spans="1:3" s="275" customFormat="1">
      <c r="A366" s="548"/>
      <c r="B366" s="548"/>
      <c r="C366" s="548"/>
    </row>
    <row r="367" spans="1:3" s="275" customFormat="1">
      <c r="A367" s="548"/>
      <c r="B367" s="548"/>
      <c r="C367" s="548"/>
    </row>
    <row r="368" spans="1:3" s="275" customFormat="1">
      <c r="A368" s="548"/>
      <c r="B368" s="548"/>
      <c r="C368" s="548"/>
    </row>
    <row r="369" spans="1:3" s="275" customFormat="1">
      <c r="A369" s="548"/>
      <c r="B369" s="548"/>
      <c r="C369" s="548"/>
    </row>
    <row r="370" spans="1:3" s="275" customFormat="1">
      <c r="A370" s="548"/>
      <c r="B370" s="548"/>
      <c r="C370" s="548"/>
    </row>
    <row r="371" spans="1:3" s="275" customFormat="1">
      <c r="A371" s="548"/>
      <c r="B371" s="548"/>
      <c r="C371" s="548"/>
    </row>
    <row r="372" spans="1:3" s="275" customFormat="1">
      <c r="A372" s="548"/>
      <c r="B372" s="548"/>
      <c r="C372" s="548"/>
    </row>
    <row r="373" spans="1:3" s="275" customFormat="1">
      <c r="A373" s="548"/>
      <c r="B373" s="548"/>
      <c r="C373" s="548"/>
    </row>
    <row r="374" spans="1:3" s="275" customFormat="1">
      <c r="A374" s="548"/>
      <c r="B374" s="548"/>
      <c r="C374" s="548"/>
    </row>
    <row r="375" spans="1:3" s="275" customFormat="1">
      <c r="A375" s="548"/>
      <c r="B375" s="548"/>
      <c r="C375" s="548"/>
    </row>
    <row r="376" spans="1:3" s="275" customFormat="1">
      <c r="A376" s="548"/>
      <c r="B376" s="548"/>
      <c r="C376" s="548"/>
    </row>
    <row r="377" spans="1:3" s="275" customFormat="1">
      <c r="A377" s="548"/>
      <c r="B377" s="548"/>
      <c r="C377" s="548"/>
    </row>
    <row r="378" spans="1:3" s="275" customFormat="1">
      <c r="A378" s="548"/>
      <c r="B378" s="548"/>
      <c r="C378" s="548"/>
    </row>
    <row r="379" spans="1:3" s="275" customFormat="1">
      <c r="A379" s="548"/>
      <c r="B379" s="548"/>
      <c r="C379" s="548"/>
    </row>
    <row r="380" spans="1:3" s="275" customFormat="1">
      <c r="A380" s="548"/>
      <c r="B380" s="548"/>
      <c r="C380" s="548"/>
    </row>
    <row r="381" spans="1:3" s="275" customFormat="1">
      <c r="A381" s="548"/>
      <c r="B381" s="548"/>
      <c r="C381" s="548"/>
    </row>
    <row r="382" spans="1:3" s="275" customFormat="1">
      <c r="A382" s="548"/>
      <c r="B382" s="548"/>
      <c r="C382" s="548"/>
    </row>
    <row r="383" spans="1:3" s="275" customFormat="1">
      <c r="A383" s="548"/>
      <c r="B383" s="548"/>
      <c r="C383" s="548"/>
    </row>
    <row r="384" spans="1:3" s="275" customFormat="1">
      <c r="A384" s="548"/>
      <c r="B384" s="548"/>
      <c r="C384" s="548"/>
    </row>
    <row r="385" spans="1:3" s="275" customFormat="1">
      <c r="A385" s="548"/>
      <c r="B385" s="548"/>
      <c r="C385" s="548"/>
    </row>
    <row r="386" spans="1:3" s="275" customFormat="1">
      <c r="A386" s="548"/>
      <c r="B386" s="548"/>
      <c r="C386" s="548"/>
    </row>
    <row r="387" spans="1:3" s="275" customFormat="1">
      <c r="A387" s="548"/>
      <c r="B387" s="548"/>
      <c r="C387" s="548"/>
    </row>
    <row r="388" spans="1:3" s="275" customFormat="1">
      <c r="A388" s="548"/>
      <c r="B388" s="548"/>
      <c r="C388" s="548"/>
    </row>
    <row r="389" spans="1:3" s="275" customFormat="1">
      <c r="A389" s="548"/>
      <c r="B389" s="548"/>
      <c r="C389" s="548"/>
    </row>
    <row r="390" spans="1:3" s="275" customFormat="1">
      <c r="A390" s="548"/>
      <c r="B390" s="548"/>
      <c r="C390" s="548"/>
    </row>
    <row r="391" spans="1:3" s="275" customFormat="1">
      <c r="A391" s="548"/>
      <c r="B391" s="548"/>
      <c r="C391" s="548"/>
    </row>
    <row r="392" spans="1:3" s="275" customFormat="1">
      <c r="A392" s="548"/>
      <c r="B392" s="548"/>
      <c r="C392" s="548"/>
    </row>
    <row r="393" spans="1:3" s="275" customFormat="1">
      <c r="A393" s="548"/>
      <c r="B393" s="548"/>
      <c r="C393" s="548"/>
    </row>
    <row r="394" spans="1:3" s="275" customFormat="1">
      <c r="A394" s="548"/>
      <c r="B394" s="548"/>
      <c r="C394" s="548"/>
    </row>
    <row r="395" spans="1:3" s="275" customFormat="1">
      <c r="A395" s="548"/>
      <c r="B395" s="548"/>
      <c r="C395" s="548"/>
    </row>
    <row r="396" spans="1:3" s="275" customFormat="1">
      <c r="A396" s="548"/>
      <c r="B396" s="548"/>
      <c r="C396" s="548"/>
    </row>
    <row r="397" spans="1:3" s="275" customFormat="1">
      <c r="A397" s="548"/>
      <c r="B397" s="548"/>
      <c r="C397" s="548"/>
    </row>
    <row r="398" spans="1:3" s="275" customFormat="1">
      <c r="A398" s="548"/>
      <c r="B398" s="548"/>
      <c r="C398" s="548"/>
    </row>
    <row r="399" spans="1:3" s="275" customFormat="1">
      <c r="A399" s="548"/>
      <c r="B399" s="548"/>
      <c r="C399" s="548"/>
    </row>
    <row r="400" spans="1:3" s="275" customFormat="1">
      <c r="A400" s="548"/>
      <c r="B400" s="548"/>
      <c r="C400" s="548"/>
    </row>
    <row r="401" spans="1:3" s="275" customFormat="1">
      <c r="A401" s="548"/>
      <c r="B401" s="548"/>
      <c r="C401" s="548"/>
    </row>
    <row r="402" spans="1:3" s="275" customFormat="1">
      <c r="A402" s="548"/>
      <c r="B402" s="548"/>
      <c r="C402" s="548"/>
    </row>
    <row r="403" spans="1:3" s="275" customFormat="1">
      <c r="A403" s="548"/>
      <c r="B403" s="548"/>
      <c r="C403" s="548"/>
    </row>
    <row r="404" spans="1:3" s="275" customFormat="1">
      <c r="A404" s="548"/>
      <c r="B404" s="548"/>
      <c r="C404" s="548"/>
    </row>
    <row r="405" spans="1:3" s="275" customFormat="1">
      <c r="A405" s="548"/>
      <c r="B405" s="548"/>
      <c r="C405" s="548"/>
    </row>
    <row r="406" spans="1:3" s="275" customFormat="1">
      <c r="A406" s="548"/>
      <c r="B406" s="548"/>
      <c r="C406" s="548"/>
    </row>
    <row r="407" spans="1:3" s="275" customFormat="1">
      <c r="A407" s="548"/>
      <c r="B407" s="548"/>
      <c r="C407" s="548"/>
    </row>
    <row r="408" spans="1:3" s="275" customFormat="1">
      <c r="A408" s="548"/>
      <c r="B408" s="548"/>
      <c r="C408" s="548"/>
    </row>
    <row r="409" spans="1:3" s="275" customFormat="1">
      <c r="A409" s="548"/>
      <c r="B409" s="548"/>
      <c r="C409" s="548"/>
    </row>
    <row r="410" spans="1:3" s="275" customFormat="1">
      <c r="A410" s="548"/>
      <c r="B410" s="548"/>
      <c r="C410" s="548"/>
    </row>
    <row r="411" spans="1:3" s="275" customFormat="1">
      <c r="A411" s="548"/>
      <c r="B411" s="548"/>
      <c r="C411" s="548"/>
    </row>
    <row r="412" spans="1:3" s="275" customFormat="1">
      <c r="A412" s="548"/>
      <c r="B412" s="548"/>
      <c r="C412" s="548"/>
    </row>
    <row r="413" spans="1:3" s="275" customFormat="1">
      <c r="A413" s="548"/>
      <c r="B413" s="548"/>
      <c r="C413" s="548"/>
    </row>
    <row r="414" spans="1:3" s="275" customFormat="1">
      <c r="A414" s="548"/>
      <c r="B414" s="548"/>
      <c r="C414" s="548"/>
    </row>
    <row r="415" spans="1:3" s="275" customFormat="1">
      <c r="A415" s="548"/>
      <c r="B415" s="548"/>
      <c r="C415" s="548"/>
    </row>
    <row r="416" spans="1:3" s="275" customFormat="1">
      <c r="A416" s="548"/>
      <c r="B416" s="548"/>
      <c r="C416" s="548"/>
    </row>
    <row r="417" spans="1:3" s="275" customFormat="1">
      <c r="A417" s="548"/>
      <c r="B417" s="548"/>
      <c r="C417" s="548"/>
    </row>
    <row r="418" spans="1:3" s="275" customFormat="1">
      <c r="A418" s="548"/>
      <c r="B418" s="548"/>
      <c r="C418" s="548"/>
    </row>
    <row r="419" spans="1:3" s="275" customFormat="1">
      <c r="A419" s="548"/>
      <c r="B419" s="548"/>
      <c r="C419" s="548"/>
    </row>
    <row r="420" spans="1:3" s="275" customFormat="1">
      <c r="A420" s="548"/>
      <c r="B420" s="548"/>
      <c r="C420" s="548"/>
    </row>
    <row r="421" spans="1:3" s="275" customFormat="1">
      <c r="A421" s="548"/>
      <c r="B421" s="548"/>
      <c r="C421" s="548"/>
    </row>
    <row r="422" spans="1:3" s="275" customFormat="1">
      <c r="A422" s="548"/>
      <c r="B422" s="548"/>
      <c r="C422" s="548"/>
    </row>
    <row r="423" spans="1:3" s="275" customFormat="1">
      <c r="A423" s="548"/>
      <c r="B423" s="548"/>
      <c r="C423" s="548"/>
    </row>
    <row r="424" spans="1:3" s="275" customFormat="1">
      <c r="A424" s="548"/>
      <c r="B424" s="548"/>
      <c r="C424" s="548"/>
    </row>
    <row r="425" spans="1:3" s="275" customFormat="1">
      <c r="A425" s="548"/>
      <c r="B425" s="548"/>
      <c r="C425" s="548"/>
    </row>
    <row r="426" spans="1:3" s="275" customFormat="1">
      <c r="A426" s="548"/>
      <c r="B426" s="548"/>
      <c r="C426" s="548"/>
    </row>
    <row r="427" spans="1:3" s="275" customFormat="1">
      <c r="A427" s="548"/>
      <c r="B427" s="548"/>
      <c r="C427" s="548"/>
    </row>
    <row r="428" spans="1:3" s="275" customFormat="1">
      <c r="A428" s="548"/>
      <c r="B428" s="548"/>
      <c r="C428" s="548"/>
    </row>
    <row r="429" spans="1:3" s="275" customFormat="1">
      <c r="A429" s="548"/>
      <c r="B429" s="548"/>
      <c r="C429" s="548"/>
    </row>
    <row r="430" spans="1:3" s="275" customFormat="1">
      <c r="A430" s="548"/>
      <c r="B430" s="548"/>
      <c r="C430" s="548"/>
    </row>
    <row r="431" spans="1:3" s="275" customFormat="1">
      <c r="A431" s="548"/>
      <c r="B431" s="548"/>
      <c r="C431" s="548"/>
    </row>
    <row r="432" spans="1:3" s="275" customFormat="1">
      <c r="A432" s="548"/>
      <c r="B432" s="548"/>
      <c r="C432" s="548"/>
    </row>
    <row r="433" spans="1:3" s="275" customFormat="1">
      <c r="A433" s="548"/>
      <c r="B433" s="548"/>
      <c r="C433" s="548"/>
    </row>
    <row r="434" spans="1:3" s="275" customFormat="1">
      <c r="A434" s="548"/>
      <c r="B434" s="548"/>
      <c r="C434" s="548"/>
    </row>
    <row r="435" spans="1:3" s="275" customFormat="1">
      <c r="A435" s="548"/>
      <c r="B435" s="548"/>
      <c r="C435" s="548"/>
    </row>
    <row r="436" spans="1:3" s="275" customFormat="1">
      <c r="A436" s="548"/>
      <c r="B436" s="548"/>
      <c r="C436" s="548"/>
    </row>
    <row r="437" spans="1:3" s="275" customFormat="1">
      <c r="A437" s="548"/>
      <c r="B437" s="548"/>
      <c r="C437" s="548"/>
    </row>
    <row r="438" spans="1:3" s="275" customFormat="1">
      <c r="A438" s="548"/>
      <c r="B438" s="548"/>
      <c r="C438" s="548"/>
    </row>
    <row r="439" spans="1:3" s="275" customFormat="1">
      <c r="A439" s="548"/>
      <c r="B439" s="548"/>
      <c r="C439" s="548"/>
    </row>
    <row r="440" spans="1:3" s="275" customFormat="1">
      <c r="A440" s="548"/>
      <c r="B440" s="548"/>
      <c r="C440" s="548"/>
    </row>
    <row r="441" spans="1:3" s="275" customFormat="1">
      <c r="A441" s="548"/>
      <c r="B441" s="548"/>
      <c r="C441" s="548"/>
    </row>
    <row r="442" spans="1:3" s="275" customFormat="1">
      <c r="A442" s="548"/>
      <c r="B442" s="548"/>
      <c r="C442" s="548"/>
    </row>
    <row r="443" spans="1:3" s="275" customFormat="1">
      <c r="A443" s="548"/>
      <c r="B443" s="548"/>
      <c r="C443" s="548"/>
    </row>
    <row r="444" spans="1:3" s="275" customFormat="1">
      <c r="A444" s="548"/>
      <c r="B444" s="548"/>
      <c r="C444" s="548"/>
    </row>
    <row r="445" spans="1:3" s="275" customFormat="1">
      <c r="A445" s="548"/>
      <c r="B445" s="548"/>
      <c r="C445" s="548"/>
    </row>
    <row r="446" spans="1:3" s="275" customFormat="1">
      <c r="A446" s="548"/>
      <c r="B446" s="548"/>
      <c r="C446" s="548"/>
    </row>
    <row r="447" spans="1:3" s="275" customFormat="1">
      <c r="A447" s="548"/>
      <c r="B447" s="548"/>
      <c r="C447" s="548"/>
    </row>
    <row r="448" spans="1:3" s="275" customFormat="1">
      <c r="A448" s="548"/>
      <c r="B448" s="548"/>
      <c r="C448" s="548"/>
    </row>
    <row r="449" spans="1:3" s="275" customFormat="1">
      <c r="A449" s="548"/>
      <c r="B449" s="548"/>
      <c r="C449" s="548"/>
    </row>
    <row r="450" spans="1:3" s="275" customFormat="1">
      <c r="A450" s="548"/>
      <c r="B450" s="548"/>
      <c r="C450" s="548"/>
    </row>
    <row r="451" spans="1:3" s="275" customFormat="1">
      <c r="A451" s="548"/>
      <c r="B451" s="548"/>
      <c r="C451" s="548"/>
    </row>
    <row r="452" spans="1:3" s="275" customFormat="1">
      <c r="A452" s="548"/>
      <c r="B452" s="548"/>
      <c r="C452" s="548"/>
    </row>
    <row r="453" spans="1:3" s="275" customFormat="1">
      <c r="A453" s="548"/>
      <c r="B453" s="548"/>
      <c r="C453" s="548"/>
    </row>
    <row r="454" spans="1:3" s="275" customFormat="1">
      <c r="A454" s="548"/>
      <c r="B454" s="548"/>
      <c r="C454" s="548"/>
    </row>
    <row r="455" spans="1:3" s="275" customFormat="1">
      <c r="A455" s="548"/>
      <c r="B455" s="548"/>
      <c r="C455" s="548"/>
    </row>
    <row r="456" spans="1:3" s="275" customFormat="1">
      <c r="A456" s="548"/>
      <c r="B456" s="548"/>
      <c r="C456" s="548"/>
    </row>
    <row r="457" spans="1:3" s="275" customFormat="1">
      <c r="A457" s="548"/>
      <c r="B457" s="548"/>
      <c r="C457" s="548"/>
    </row>
    <row r="458" spans="1:3" s="275" customFormat="1">
      <c r="A458" s="548"/>
      <c r="B458" s="548"/>
      <c r="C458" s="548"/>
    </row>
    <row r="459" spans="1:3" s="275" customFormat="1">
      <c r="A459" s="548"/>
      <c r="B459" s="548"/>
      <c r="C459" s="548"/>
    </row>
    <row r="460" spans="1:3" s="275" customFormat="1">
      <c r="A460" s="548"/>
      <c r="B460" s="548"/>
      <c r="C460" s="548"/>
    </row>
    <row r="461" spans="1:3" s="275" customFormat="1">
      <c r="A461" s="548"/>
      <c r="B461" s="548"/>
      <c r="C461" s="548"/>
    </row>
    <row r="462" spans="1:3" s="275" customFormat="1">
      <c r="A462" s="548"/>
      <c r="B462" s="548"/>
      <c r="C462" s="548"/>
    </row>
    <row r="463" spans="1:3" s="275" customFormat="1">
      <c r="A463" s="548"/>
      <c r="B463" s="548"/>
      <c r="C463" s="548"/>
    </row>
    <row r="464" spans="1:3" s="275" customFormat="1">
      <c r="A464" s="548"/>
      <c r="B464" s="548"/>
      <c r="C464" s="548"/>
    </row>
    <row r="465" spans="1:3" s="275" customFormat="1">
      <c r="A465" s="548"/>
      <c r="B465" s="548"/>
      <c r="C465" s="548"/>
    </row>
    <row r="466" spans="1:3" s="275" customFormat="1">
      <c r="A466" s="548"/>
      <c r="B466" s="548"/>
      <c r="C466" s="548"/>
    </row>
    <row r="467" spans="1:3" s="275" customFormat="1">
      <c r="A467" s="548"/>
      <c r="B467" s="548"/>
      <c r="C467" s="548"/>
    </row>
    <row r="468" spans="1:3" s="275" customFormat="1">
      <c r="A468" s="548"/>
      <c r="B468" s="548"/>
      <c r="C468" s="548"/>
    </row>
    <row r="469" spans="1:3" s="275" customFormat="1">
      <c r="A469" s="548"/>
      <c r="B469" s="548"/>
      <c r="C469" s="548"/>
    </row>
    <row r="470" spans="1:3" s="275" customFormat="1">
      <c r="A470" s="548"/>
      <c r="B470" s="548"/>
      <c r="C470" s="548"/>
    </row>
    <row r="471" spans="1:3" s="275" customFormat="1">
      <c r="A471" s="548"/>
      <c r="B471" s="548"/>
      <c r="C471" s="548"/>
    </row>
    <row r="472" spans="1:3" s="275" customFormat="1">
      <c r="A472" s="548"/>
      <c r="B472" s="548"/>
      <c r="C472" s="548"/>
    </row>
    <row r="473" spans="1:3" s="275" customFormat="1">
      <c r="A473" s="548"/>
      <c r="B473" s="548"/>
      <c r="C473" s="548"/>
    </row>
    <row r="474" spans="1:3" s="275" customFormat="1">
      <c r="A474" s="548"/>
      <c r="B474" s="548"/>
      <c r="C474" s="548"/>
    </row>
    <row r="475" spans="1:3" s="275" customFormat="1">
      <c r="A475" s="548"/>
      <c r="B475" s="548"/>
      <c r="C475" s="548"/>
    </row>
    <row r="476" spans="1:3" s="275" customFormat="1">
      <c r="A476" s="548"/>
      <c r="B476" s="548"/>
      <c r="C476" s="548"/>
    </row>
    <row r="477" spans="1:3" s="275" customFormat="1">
      <c r="A477" s="548"/>
      <c r="B477" s="548"/>
      <c r="C477" s="548"/>
    </row>
    <row r="478" spans="1:3" s="275" customFormat="1">
      <c r="A478" s="548"/>
      <c r="B478" s="548"/>
      <c r="C478" s="548"/>
    </row>
    <row r="479" spans="1:3" s="275" customFormat="1">
      <c r="A479" s="548"/>
      <c r="B479" s="548"/>
      <c r="C479" s="548"/>
    </row>
    <row r="480" spans="1:3" s="275" customFormat="1">
      <c r="A480" s="548"/>
      <c r="B480" s="548"/>
      <c r="C480" s="548"/>
    </row>
    <row r="481" spans="1:3" s="275" customFormat="1">
      <c r="A481" s="548"/>
      <c r="B481" s="548"/>
      <c r="C481" s="548"/>
    </row>
    <row r="482" spans="1:3" s="275" customFormat="1">
      <c r="A482" s="548"/>
      <c r="B482" s="548"/>
      <c r="C482" s="548"/>
    </row>
    <row r="483" spans="1:3" s="275" customFormat="1">
      <c r="A483" s="548"/>
      <c r="B483" s="548"/>
      <c r="C483" s="548"/>
    </row>
    <row r="484" spans="1:3" s="275" customFormat="1">
      <c r="A484" s="548"/>
      <c r="B484" s="548"/>
      <c r="C484" s="548"/>
    </row>
    <row r="485" spans="1:3" s="275" customFormat="1">
      <c r="A485" s="548"/>
      <c r="B485" s="548"/>
      <c r="C485" s="548"/>
    </row>
    <row r="486" spans="1:3" s="275" customFormat="1">
      <c r="A486" s="548"/>
      <c r="B486" s="548"/>
      <c r="C486" s="548"/>
    </row>
    <row r="487" spans="1:3" s="275" customFormat="1">
      <c r="A487" s="548"/>
      <c r="B487" s="548"/>
      <c r="C487" s="548"/>
    </row>
    <row r="488" spans="1:3" s="275" customFormat="1">
      <c r="A488" s="548"/>
      <c r="B488" s="548"/>
      <c r="C488" s="548"/>
    </row>
    <row r="489" spans="1:3" s="275" customFormat="1">
      <c r="A489" s="548"/>
      <c r="B489" s="548"/>
      <c r="C489" s="548"/>
    </row>
    <row r="490" spans="1:3" s="275" customFormat="1">
      <c r="A490" s="548"/>
      <c r="B490" s="548"/>
      <c r="C490" s="548"/>
    </row>
    <row r="491" spans="1:3" s="275" customFormat="1">
      <c r="A491" s="548"/>
      <c r="B491" s="548"/>
      <c r="C491" s="548"/>
    </row>
    <row r="492" spans="1:3" s="275" customFormat="1">
      <c r="A492" s="548"/>
      <c r="B492" s="548"/>
      <c r="C492" s="548"/>
    </row>
    <row r="493" spans="1:3" s="275" customFormat="1">
      <c r="A493" s="548"/>
      <c r="B493" s="548"/>
      <c r="C493" s="548"/>
    </row>
    <row r="494" spans="1:3" s="275" customFormat="1">
      <c r="A494" s="548"/>
      <c r="B494" s="548"/>
      <c r="C494" s="548"/>
    </row>
    <row r="495" spans="1:3" s="275" customFormat="1">
      <c r="A495" s="548"/>
      <c r="B495" s="548"/>
      <c r="C495" s="548"/>
    </row>
    <row r="496" spans="1:3" s="275" customFormat="1">
      <c r="A496" s="548"/>
      <c r="B496" s="548"/>
      <c r="C496" s="548"/>
    </row>
    <row r="497" spans="1:3" s="275" customFormat="1">
      <c r="A497" s="548"/>
      <c r="B497" s="548"/>
      <c r="C497" s="548"/>
    </row>
    <row r="498" spans="1:3" s="275" customFormat="1">
      <c r="A498" s="548"/>
      <c r="B498" s="548"/>
      <c r="C498" s="548"/>
    </row>
    <row r="499" spans="1:3" s="275" customFormat="1">
      <c r="A499" s="548"/>
      <c r="B499" s="548"/>
      <c r="C499" s="548"/>
    </row>
    <row r="500" spans="1:3" s="275" customFormat="1">
      <c r="A500" s="548"/>
      <c r="B500" s="548"/>
      <c r="C500" s="548"/>
    </row>
    <row r="501" spans="1:3" s="275" customFormat="1">
      <c r="A501" s="548"/>
      <c r="B501" s="548"/>
      <c r="C501" s="548"/>
    </row>
    <row r="502" spans="1:3" s="275" customFormat="1">
      <c r="A502" s="548"/>
      <c r="B502" s="548"/>
      <c r="C502" s="548"/>
    </row>
    <row r="503" spans="1:3" s="275" customFormat="1">
      <c r="A503" s="548"/>
      <c r="B503" s="548"/>
      <c r="C503" s="548"/>
    </row>
    <row r="504" spans="1:3" s="275" customFormat="1">
      <c r="A504" s="548"/>
      <c r="B504" s="548"/>
      <c r="C504" s="548"/>
    </row>
    <row r="505" spans="1:3" s="275" customFormat="1">
      <c r="A505" s="548"/>
      <c r="B505" s="548"/>
      <c r="C505" s="548"/>
    </row>
    <row r="506" spans="1:3" s="275" customFormat="1">
      <c r="A506" s="548"/>
      <c r="B506" s="548"/>
      <c r="C506" s="548"/>
    </row>
    <row r="507" spans="1:3" s="275" customFormat="1">
      <c r="A507" s="548"/>
      <c r="B507" s="548"/>
      <c r="C507" s="548"/>
    </row>
    <row r="508" spans="1:3" s="275" customFormat="1">
      <c r="A508" s="548"/>
      <c r="B508" s="548"/>
      <c r="C508" s="548"/>
    </row>
    <row r="509" spans="1:3" s="275" customFormat="1">
      <c r="A509" s="548"/>
      <c r="B509" s="548"/>
      <c r="C509" s="548"/>
    </row>
    <row r="510" spans="1:3" s="275" customFormat="1">
      <c r="A510" s="548"/>
      <c r="B510" s="548"/>
      <c r="C510" s="548"/>
    </row>
    <row r="511" spans="1:3" s="275" customFormat="1">
      <c r="A511" s="548"/>
      <c r="B511" s="548"/>
      <c r="C511" s="548"/>
    </row>
    <row r="512" spans="1:3" s="275" customFormat="1">
      <c r="A512" s="548"/>
      <c r="B512" s="548"/>
      <c r="C512" s="548"/>
    </row>
    <row r="513" spans="1:3" s="275" customFormat="1">
      <c r="A513" s="548"/>
      <c r="B513" s="548"/>
      <c r="C513" s="548"/>
    </row>
    <row r="514" spans="1:3" s="275" customFormat="1">
      <c r="A514" s="548"/>
      <c r="B514" s="548"/>
      <c r="C514" s="548"/>
    </row>
    <row r="515" spans="1:3" s="275" customFormat="1">
      <c r="A515" s="548"/>
      <c r="B515" s="548"/>
      <c r="C515" s="548"/>
    </row>
    <row r="516" spans="1:3" s="275" customFormat="1">
      <c r="A516" s="548"/>
      <c r="B516" s="548"/>
      <c r="C516" s="548"/>
    </row>
    <row r="517" spans="1:3" s="275" customFormat="1">
      <c r="A517" s="548"/>
      <c r="B517" s="548"/>
      <c r="C517" s="548"/>
    </row>
    <row r="518" spans="1:3" s="275" customFormat="1">
      <c r="A518" s="548"/>
      <c r="B518" s="548"/>
      <c r="C518" s="548"/>
    </row>
    <row r="519" spans="1:3" s="275" customFormat="1">
      <c r="A519" s="548"/>
      <c r="B519" s="548"/>
      <c r="C519" s="548"/>
    </row>
    <row r="520" spans="1:3" s="275" customFormat="1">
      <c r="A520" s="548"/>
      <c r="B520" s="548"/>
      <c r="C520" s="548"/>
    </row>
    <row r="521" spans="1:3" s="275" customFormat="1">
      <c r="A521" s="548"/>
      <c r="B521" s="548"/>
      <c r="C521" s="548"/>
    </row>
    <row r="522" spans="1:3" s="275" customFormat="1">
      <c r="A522" s="548"/>
      <c r="B522" s="548"/>
      <c r="C522" s="548"/>
    </row>
    <row r="523" spans="1:3" s="275" customFormat="1">
      <c r="A523" s="548"/>
      <c r="B523" s="548"/>
      <c r="C523" s="548"/>
    </row>
    <row r="524" spans="1:3" s="275" customFormat="1">
      <c r="A524" s="548"/>
      <c r="B524" s="548"/>
      <c r="C524" s="548"/>
    </row>
    <row r="525" spans="1:3" s="275" customFormat="1">
      <c r="A525" s="548"/>
      <c r="B525" s="548"/>
      <c r="C525" s="548"/>
    </row>
    <row r="526" spans="1:3" s="275" customFormat="1">
      <c r="A526" s="548"/>
      <c r="B526" s="548"/>
      <c r="C526" s="548"/>
    </row>
    <row r="527" spans="1:3" s="275" customFormat="1">
      <c r="A527" s="548"/>
      <c r="B527" s="548"/>
      <c r="C527" s="548"/>
    </row>
    <row r="528" spans="1:3" s="275" customFormat="1">
      <c r="A528" s="548"/>
      <c r="B528" s="548"/>
      <c r="C528" s="548"/>
    </row>
    <row r="529" spans="1:3" s="275" customFormat="1">
      <c r="A529" s="548"/>
      <c r="B529" s="548"/>
      <c r="C529" s="548"/>
    </row>
    <row r="530" spans="1:3" s="275" customFormat="1">
      <c r="A530" s="548"/>
      <c r="B530" s="548"/>
      <c r="C530" s="548"/>
    </row>
    <row r="531" spans="1:3" s="275" customFormat="1">
      <c r="A531" s="548"/>
      <c r="B531" s="548"/>
      <c r="C531" s="548"/>
    </row>
    <row r="532" spans="1:3" s="275" customFormat="1">
      <c r="A532" s="548"/>
      <c r="B532" s="548"/>
      <c r="C532" s="548"/>
    </row>
    <row r="533" spans="1:3" s="275" customFormat="1">
      <c r="A533" s="548"/>
      <c r="B533" s="548"/>
      <c r="C533" s="548"/>
    </row>
    <row r="534" spans="1:3" s="275" customFormat="1">
      <c r="A534" s="548"/>
      <c r="B534" s="548"/>
      <c r="C534" s="548"/>
    </row>
    <row r="535" spans="1:3" s="275" customFormat="1">
      <c r="A535" s="548"/>
      <c r="B535" s="548"/>
      <c r="C535" s="548"/>
    </row>
    <row r="536" spans="1:3" s="275" customFormat="1">
      <c r="A536" s="548"/>
      <c r="B536" s="548"/>
      <c r="C536" s="548"/>
    </row>
    <row r="537" spans="1:3" s="275" customFormat="1">
      <c r="A537" s="548"/>
      <c r="B537" s="548"/>
      <c r="C537" s="548"/>
    </row>
    <row r="538" spans="1:3" s="275" customFormat="1">
      <c r="A538" s="548"/>
      <c r="B538" s="548"/>
      <c r="C538" s="548"/>
    </row>
    <row r="539" spans="1:3" s="275" customFormat="1">
      <c r="A539" s="548"/>
      <c r="B539" s="548"/>
      <c r="C539" s="548"/>
    </row>
    <row r="540" spans="1:3" s="275" customFormat="1">
      <c r="A540" s="548"/>
      <c r="B540" s="548"/>
      <c r="C540" s="548"/>
    </row>
    <row r="541" spans="1:3" s="275" customFormat="1">
      <c r="A541" s="548"/>
      <c r="B541" s="548"/>
      <c r="C541" s="548"/>
    </row>
    <row r="542" spans="1:3" s="275" customFormat="1">
      <c r="A542" s="548"/>
      <c r="B542" s="548"/>
      <c r="C542" s="548"/>
    </row>
    <row r="543" spans="1:3" s="275" customFormat="1">
      <c r="A543" s="548"/>
      <c r="B543" s="548"/>
      <c r="C543" s="548"/>
    </row>
    <row r="544" spans="1:3" s="275" customFormat="1">
      <c r="A544" s="548"/>
      <c r="B544" s="548"/>
      <c r="C544" s="548"/>
    </row>
    <row r="545" spans="1:3" s="275" customFormat="1">
      <c r="A545" s="548"/>
      <c r="B545" s="548"/>
      <c r="C545" s="548"/>
    </row>
    <row r="546" spans="1:3" s="275" customFormat="1">
      <c r="A546" s="548"/>
      <c r="B546" s="548"/>
      <c r="C546" s="548"/>
    </row>
    <row r="547" spans="1:3" s="275" customFormat="1">
      <c r="A547" s="548"/>
      <c r="B547" s="548"/>
      <c r="C547" s="548"/>
    </row>
    <row r="548" spans="1:3" s="275" customFormat="1">
      <c r="A548" s="548"/>
      <c r="B548" s="548"/>
      <c r="C548" s="548"/>
    </row>
    <row r="549" spans="1:3" s="275" customFormat="1">
      <c r="A549" s="548"/>
      <c r="B549" s="548"/>
      <c r="C549" s="548"/>
    </row>
    <row r="550" spans="1:3" s="275" customFormat="1">
      <c r="A550" s="548"/>
      <c r="B550" s="548"/>
      <c r="C550" s="548"/>
    </row>
    <row r="551" spans="1:3" s="275" customFormat="1">
      <c r="A551" s="548"/>
      <c r="B551" s="548"/>
      <c r="C551" s="548"/>
    </row>
    <row r="552" spans="1:3" s="275" customFormat="1">
      <c r="A552" s="548"/>
      <c r="B552" s="548"/>
      <c r="C552" s="548"/>
    </row>
    <row r="553" spans="1:3" s="275" customFormat="1">
      <c r="A553" s="548"/>
      <c r="B553" s="548"/>
      <c r="C553" s="548"/>
    </row>
    <row r="554" spans="1:3" s="275" customFormat="1">
      <c r="A554" s="548"/>
      <c r="B554" s="548"/>
      <c r="C554" s="548"/>
    </row>
    <row r="555" spans="1:3" s="275" customFormat="1">
      <c r="A555" s="548"/>
      <c r="B555" s="548"/>
      <c r="C555" s="548"/>
    </row>
    <row r="556" spans="1:3" s="275" customFormat="1">
      <c r="A556" s="548"/>
      <c r="B556" s="548"/>
      <c r="C556" s="548"/>
    </row>
    <row r="557" spans="1:3" s="275" customFormat="1">
      <c r="A557" s="548"/>
      <c r="B557" s="548"/>
      <c r="C557" s="548"/>
    </row>
    <row r="558" spans="1:3" s="275" customFormat="1">
      <c r="A558" s="548"/>
      <c r="B558" s="548"/>
      <c r="C558" s="548"/>
    </row>
    <row r="559" spans="1:3" s="275" customFormat="1">
      <c r="A559" s="548"/>
      <c r="B559" s="548"/>
      <c r="C559" s="548"/>
    </row>
    <row r="560" spans="1:3" s="275" customFormat="1">
      <c r="A560" s="548"/>
      <c r="B560" s="548"/>
      <c r="C560" s="548"/>
    </row>
    <row r="561" spans="1:3" s="275" customFormat="1">
      <c r="A561" s="548"/>
      <c r="B561" s="548"/>
      <c r="C561" s="548"/>
    </row>
    <row r="562" spans="1:3" s="275" customFormat="1">
      <c r="A562" s="548"/>
      <c r="B562" s="548"/>
      <c r="C562" s="548"/>
    </row>
    <row r="563" spans="1:3" s="275" customFormat="1">
      <c r="A563" s="548"/>
      <c r="B563" s="548"/>
      <c r="C563" s="548"/>
    </row>
    <row r="564" spans="1:3" s="275" customFormat="1">
      <c r="A564" s="548"/>
      <c r="B564" s="548"/>
      <c r="C564" s="548"/>
    </row>
    <row r="565" spans="1:3" s="275" customFormat="1">
      <c r="A565" s="548"/>
      <c r="B565" s="548"/>
      <c r="C565" s="548"/>
    </row>
    <row r="566" spans="1:3" s="275" customFormat="1">
      <c r="A566" s="548"/>
      <c r="B566" s="548"/>
      <c r="C566" s="548"/>
    </row>
    <row r="567" spans="1:3" s="275" customFormat="1">
      <c r="A567" s="548"/>
      <c r="B567" s="548"/>
      <c r="C567" s="548"/>
    </row>
    <row r="568" spans="1:3" s="275" customFormat="1">
      <c r="A568" s="548"/>
      <c r="B568" s="548"/>
      <c r="C568" s="548"/>
    </row>
    <row r="569" spans="1:3" s="275" customFormat="1">
      <c r="A569" s="548"/>
      <c r="B569" s="548"/>
      <c r="C569" s="548"/>
    </row>
    <row r="570" spans="1:3" s="275" customFormat="1">
      <c r="A570" s="548"/>
      <c r="B570" s="548"/>
      <c r="C570" s="548"/>
    </row>
    <row r="571" spans="1:3" s="275" customFormat="1">
      <c r="A571" s="548"/>
      <c r="B571" s="548"/>
      <c r="C571" s="548"/>
    </row>
    <row r="572" spans="1:3" s="275" customFormat="1">
      <c r="A572" s="548"/>
      <c r="B572" s="548"/>
      <c r="C572" s="548"/>
    </row>
    <row r="573" spans="1:3" s="275" customFormat="1">
      <c r="A573" s="548"/>
      <c r="B573" s="548"/>
      <c r="C573" s="548"/>
    </row>
    <row r="574" spans="1:3" s="275" customFormat="1">
      <c r="A574" s="548"/>
      <c r="B574" s="548"/>
      <c r="C574" s="548"/>
    </row>
    <row r="575" spans="1:3" s="275" customFormat="1">
      <c r="A575" s="548"/>
      <c r="B575" s="548"/>
      <c r="C575" s="548"/>
    </row>
    <row r="576" spans="1:3" s="275" customFormat="1">
      <c r="A576" s="548"/>
      <c r="B576" s="548"/>
      <c r="C576" s="548"/>
    </row>
    <row r="577" spans="1:3" s="275" customFormat="1">
      <c r="A577" s="548"/>
      <c r="B577" s="548"/>
      <c r="C577" s="548"/>
    </row>
    <row r="578" spans="1:3" s="275" customFormat="1">
      <c r="A578" s="548"/>
      <c r="B578" s="548"/>
      <c r="C578" s="548"/>
    </row>
    <row r="579" spans="1:3" s="275" customFormat="1">
      <c r="A579" s="548"/>
      <c r="B579" s="548"/>
      <c r="C579" s="548"/>
    </row>
    <row r="580" spans="1:3" s="275" customFormat="1">
      <c r="A580" s="548"/>
      <c r="B580" s="548"/>
      <c r="C580" s="548"/>
    </row>
    <row r="581" spans="1:3" s="275" customFormat="1">
      <c r="A581" s="548"/>
      <c r="B581" s="548"/>
      <c r="C581" s="548"/>
    </row>
    <row r="582" spans="1:3" s="275" customFormat="1">
      <c r="A582" s="548"/>
      <c r="B582" s="548"/>
      <c r="C582" s="548"/>
    </row>
    <row r="583" spans="1:3" s="275" customFormat="1">
      <c r="A583" s="548"/>
      <c r="B583" s="548"/>
      <c r="C583" s="548"/>
    </row>
    <row r="584" spans="1:3" s="275" customFormat="1">
      <c r="A584" s="548"/>
      <c r="B584" s="548"/>
      <c r="C584" s="548"/>
    </row>
    <row r="585" spans="1:3" s="275" customFormat="1">
      <c r="A585" s="548"/>
      <c r="B585" s="548"/>
      <c r="C585" s="548"/>
    </row>
    <row r="586" spans="1:3" s="275" customFormat="1">
      <c r="A586" s="548"/>
      <c r="B586" s="548"/>
      <c r="C586" s="548"/>
    </row>
    <row r="587" spans="1:3" s="275" customFormat="1">
      <c r="A587" s="548"/>
      <c r="B587" s="548"/>
      <c r="C587" s="548"/>
    </row>
    <row r="588" spans="1:3" s="275" customFormat="1">
      <c r="A588" s="548"/>
      <c r="B588" s="548"/>
      <c r="C588" s="548"/>
    </row>
    <row r="589" spans="1:3" s="275" customFormat="1">
      <c r="A589" s="548"/>
      <c r="B589" s="548"/>
      <c r="C589" s="548"/>
    </row>
    <row r="590" spans="1:3" s="275" customFormat="1">
      <c r="A590" s="548"/>
      <c r="B590" s="548"/>
      <c r="C590" s="548"/>
    </row>
    <row r="591" spans="1:3" s="275" customFormat="1">
      <c r="A591" s="548"/>
      <c r="B591" s="548"/>
      <c r="C591" s="548"/>
    </row>
    <row r="592" spans="1:3" s="275" customFormat="1">
      <c r="A592" s="548"/>
      <c r="B592" s="548"/>
      <c r="C592" s="548"/>
    </row>
    <row r="593" spans="1:3" s="275" customFormat="1">
      <c r="A593" s="548"/>
      <c r="B593" s="548"/>
      <c r="C593" s="548"/>
    </row>
    <row r="594" spans="1:3" s="275" customFormat="1">
      <c r="A594" s="548"/>
      <c r="B594" s="548"/>
      <c r="C594" s="548"/>
    </row>
    <row r="595" spans="1:3" s="275" customFormat="1">
      <c r="A595" s="548"/>
      <c r="B595" s="548"/>
      <c r="C595" s="548"/>
    </row>
    <row r="596" spans="1:3" s="275" customFormat="1">
      <c r="A596" s="548"/>
      <c r="B596" s="548"/>
      <c r="C596" s="548"/>
    </row>
    <row r="597" spans="1:3" s="275" customFormat="1">
      <c r="A597" s="548"/>
      <c r="B597" s="548"/>
      <c r="C597" s="548"/>
    </row>
    <row r="598" spans="1:3" s="275" customFormat="1">
      <c r="A598" s="548"/>
      <c r="B598" s="548"/>
      <c r="C598" s="548"/>
    </row>
    <row r="599" spans="1:3" s="275" customFormat="1">
      <c r="A599" s="548"/>
      <c r="B599" s="548"/>
      <c r="C599" s="548"/>
    </row>
    <row r="600" spans="1:3" s="275" customFormat="1">
      <c r="A600" s="548"/>
      <c r="B600" s="548"/>
      <c r="C600" s="548"/>
    </row>
    <row r="601" spans="1:3" s="275" customFormat="1">
      <c r="A601" s="548"/>
      <c r="B601" s="548"/>
      <c r="C601" s="548"/>
    </row>
    <row r="602" spans="1:3" s="275" customFormat="1">
      <c r="A602" s="548"/>
      <c r="B602" s="548"/>
      <c r="C602" s="548"/>
    </row>
    <row r="603" spans="1:3" s="275" customFormat="1">
      <c r="A603" s="548"/>
      <c r="B603" s="548"/>
      <c r="C603" s="548"/>
    </row>
    <row r="604" spans="1:3" s="275" customFormat="1">
      <c r="A604" s="548"/>
      <c r="B604" s="548"/>
      <c r="C604" s="548"/>
    </row>
    <row r="605" spans="1:3" s="275" customFormat="1">
      <c r="A605" s="548"/>
      <c r="B605" s="548"/>
      <c r="C605" s="548"/>
    </row>
    <row r="606" spans="1:3" s="275" customFormat="1">
      <c r="A606" s="548"/>
      <c r="B606" s="548"/>
      <c r="C606" s="548"/>
    </row>
    <row r="607" spans="1:3" s="275" customFormat="1">
      <c r="A607" s="548"/>
      <c r="B607" s="548"/>
      <c r="C607" s="548"/>
    </row>
    <row r="608" spans="1:3" s="275" customFormat="1">
      <c r="A608" s="548"/>
      <c r="B608" s="548"/>
      <c r="C608" s="548"/>
    </row>
    <row r="609" spans="1:3" s="275" customFormat="1">
      <c r="A609" s="548"/>
      <c r="B609" s="548"/>
      <c r="C609" s="548"/>
    </row>
    <row r="610" spans="1:3" s="275" customFormat="1">
      <c r="A610" s="548"/>
      <c r="B610" s="548"/>
      <c r="C610" s="548"/>
    </row>
    <row r="611" spans="1:3" s="275" customFormat="1">
      <c r="A611" s="548"/>
      <c r="B611" s="548"/>
      <c r="C611" s="548"/>
    </row>
    <row r="612" spans="1:3" s="275" customFormat="1">
      <c r="A612" s="548"/>
      <c r="B612" s="548"/>
      <c r="C612" s="548"/>
    </row>
    <row r="613" spans="1:3" s="275" customFormat="1">
      <c r="A613" s="548"/>
      <c r="B613" s="548"/>
      <c r="C613" s="548"/>
    </row>
    <row r="614" spans="1:3" s="275" customFormat="1">
      <c r="A614" s="548"/>
      <c r="B614" s="548"/>
      <c r="C614" s="548"/>
    </row>
    <row r="615" spans="1:3" s="275" customFormat="1">
      <c r="A615" s="548"/>
      <c r="B615" s="548"/>
      <c r="C615" s="548"/>
    </row>
    <row r="616" spans="1:3" s="275" customFormat="1">
      <c r="A616" s="548"/>
      <c r="B616" s="548"/>
      <c r="C616" s="548"/>
    </row>
    <row r="617" spans="1:3" s="275" customFormat="1">
      <c r="A617" s="548"/>
      <c r="B617" s="548"/>
      <c r="C617" s="548"/>
    </row>
    <row r="618" spans="1:3" s="275" customFormat="1">
      <c r="A618" s="548"/>
      <c r="B618" s="548"/>
      <c r="C618" s="548"/>
    </row>
    <row r="619" spans="1:3" s="275" customFormat="1">
      <c r="A619" s="548"/>
      <c r="B619" s="548"/>
      <c r="C619" s="548"/>
    </row>
    <row r="620" spans="1:3" s="275" customFormat="1">
      <c r="A620" s="548"/>
      <c r="B620" s="548"/>
      <c r="C620" s="548"/>
    </row>
    <row r="621" spans="1:3" s="275" customFormat="1">
      <c r="A621" s="548"/>
      <c r="B621" s="548"/>
      <c r="C621" s="548"/>
    </row>
    <row r="622" spans="1:3" s="275" customFormat="1">
      <c r="A622" s="548"/>
      <c r="B622" s="548"/>
      <c r="C622" s="548"/>
    </row>
    <row r="623" spans="1:3" s="275" customFormat="1">
      <c r="A623" s="548"/>
      <c r="B623" s="548"/>
      <c r="C623" s="548"/>
    </row>
    <row r="624" spans="1:3" s="275" customFormat="1">
      <c r="A624" s="548"/>
      <c r="B624" s="548"/>
      <c r="C624" s="548"/>
    </row>
    <row r="625" spans="1:3" s="275" customFormat="1">
      <c r="A625" s="548"/>
      <c r="B625" s="548"/>
      <c r="C625" s="548"/>
    </row>
    <row r="626" spans="1:3" s="275" customFormat="1">
      <c r="A626" s="548"/>
      <c r="B626" s="548"/>
      <c r="C626" s="548"/>
    </row>
    <row r="627" spans="1:3" s="275" customFormat="1">
      <c r="A627" s="548"/>
      <c r="B627" s="548"/>
      <c r="C627" s="548"/>
    </row>
    <row r="628" spans="1:3" s="275" customFormat="1">
      <c r="A628" s="548"/>
      <c r="B628" s="548"/>
      <c r="C628" s="548"/>
    </row>
    <row r="629" spans="1:3" s="275" customFormat="1">
      <c r="A629" s="548"/>
      <c r="B629" s="548"/>
      <c r="C629" s="548"/>
    </row>
    <row r="630" spans="1:3" s="275" customFormat="1">
      <c r="A630" s="548"/>
      <c r="B630" s="548"/>
      <c r="C630" s="548"/>
    </row>
    <row r="631" spans="1:3" s="275" customFormat="1">
      <c r="A631" s="548"/>
      <c r="B631" s="548"/>
      <c r="C631" s="548"/>
    </row>
    <row r="632" spans="1:3" s="275" customFormat="1">
      <c r="A632" s="548"/>
      <c r="B632" s="548"/>
      <c r="C632" s="548"/>
    </row>
    <row r="633" spans="1:3" s="275" customFormat="1">
      <c r="A633" s="548"/>
      <c r="B633" s="548"/>
      <c r="C633" s="548"/>
    </row>
    <row r="634" spans="1:3" s="275" customFormat="1">
      <c r="A634" s="548"/>
      <c r="B634" s="548"/>
      <c r="C634" s="548"/>
    </row>
    <row r="635" spans="1:3" s="275" customFormat="1">
      <c r="A635" s="548"/>
      <c r="B635" s="548"/>
      <c r="C635" s="548"/>
    </row>
    <row r="636" spans="1:3" s="275" customFormat="1">
      <c r="A636" s="548"/>
      <c r="B636" s="548"/>
      <c r="C636" s="548"/>
    </row>
    <row r="637" spans="1:3" s="275" customFormat="1">
      <c r="A637" s="548"/>
      <c r="B637" s="548"/>
      <c r="C637" s="548"/>
    </row>
    <row r="638" spans="1:3" s="275" customFormat="1">
      <c r="A638" s="548"/>
      <c r="B638" s="548"/>
      <c r="C638" s="548"/>
    </row>
    <row r="639" spans="1:3" s="275" customFormat="1">
      <c r="A639" s="548"/>
      <c r="B639" s="548"/>
      <c r="C639" s="548"/>
    </row>
    <row r="640" spans="1:3" s="275" customFormat="1">
      <c r="A640" s="548"/>
      <c r="B640" s="548"/>
      <c r="C640" s="548"/>
    </row>
    <row r="641" spans="1:3" s="275" customFormat="1">
      <c r="A641" s="548"/>
      <c r="B641" s="548"/>
      <c r="C641" s="548"/>
    </row>
    <row r="642" spans="1:3" s="275" customFormat="1">
      <c r="A642" s="548"/>
      <c r="B642" s="548"/>
      <c r="C642" s="548"/>
    </row>
    <row r="643" spans="1:3" s="275" customFormat="1">
      <c r="A643" s="548"/>
      <c r="B643" s="548"/>
      <c r="C643" s="548"/>
    </row>
    <row r="644" spans="1:3" s="275" customFormat="1">
      <c r="A644" s="548"/>
      <c r="B644" s="548"/>
      <c r="C644" s="548"/>
    </row>
    <row r="645" spans="1:3" s="275" customFormat="1">
      <c r="A645" s="548"/>
      <c r="B645" s="548"/>
      <c r="C645" s="548"/>
    </row>
    <row r="646" spans="1:3" s="275" customFormat="1">
      <c r="A646" s="548"/>
      <c r="B646" s="548"/>
      <c r="C646" s="548"/>
    </row>
    <row r="647" spans="1:3" s="275" customFormat="1">
      <c r="A647" s="548"/>
      <c r="B647" s="548"/>
      <c r="C647" s="548"/>
    </row>
    <row r="648" spans="1:3" s="275" customFormat="1">
      <c r="A648" s="548"/>
      <c r="B648" s="548"/>
      <c r="C648" s="548"/>
    </row>
    <row r="649" spans="1:3" s="275" customFormat="1">
      <c r="A649" s="548"/>
      <c r="B649" s="548"/>
      <c r="C649" s="548"/>
    </row>
    <row r="650" spans="1:3" s="275" customFormat="1">
      <c r="A650" s="548"/>
      <c r="B650" s="548"/>
      <c r="C650" s="548"/>
    </row>
    <row r="651" spans="1:3" s="275" customFormat="1">
      <c r="A651" s="548"/>
      <c r="B651" s="548"/>
      <c r="C651" s="548"/>
    </row>
    <row r="652" spans="1:3" s="275" customFormat="1">
      <c r="A652" s="548"/>
      <c r="B652" s="548"/>
      <c r="C652" s="548"/>
    </row>
    <row r="653" spans="1:3" s="275" customFormat="1">
      <c r="A653" s="548"/>
      <c r="B653" s="548"/>
      <c r="C653" s="548"/>
    </row>
    <row r="654" spans="1:3" s="275" customFormat="1">
      <c r="A654" s="548"/>
      <c r="B654" s="548"/>
      <c r="C654" s="548"/>
    </row>
    <row r="655" spans="1:3" s="275" customFormat="1">
      <c r="A655" s="548"/>
      <c r="B655" s="548"/>
      <c r="C655" s="548"/>
    </row>
    <row r="656" spans="1:3" s="275" customFormat="1">
      <c r="A656" s="548"/>
      <c r="B656" s="548"/>
      <c r="C656" s="548"/>
    </row>
    <row r="657" spans="1:3" s="275" customFormat="1">
      <c r="A657" s="548"/>
      <c r="B657" s="548"/>
      <c r="C657" s="548"/>
    </row>
    <row r="658" spans="1:3" s="275" customFormat="1">
      <c r="A658" s="548"/>
      <c r="B658" s="548"/>
      <c r="C658" s="548"/>
    </row>
    <row r="659" spans="1:3" s="275" customFormat="1">
      <c r="A659" s="548"/>
      <c r="B659" s="548"/>
      <c r="C659" s="548"/>
    </row>
    <row r="660" spans="1:3" s="275" customFormat="1">
      <c r="A660" s="548"/>
      <c r="B660" s="548"/>
      <c r="C660" s="548"/>
    </row>
    <row r="661" spans="1:3" s="275" customFormat="1">
      <c r="A661" s="548"/>
      <c r="B661" s="548"/>
      <c r="C661" s="548"/>
    </row>
    <row r="662" spans="1:3" s="275" customFormat="1">
      <c r="A662" s="548"/>
      <c r="B662" s="548"/>
      <c r="C662" s="548"/>
    </row>
    <row r="663" spans="1:3" s="275" customFormat="1">
      <c r="A663" s="548"/>
      <c r="B663" s="548"/>
      <c r="C663" s="548"/>
    </row>
    <row r="664" spans="1:3" s="275" customFormat="1">
      <c r="A664" s="548"/>
      <c r="B664" s="548"/>
      <c r="C664" s="548"/>
    </row>
    <row r="665" spans="1:3" s="275" customFormat="1">
      <c r="A665" s="548"/>
      <c r="B665" s="548"/>
      <c r="C665" s="548"/>
    </row>
    <row r="666" spans="1:3" s="275" customFormat="1">
      <c r="A666" s="548"/>
      <c r="B666" s="548"/>
      <c r="C666" s="548"/>
    </row>
    <row r="667" spans="1:3" s="275" customFormat="1">
      <c r="A667" s="548"/>
      <c r="B667" s="548"/>
      <c r="C667" s="548"/>
    </row>
    <row r="668" spans="1:3" s="275" customFormat="1">
      <c r="A668" s="548"/>
      <c r="B668" s="548"/>
      <c r="C668" s="548"/>
    </row>
    <row r="669" spans="1:3" s="275" customFormat="1">
      <c r="A669" s="548"/>
      <c r="B669" s="548"/>
      <c r="C669" s="548"/>
    </row>
    <row r="670" spans="1:3" s="275" customFormat="1">
      <c r="A670" s="548"/>
      <c r="B670" s="548"/>
      <c r="C670" s="548"/>
    </row>
    <row r="671" spans="1:3" s="275" customFormat="1">
      <c r="A671" s="548"/>
      <c r="B671" s="548"/>
      <c r="C671" s="548"/>
    </row>
    <row r="672" spans="1:3" s="275" customFormat="1">
      <c r="A672" s="548"/>
      <c r="B672" s="548"/>
      <c r="C672" s="548"/>
    </row>
    <row r="673" spans="1:3" s="275" customFormat="1">
      <c r="A673" s="548"/>
      <c r="B673" s="548"/>
      <c r="C673" s="548"/>
    </row>
    <row r="674" spans="1:3" s="275" customFormat="1">
      <c r="A674" s="548"/>
      <c r="B674" s="548"/>
      <c r="C674" s="548"/>
    </row>
    <row r="675" spans="1:3" s="275" customFormat="1">
      <c r="A675" s="548"/>
      <c r="B675" s="548"/>
      <c r="C675" s="548"/>
    </row>
    <row r="676" spans="1:3" s="275" customFormat="1">
      <c r="A676" s="548"/>
      <c r="B676" s="548"/>
      <c r="C676" s="548"/>
    </row>
    <row r="677" spans="1:3" s="275" customFormat="1">
      <c r="A677" s="548"/>
      <c r="B677" s="548"/>
      <c r="C677" s="548"/>
    </row>
    <row r="678" spans="1:3" s="275" customFormat="1">
      <c r="A678" s="548"/>
      <c r="B678" s="548"/>
      <c r="C678" s="548"/>
    </row>
    <row r="679" spans="1:3" s="275" customFormat="1">
      <c r="A679" s="548"/>
      <c r="B679" s="548"/>
      <c r="C679" s="548"/>
    </row>
    <row r="680" spans="1:3" s="275" customFormat="1">
      <c r="A680" s="548"/>
      <c r="B680" s="548"/>
      <c r="C680" s="548"/>
    </row>
    <row r="681" spans="1:3" s="275" customFormat="1">
      <c r="A681" s="548"/>
      <c r="B681" s="548"/>
      <c r="C681" s="548"/>
    </row>
    <row r="682" spans="1:3" s="275" customFormat="1">
      <c r="A682" s="548"/>
      <c r="B682" s="548"/>
      <c r="C682" s="548"/>
    </row>
    <row r="683" spans="1:3" s="275" customFormat="1">
      <c r="A683" s="548"/>
      <c r="B683" s="548"/>
      <c r="C683" s="548"/>
    </row>
    <row r="684" spans="1:3" s="275" customFormat="1">
      <c r="A684" s="548"/>
      <c r="B684" s="548"/>
      <c r="C684" s="548"/>
    </row>
    <row r="685" spans="1:3" s="275" customFormat="1">
      <c r="A685" s="548"/>
      <c r="B685" s="548"/>
      <c r="C685" s="548"/>
    </row>
    <row r="686" spans="1:3" s="275" customFormat="1">
      <c r="A686" s="548"/>
      <c r="B686" s="548"/>
      <c r="C686" s="548"/>
    </row>
    <row r="687" spans="1:3" s="275" customFormat="1">
      <c r="A687" s="548"/>
      <c r="B687" s="548"/>
      <c r="C687" s="548"/>
    </row>
    <row r="688" spans="1:3" s="275" customFormat="1">
      <c r="A688" s="548"/>
      <c r="B688" s="548"/>
      <c r="C688" s="548"/>
    </row>
    <row r="689" spans="1:3" s="275" customFormat="1">
      <c r="A689" s="548"/>
      <c r="B689" s="548"/>
      <c r="C689" s="548"/>
    </row>
    <row r="690" spans="1:3" s="275" customFormat="1">
      <c r="A690" s="548"/>
      <c r="B690" s="548"/>
      <c r="C690" s="548"/>
    </row>
    <row r="691" spans="1:3" s="275" customFormat="1">
      <c r="A691" s="548"/>
      <c r="B691" s="548"/>
      <c r="C691" s="548"/>
    </row>
    <row r="692" spans="1:3" s="275" customFormat="1">
      <c r="A692" s="548"/>
      <c r="B692" s="548"/>
      <c r="C692" s="548"/>
    </row>
    <row r="693" spans="1:3" s="275" customFormat="1">
      <c r="A693" s="548"/>
      <c r="B693" s="548"/>
      <c r="C693" s="548"/>
    </row>
    <row r="694" spans="1:3" s="275" customFormat="1">
      <c r="A694" s="548"/>
      <c r="B694" s="548"/>
      <c r="C694" s="548"/>
    </row>
    <row r="695" spans="1:3" s="275" customFormat="1">
      <c r="A695" s="548"/>
      <c r="B695" s="548"/>
      <c r="C695" s="548"/>
    </row>
    <row r="696" spans="1:3" s="275" customFormat="1">
      <c r="A696" s="548"/>
      <c r="B696" s="548"/>
      <c r="C696" s="548"/>
    </row>
    <row r="697" spans="1:3" s="275" customFormat="1">
      <c r="A697" s="548"/>
      <c r="B697" s="548"/>
      <c r="C697" s="548"/>
    </row>
    <row r="698" spans="1:3" s="275" customFormat="1">
      <c r="A698" s="548"/>
      <c r="B698" s="548"/>
      <c r="C698" s="548"/>
    </row>
    <row r="699" spans="1:3" s="275" customFormat="1">
      <c r="A699" s="548"/>
      <c r="B699" s="548"/>
      <c r="C699" s="548"/>
    </row>
    <row r="700" spans="1:3" s="275" customFormat="1">
      <c r="A700" s="548"/>
      <c r="B700" s="548"/>
      <c r="C700" s="548"/>
    </row>
    <row r="701" spans="1:3" s="275" customFormat="1">
      <c r="A701" s="548"/>
      <c r="B701" s="548"/>
      <c r="C701" s="548"/>
    </row>
    <row r="702" spans="1:3" s="275" customFormat="1">
      <c r="A702" s="548"/>
      <c r="B702" s="548"/>
      <c r="C702" s="548"/>
    </row>
    <row r="703" spans="1:3" s="275" customFormat="1">
      <c r="A703" s="548"/>
      <c r="B703" s="548"/>
      <c r="C703" s="548"/>
    </row>
    <row r="704" spans="1:3" s="275" customFormat="1">
      <c r="A704" s="548"/>
      <c r="B704" s="548"/>
      <c r="C704" s="548"/>
    </row>
    <row r="705" spans="1:3" s="275" customFormat="1">
      <c r="A705" s="548"/>
      <c r="B705" s="548"/>
      <c r="C705" s="548"/>
    </row>
    <row r="706" spans="1:3" s="275" customFormat="1">
      <c r="A706" s="548"/>
      <c r="B706" s="548"/>
      <c r="C706" s="548"/>
    </row>
    <row r="707" spans="1:3" s="275" customFormat="1">
      <c r="A707" s="548"/>
      <c r="B707" s="548"/>
      <c r="C707" s="548"/>
    </row>
    <row r="708" spans="1:3" s="275" customFormat="1">
      <c r="A708" s="548"/>
      <c r="B708" s="548"/>
      <c r="C708" s="548"/>
    </row>
    <row r="709" spans="1:3" s="275" customFormat="1">
      <c r="A709" s="548"/>
      <c r="B709" s="548"/>
      <c r="C709" s="548"/>
    </row>
    <row r="710" spans="1:3" s="275" customFormat="1">
      <c r="A710" s="548"/>
      <c r="B710" s="548"/>
      <c r="C710" s="548"/>
    </row>
    <row r="711" spans="1:3" s="275" customFormat="1">
      <c r="A711" s="548"/>
      <c r="B711" s="548"/>
      <c r="C711" s="548"/>
    </row>
    <row r="712" spans="1:3" s="275" customFormat="1">
      <c r="A712" s="548"/>
      <c r="B712" s="548"/>
      <c r="C712" s="548"/>
    </row>
    <row r="713" spans="1:3" s="275" customFormat="1">
      <c r="A713" s="548"/>
      <c r="B713" s="548"/>
      <c r="C713" s="548"/>
    </row>
    <row r="714" spans="1:3" s="275" customFormat="1">
      <c r="A714" s="548"/>
      <c r="B714" s="548"/>
      <c r="C714" s="548"/>
    </row>
    <row r="715" spans="1:3" s="275" customFormat="1">
      <c r="A715" s="548"/>
      <c r="B715" s="548"/>
      <c r="C715" s="548"/>
    </row>
    <row r="716" spans="1:3" s="275" customFormat="1">
      <c r="A716" s="548"/>
      <c r="B716" s="548"/>
      <c r="C716" s="548"/>
    </row>
    <row r="717" spans="1:3" s="275" customFormat="1">
      <c r="A717" s="548"/>
      <c r="B717" s="548"/>
      <c r="C717" s="548"/>
    </row>
    <row r="718" spans="1:3" s="275" customFormat="1">
      <c r="A718" s="548"/>
      <c r="B718" s="548"/>
      <c r="C718" s="548"/>
    </row>
    <row r="719" spans="1:3" s="275" customFormat="1">
      <c r="A719" s="548"/>
      <c r="B719" s="548"/>
      <c r="C719" s="548"/>
    </row>
    <row r="720" spans="1:3" s="275" customFormat="1">
      <c r="A720" s="548"/>
      <c r="B720" s="548"/>
      <c r="C720" s="548"/>
    </row>
    <row r="721" spans="1:3" s="275" customFormat="1">
      <c r="A721" s="548"/>
      <c r="B721" s="548"/>
      <c r="C721" s="548"/>
    </row>
    <row r="722" spans="1:3" s="275" customFormat="1">
      <c r="A722" s="548"/>
      <c r="B722" s="548"/>
      <c r="C722" s="548"/>
    </row>
    <row r="723" spans="1:3" s="275" customFormat="1">
      <c r="A723" s="548"/>
      <c r="B723" s="548"/>
      <c r="C723" s="548"/>
    </row>
    <row r="724" spans="1:3" s="275" customFormat="1">
      <c r="A724" s="548"/>
      <c r="B724" s="548"/>
      <c r="C724" s="548"/>
    </row>
    <row r="725" spans="1:3" s="275" customFormat="1">
      <c r="A725" s="548"/>
      <c r="B725" s="548"/>
      <c r="C725" s="548"/>
    </row>
    <row r="726" spans="1:3" s="275" customFormat="1">
      <c r="A726" s="548"/>
      <c r="B726" s="548"/>
      <c r="C726" s="548"/>
    </row>
    <row r="727" spans="1:3" s="275" customFormat="1">
      <c r="A727" s="548"/>
      <c r="B727" s="548"/>
      <c r="C727" s="548"/>
    </row>
    <row r="728" spans="1:3" s="275" customFormat="1">
      <c r="A728" s="548"/>
      <c r="B728" s="548"/>
      <c r="C728" s="548"/>
    </row>
    <row r="729" spans="1:3" s="275" customFormat="1">
      <c r="A729" s="548"/>
      <c r="B729" s="548"/>
      <c r="C729" s="548"/>
    </row>
    <row r="730" spans="1:3" s="275" customFormat="1">
      <c r="A730" s="548"/>
      <c r="B730" s="548"/>
      <c r="C730" s="548"/>
    </row>
    <row r="731" spans="1:3" s="275" customFormat="1">
      <c r="A731" s="548"/>
      <c r="B731" s="548"/>
      <c r="C731" s="548"/>
    </row>
    <row r="732" spans="1:3" s="275" customFormat="1">
      <c r="A732" s="548"/>
      <c r="B732" s="548"/>
      <c r="C732" s="548"/>
    </row>
    <row r="733" spans="1:3" s="275" customFormat="1">
      <c r="A733" s="548"/>
      <c r="B733" s="548"/>
      <c r="C733" s="548"/>
    </row>
    <row r="734" spans="1:3" s="275" customFormat="1">
      <c r="A734" s="548"/>
      <c r="B734" s="548"/>
      <c r="C734" s="548"/>
    </row>
    <row r="735" spans="1:3" s="275" customFormat="1">
      <c r="A735" s="548"/>
      <c r="B735" s="548"/>
      <c r="C735" s="548"/>
    </row>
    <row r="736" spans="1:3" s="275" customFormat="1">
      <c r="A736" s="548"/>
      <c r="B736" s="548"/>
      <c r="C736" s="548"/>
    </row>
    <row r="737" spans="1:3" s="275" customFormat="1">
      <c r="A737" s="548"/>
      <c r="B737" s="548"/>
      <c r="C737" s="548"/>
    </row>
    <row r="738" spans="1:3" s="275" customFormat="1">
      <c r="A738" s="548"/>
      <c r="B738" s="548"/>
      <c r="C738" s="548"/>
    </row>
    <row r="739" spans="1:3" s="275" customFormat="1">
      <c r="A739" s="548"/>
      <c r="B739" s="548"/>
      <c r="C739" s="548"/>
    </row>
    <row r="740" spans="1:3" s="275" customFormat="1">
      <c r="A740" s="548"/>
      <c r="B740" s="548"/>
      <c r="C740" s="548"/>
    </row>
    <row r="741" spans="1:3" s="275" customFormat="1">
      <c r="A741" s="548"/>
      <c r="B741" s="548"/>
      <c r="C741" s="548"/>
    </row>
    <row r="742" spans="1:3" s="275" customFormat="1">
      <c r="A742" s="548"/>
      <c r="B742" s="548"/>
      <c r="C742" s="548"/>
    </row>
    <row r="743" spans="1:3" s="275" customFormat="1">
      <c r="A743" s="548"/>
      <c r="B743" s="548"/>
      <c r="C743" s="548"/>
    </row>
    <row r="744" spans="1:3" s="275" customFormat="1">
      <c r="A744" s="548"/>
      <c r="B744" s="548"/>
      <c r="C744" s="548"/>
    </row>
    <row r="745" spans="1:3" s="275" customFormat="1">
      <c r="A745" s="548"/>
      <c r="B745" s="548"/>
      <c r="C745" s="548"/>
    </row>
    <row r="746" spans="1:3" s="275" customFormat="1">
      <c r="A746" s="548"/>
      <c r="B746" s="548"/>
      <c r="C746" s="548"/>
    </row>
    <row r="747" spans="1:3" s="275" customFormat="1">
      <c r="A747" s="548"/>
      <c r="B747" s="548"/>
      <c r="C747" s="548"/>
    </row>
    <row r="748" spans="1:3" s="275" customFormat="1">
      <c r="A748" s="548"/>
      <c r="B748" s="548"/>
      <c r="C748" s="548"/>
    </row>
    <row r="749" spans="1:3" s="275" customFormat="1">
      <c r="A749" s="548"/>
      <c r="B749" s="548"/>
      <c r="C749" s="548"/>
    </row>
    <row r="750" spans="1:3" s="275" customFormat="1">
      <c r="A750" s="548"/>
      <c r="B750" s="548"/>
      <c r="C750" s="548"/>
    </row>
    <row r="751" spans="1:3" s="275" customFormat="1">
      <c r="A751" s="548"/>
      <c r="B751" s="548"/>
      <c r="C751" s="548"/>
    </row>
    <row r="752" spans="1:3" s="275" customFormat="1">
      <c r="A752" s="548"/>
      <c r="B752" s="548"/>
      <c r="C752" s="548"/>
    </row>
    <row r="753" spans="1:3" s="275" customFormat="1">
      <c r="A753" s="548"/>
      <c r="B753" s="548"/>
      <c r="C753" s="548"/>
    </row>
    <row r="754" spans="1:3" s="275" customFormat="1">
      <c r="A754" s="548"/>
      <c r="B754" s="548"/>
      <c r="C754" s="548"/>
    </row>
    <row r="755" spans="1:3" s="275" customFormat="1">
      <c r="A755" s="548"/>
      <c r="B755" s="548"/>
      <c r="C755" s="548"/>
    </row>
    <row r="756" spans="1:3" s="275" customFormat="1">
      <c r="A756" s="548"/>
      <c r="B756" s="548"/>
      <c r="C756" s="548"/>
    </row>
    <row r="757" spans="1:3" s="275" customFormat="1">
      <c r="A757" s="548"/>
      <c r="B757" s="548"/>
      <c r="C757" s="548"/>
    </row>
    <row r="758" spans="1:3" s="275" customFormat="1">
      <c r="A758" s="548"/>
      <c r="B758" s="548"/>
      <c r="C758" s="548"/>
    </row>
    <row r="759" spans="1:3" s="275" customFormat="1">
      <c r="A759" s="548"/>
      <c r="B759" s="548"/>
      <c r="C759" s="548"/>
    </row>
    <row r="760" spans="1:3" s="275" customFormat="1">
      <c r="A760" s="548"/>
      <c r="B760" s="548"/>
      <c r="C760" s="548"/>
    </row>
    <row r="761" spans="1:3" s="275" customFormat="1">
      <c r="A761" s="548"/>
      <c r="B761" s="548"/>
      <c r="C761" s="548"/>
    </row>
    <row r="762" spans="1:3" s="275" customFormat="1">
      <c r="A762" s="548"/>
      <c r="B762" s="548"/>
      <c r="C762" s="548"/>
    </row>
    <row r="763" spans="1:3" s="275" customFormat="1">
      <c r="A763" s="548"/>
      <c r="B763" s="548"/>
      <c r="C763" s="548"/>
    </row>
    <row r="764" spans="1:3" s="275" customFormat="1">
      <c r="A764" s="548"/>
      <c r="B764" s="548"/>
      <c r="C764" s="548"/>
    </row>
    <row r="765" spans="1:3" s="275" customFormat="1">
      <c r="A765" s="548"/>
      <c r="B765" s="548"/>
      <c r="C765" s="548"/>
    </row>
    <row r="766" spans="1:3" s="275" customFormat="1">
      <c r="A766" s="548"/>
      <c r="B766" s="548"/>
      <c r="C766" s="548"/>
    </row>
    <row r="767" spans="1:3" s="275" customFormat="1">
      <c r="A767" s="548"/>
      <c r="B767" s="548"/>
      <c r="C767" s="548"/>
    </row>
    <row r="768" spans="1:3" s="275" customFormat="1">
      <c r="A768" s="548"/>
      <c r="B768" s="548"/>
      <c r="C768" s="548"/>
    </row>
    <row r="769" spans="1:20" s="275" customFormat="1">
      <c r="A769" s="548"/>
      <c r="B769" s="548"/>
      <c r="C769" s="548"/>
    </row>
    <row r="770" spans="1:20" s="275" customFormat="1">
      <c r="A770" s="548"/>
      <c r="B770" s="548"/>
      <c r="C770" s="548"/>
    </row>
    <row r="771" spans="1:20" s="275" customFormat="1">
      <c r="A771" s="548"/>
      <c r="B771" s="548"/>
      <c r="C771" s="548"/>
    </row>
    <row r="772" spans="1:20" s="275" customFormat="1">
      <c r="A772" s="548"/>
      <c r="B772" s="548"/>
      <c r="C772" s="548"/>
    </row>
    <row r="773" spans="1:20" s="275" customFormat="1">
      <c r="A773" s="548"/>
      <c r="B773" s="548"/>
      <c r="C773" s="548"/>
    </row>
    <row r="774" spans="1:20" s="275" customFormat="1">
      <c r="A774" s="548"/>
      <c r="B774" s="548"/>
      <c r="C774" s="548"/>
    </row>
    <row r="775" spans="1:20" s="275" customFormat="1">
      <c r="A775" s="548"/>
      <c r="B775" s="548"/>
      <c r="C775" s="548"/>
    </row>
    <row r="776" spans="1:20" s="275" customFormat="1">
      <c r="A776" s="548"/>
      <c r="B776" s="548"/>
      <c r="C776" s="548"/>
    </row>
    <row r="777" spans="1:20" s="275" customFormat="1">
      <c r="A777" s="548"/>
      <c r="B777" s="548"/>
      <c r="C777" s="548"/>
    </row>
    <row r="778" spans="1:20" s="275" customFormat="1">
      <c r="A778" s="548"/>
      <c r="B778" s="548"/>
      <c r="C778" s="548"/>
    </row>
    <row r="779" spans="1:20" s="275" customFormat="1">
      <c r="A779" s="548"/>
      <c r="B779" s="548"/>
      <c r="C779" s="548"/>
    </row>
    <row r="780" spans="1:20" s="275" customFormat="1">
      <c r="A780" s="548"/>
      <c r="B780" s="548"/>
      <c r="C780" s="548"/>
    </row>
    <row r="781" spans="1:20" s="275" customFormat="1">
      <c r="A781" s="548"/>
      <c r="B781" s="548"/>
      <c r="C781" s="548"/>
    </row>
    <row r="782" spans="1:20" s="275" customFormat="1">
      <c r="A782" s="548"/>
      <c r="B782" s="548"/>
      <c r="C782" s="548"/>
    </row>
    <row r="783" spans="1:20" s="275" customFormat="1">
      <c r="A783" s="548"/>
      <c r="B783" s="548"/>
      <c r="C783" s="548"/>
    </row>
    <row r="784" spans="1:20" s="275" customFormat="1">
      <c r="A784" s="548"/>
      <c r="B784" s="548"/>
      <c r="C784" s="548"/>
      <c r="R784" s="277"/>
      <c r="S784" s="277"/>
      <c r="T784" s="277"/>
    </row>
  </sheetData>
  <mergeCells count="3">
    <mergeCell ref="H5:M5"/>
    <mergeCell ref="N5:O5"/>
    <mergeCell ref="B8:C8"/>
  </mergeCells>
  <hyperlinks>
    <hyperlink ref="L1" location="Index!A1" display="Return to Index" xr:uid="{00000000-0004-0000-0D00-000000000000}"/>
  </hyperlinks>
  <printOptions horizontalCentered="1"/>
  <pageMargins left="0.25" right="0.25" top="0.5" bottom="0.5" header="0.5" footer="0.5"/>
  <pageSetup scale="80" orientation="landscape" horizontalDpi="1200" verticalDpi="1200" r:id="rId1"/>
  <headerFooter alignWithMargins="0">
    <oddFooter>&amp;L&amp;8Planning &amp; Accountability&amp;R&amp;8&amp;D</oddFooter>
  </headerFooter>
  <rowBreaks count="1" manualBreakCount="1">
    <brk id="25" max="10"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K136"/>
  <sheetViews>
    <sheetView showGridLines="0" zoomScale="90" zoomScaleNormal="90" workbookViewId="0">
      <pane ySplit="8" topLeftCell="A9" activePane="bottomLeft" state="frozen"/>
      <selection activeCell="B4" sqref="A1:XFD1048576"/>
      <selection pane="bottomLeft" activeCell="B4" sqref="A1:XFD1048576"/>
    </sheetView>
  </sheetViews>
  <sheetFormatPr defaultColWidth="9.109375" defaultRowHeight="13.2"/>
  <cols>
    <col min="1" max="1" width="0.109375" style="277" customWidth="1"/>
    <col min="2" max="2" width="72" style="333" customWidth="1"/>
    <col min="3" max="3" width="9.88671875" style="476" customWidth="1"/>
    <col min="4" max="4" width="14.6640625" style="277" customWidth="1"/>
    <col min="5" max="5" width="10.109375" style="277" customWidth="1"/>
    <col min="6" max="6" width="45" style="277" customWidth="1"/>
    <col min="7" max="7" width="17.33203125" style="277" customWidth="1"/>
    <col min="8" max="8" width="10.44140625" style="282" customWidth="1"/>
    <col min="9" max="9" width="9.88671875" style="277" customWidth="1"/>
    <col min="10" max="10" width="12" style="277" customWidth="1"/>
    <col min="11" max="11" width="17.44140625" style="277" customWidth="1"/>
    <col min="12" max="252" width="9.88671875" style="277" customWidth="1"/>
    <col min="253" max="16384" width="9.109375" style="277"/>
  </cols>
  <sheetData>
    <row r="1" spans="2:11" ht="15.6">
      <c r="F1" s="477" t="s">
        <v>721</v>
      </c>
      <c r="G1" s="321" t="s">
        <v>51</v>
      </c>
    </row>
    <row r="2" spans="2:11" ht="15.6">
      <c r="F2" s="477" t="s">
        <v>722</v>
      </c>
    </row>
    <row r="3" spans="2:11" ht="15.6">
      <c r="F3" s="477" t="s">
        <v>54</v>
      </c>
    </row>
    <row r="4" spans="2:11" ht="15.6">
      <c r="F4" s="477" t="s">
        <v>723</v>
      </c>
    </row>
    <row r="6" spans="2:11" ht="21.75" customHeight="1">
      <c r="B6" s="1257" t="s">
        <v>322</v>
      </c>
      <c r="C6" s="479"/>
      <c r="D6" s="478"/>
      <c r="E6" s="478"/>
      <c r="F6" s="478" t="s">
        <v>724</v>
      </c>
      <c r="G6" s="480" t="s">
        <v>725</v>
      </c>
      <c r="H6" s="480"/>
      <c r="K6" s="480" t="s">
        <v>725</v>
      </c>
    </row>
    <row r="7" spans="2:11" ht="42" customHeight="1">
      <c r="B7" s="1258"/>
      <c r="C7" s="481" t="s">
        <v>99</v>
      </c>
      <c r="D7" s="481" t="s">
        <v>726</v>
      </c>
      <c r="E7" s="481" t="s">
        <v>727</v>
      </c>
      <c r="F7" s="481" t="s">
        <v>728</v>
      </c>
      <c r="G7" s="482" t="s">
        <v>729</v>
      </c>
      <c r="H7" s="482" t="s">
        <v>730</v>
      </c>
      <c r="K7" s="482" t="s">
        <v>729</v>
      </c>
    </row>
    <row r="8" spans="2:11" ht="16.5" customHeight="1">
      <c r="B8" s="297"/>
      <c r="D8" s="297"/>
      <c r="E8" s="297"/>
      <c r="F8" s="297"/>
      <c r="G8" s="483" t="s">
        <v>731</v>
      </c>
      <c r="H8" s="483"/>
      <c r="K8" s="483" t="s">
        <v>732</v>
      </c>
    </row>
    <row r="9" spans="2:11" ht="15.75" customHeight="1">
      <c r="B9" s="286" t="s">
        <v>733</v>
      </c>
      <c r="C9" s="484"/>
      <c r="D9" s="484"/>
      <c r="E9" s="484">
        <v>30</v>
      </c>
      <c r="F9" s="485" t="s">
        <v>734</v>
      </c>
      <c r="G9" s="486"/>
      <c r="H9" s="486"/>
      <c r="K9" s="486"/>
    </row>
    <row r="10" spans="2:11" ht="15.75" customHeight="1">
      <c r="B10" s="295"/>
      <c r="D10" s="291"/>
      <c r="E10" s="291"/>
      <c r="F10" s="295"/>
      <c r="G10" s="295"/>
      <c r="H10" s="291"/>
      <c r="K10" s="295"/>
    </row>
    <row r="11" spans="2:11" ht="15.75" customHeight="1">
      <c r="B11" s="296" t="s">
        <v>735</v>
      </c>
      <c r="C11" s="487">
        <v>3655</v>
      </c>
      <c r="D11" s="291" t="s">
        <v>736</v>
      </c>
      <c r="E11" s="291" t="s">
        <v>737</v>
      </c>
      <c r="F11" s="295" t="s">
        <v>738</v>
      </c>
      <c r="G11" s="295"/>
      <c r="H11" s="291"/>
      <c r="K11" s="295"/>
    </row>
    <row r="12" spans="2:11" ht="15.75" customHeight="1">
      <c r="B12" s="295" t="s">
        <v>739</v>
      </c>
      <c r="C12" s="487">
        <v>3656</v>
      </c>
      <c r="D12" s="291" t="s">
        <v>740</v>
      </c>
      <c r="E12" s="291">
        <v>40</v>
      </c>
      <c r="F12" s="295" t="s">
        <v>741</v>
      </c>
      <c r="G12" s="488"/>
      <c r="H12" s="282">
        <v>10</v>
      </c>
      <c r="K12" s="489"/>
    </row>
    <row r="13" spans="2:11" ht="15.75" customHeight="1">
      <c r="B13" s="296" t="s">
        <v>742</v>
      </c>
      <c r="C13" s="487">
        <v>3658</v>
      </c>
      <c r="D13" s="297" t="s">
        <v>743</v>
      </c>
      <c r="E13" s="297">
        <v>50</v>
      </c>
      <c r="F13" s="296" t="s">
        <v>744</v>
      </c>
      <c r="G13" s="488"/>
      <c r="H13" s="282">
        <v>20</v>
      </c>
      <c r="K13" s="489"/>
    </row>
    <row r="14" spans="2:11" ht="15.75" customHeight="1">
      <c r="B14" s="296" t="s">
        <v>745</v>
      </c>
      <c r="C14" s="487">
        <v>3658</v>
      </c>
      <c r="D14" s="297" t="s">
        <v>746</v>
      </c>
      <c r="E14" s="297">
        <v>51</v>
      </c>
      <c r="F14" s="296" t="s">
        <v>747</v>
      </c>
      <c r="G14" s="488"/>
      <c r="H14" s="278">
        <v>21</v>
      </c>
      <c r="K14" s="489"/>
    </row>
    <row r="15" spans="2:11" ht="15.75" customHeight="1">
      <c r="B15" s="295" t="s">
        <v>748</v>
      </c>
      <c r="C15" s="487">
        <v>9741</v>
      </c>
      <c r="D15" s="291" t="s">
        <v>749</v>
      </c>
      <c r="E15" s="291">
        <v>60</v>
      </c>
      <c r="F15" s="295" t="s">
        <v>750</v>
      </c>
      <c r="G15" s="488"/>
      <c r="H15" s="282">
        <v>30</v>
      </c>
      <c r="K15" s="489"/>
    </row>
    <row r="16" spans="2:11" ht="15.75" customHeight="1">
      <c r="B16" s="295" t="s">
        <v>751</v>
      </c>
      <c r="C16" s="487">
        <v>3661</v>
      </c>
      <c r="D16" s="291" t="s">
        <v>752</v>
      </c>
      <c r="E16" s="291">
        <v>70</v>
      </c>
      <c r="F16" s="295" t="s">
        <v>753</v>
      </c>
      <c r="G16" s="488"/>
      <c r="H16" s="282">
        <v>40</v>
      </c>
      <c r="K16" s="489"/>
    </row>
    <row r="17" spans="2:11" ht="15.75" customHeight="1">
      <c r="B17" s="296" t="s">
        <v>754</v>
      </c>
      <c r="C17" s="487">
        <v>3599</v>
      </c>
      <c r="D17" s="297" t="s">
        <v>755</v>
      </c>
      <c r="E17" s="297">
        <v>90</v>
      </c>
      <c r="F17" s="296" t="s">
        <v>756</v>
      </c>
      <c r="G17" s="490"/>
      <c r="H17" s="282">
        <v>60</v>
      </c>
      <c r="K17" s="489"/>
    </row>
    <row r="18" spans="2:11" ht="15.75" customHeight="1">
      <c r="B18" s="296" t="s">
        <v>757</v>
      </c>
      <c r="C18" s="487">
        <v>3599</v>
      </c>
      <c r="D18" s="297" t="s">
        <v>758</v>
      </c>
      <c r="E18" s="297">
        <v>91</v>
      </c>
      <c r="F18" s="296" t="s">
        <v>759</v>
      </c>
      <c r="G18" s="490"/>
      <c r="H18" s="278">
        <v>61</v>
      </c>
      <c r="K18" s="489"/>
    </row>
    <row r="19" spans="2:11" ht="15.75" customHeight="1">
      <c r="B19" s="295" t="s">
        <v>760</v>
      </c>
      <c r="C19" s="487">
        <v>9930</v>
      </c>
      <c r="D19" s="291" t="s">
        <v>761</v>
      </c>
      <c r="E19" s="291">
        <v>100</v>
      </c>
      <c r="F19" s="295" t="s">
        <v>762</v>
      </c>
      <c r="G19" s="491"/>
      <c r="H19" s="282">
        <v>70</v>
      </c>
      <c r="K19" s="489"/>
    </row>
    <row r="20" spans="2:11" ht="15.75" customHeight="1">
      <c r="B20" s="295" t="s">
        <v>763</v>
      </c>
      <c r="C20" s="487">
        <v>10115</v>
      </c>
      <c r="D20" s="291" t="s">
        <v>764</v>
      </c>
      <c r="E20" s="291">
        <v>110</v>
      </c>
      <c r="F20" s="295" t="s">
        <v>765</v>
      </c>
      <c r="G20" s="491"/>
      <c r="H20" s="282">
        <v>80</v>
      </c>
      <c r="K20" s="489"/>
    </row>
    <row r="21" spans="2:11" ht="15.75" customHeight="1">
      <c r="B21" s="295" t="s">
        <v>766</v>
      </c>
      <c r="C21" s="487">
        <v>11163</v>
      </c>
      <c r="D21" s="291" t="s">
        <v>767</v>
      </c>
      <c r="E21" s="291">
        <v>120</v>
      </c>
      <c r="F21" s="295" t="s">
        <v>768</v>
      </c>
      <c r="G21" s="491"/>
      <c r="H21" s="282">
        <v>90</v>
      </c>
      <c r="K21" s="489"/>
    </row>
    <row r="22" spans="2:11" ht="15.75" customHeight="1">
      <c r="B22" s="296" t="s">
        <v>769</v>
      </c>
      <c r="C22" s="487">
        <v>3629</v>
      </c>
      <c r="D22" s="291" t="s">
        <v>770</v>
      </c>
      <c r="E22" s="291" t="s">
        <v>771</v>
      </c>
      <c r="F22" s="295" t="s">
        <v>772</v>
      </c>
      <c r="G22" s="491"/>
      <c r="H22" s="491"/>
      <c r="K22" s="489"/>
    </row>
    <row r="23" spans="2:11" ht="15.75" customHeight="1">
      <c r="B23" s="295" t="s">
        <v>773</v>
      </c>
      <c r="C23" s="487">
        <v>3632</v>
      </c>
      <c r="D23" s="291" t="s">
        <v>774</v>
      </c>
      <c r="E23" s="291">
        <v>130</v>
      </c>
      <c r="F23" s="295" t="s">
        <v>775</v>
      </c>
      <c r="G23" s="491"/>
      <c r="H23" s="282">
        <v>100</v>
      </c>
    </row>
    <row r="24" spans="2:11" ht="15.75" customHeight="1">
      <c r="B24" s="295" t="s">
        <v>776</v>
      </c>
      <c r="C24" s="487">
        <v>10298</v>
      </c>
      <c r="D24" s="291" t="s">
        <v>777</v>
      </c>
      <c r="E24" s="291">
        <v>140</v>
      </c>
      <c r="F24" s="295" t="s">
        <v>778</v>
      </c>
      <c r="G24" s="491"/>
      <c r="H24" s="282">
        <v>110</v>
      </c>
      <c r="K24" s="489"/>
    </row>
    <row r="25" spans="2:11" ht="15.75" customHeight="1">
      <c r="B25" s="295" t="s">
        <v>779</v>
      </c>
      <c r="C25" s="487">
        <v>3630</v>
      </c>
      <c r="D25" s="291" t="s">
        <v>780</v>
      </c>
      <c r="E25" s="291">
        <v>150</v>
      </c>
      <c r="F25" s="295" t="s">
        <v>781</v>
      </c>
      <c r="G25" s="491"/>
      <c r="H25" s="282">
        <v>120</v>
      </c>
      <c r="K25" s="489"/>
    </row>
    <row r="26" spans="2:11" ht="15.75" customHeight="1">
      <c r="B26" s="295" t="s">
        <v>782</v>
      </c>
      <c r="C26" s="487">
        <v>3631</v>
      </c>
      <c r="D26" s="291" t="s">
        <v>783</v>
      </c>
      <c r="E26" s="291">
        <v>160</v>
      </c>
      <c r="F26" s="295" t="s">
        <v>784</v>
      </c>
      <c r="G26" s="491"/>
      <c r="H26" s="282">
        <v>130</v>
      </c>
      <c r="K26" s="489"/>
    </row>
    <row r="27" spans="2:11" ht="15.75" customHeight="1">
      <c r="B27" s="295" t="s">
        <v>785</v>
      </c>
      <c r="C27" s="487">
        <v>11161</v>
      </c>
      <c r="D27" s="291" t="s">
        <v>786</v>
      </c>
      <c r="E27" s="291">
        <v>170</v>
      </c>
      <c r="F27" s="295" t="s">
        <v>787</v>
      </c>
      <c r="G27" s="492">
        <v>11478824</v>
      </c>
      <c r="H27" s="282">
        <v>150</v>
      </c>
      <c r="K27" s="492">
        <v>11478824</v>
      </c>
    </row>
    <row r="28" spans="2:11" ht="15.75" customHeight="1">
      <c r="B28" s="295" t="s">
        <v>788</v>
      </c>
      <c r="C28" s="487">
        <v>3639</v>
      </c>
      <c r="D28" s="291" t="s">
        <v>789</v>
      </c>
      <c r="E28" s="291">
        <v>180</v>
      </c>
      <c r="F28" s="295" t="s">
        <v>790</v>
      </c>
      <c r="G28" s="492">
        <v>8858060</v>
      </c>
      <c r="H28" s="282">
        <v>160</v>
      </c>
      <c r="K28" s="492">
        <v>8858060</v>
      </c>
    </row>
    <row r="29" spans="2:11" ht="15.75" customHeight="1">
      <c r="B29" s="295" t="s">
        <v>791</v>
      </c>
      <c r="C29" s="487">
        <v>9651</v>
      </c>
      <c r="D29" s="291" t="s">
        <v>792</v>
      </c>
      <c r="E29" s="291">
        <v>190</v>
      </c>
      <c r="F29" s="295" t="s">
        <v>793</v>
      </c>
      <c r="G29" s="492">
        <v>7462394</v>
      </c>
      <c r="H29" s="282">
        <v>180</v>
      </c>
      <c r="K29" s="492">
        <v>7462394</v>
      </c>
    </row>
    <row r="30" spans="2:11" ht="15.75" customHeight="1">
      <c r="B30" s="295" t="s">
        <v>794</v>
      </c>
      <c r="C30" s="487">
        <v>3665</v>
      </c>
      <c r="D30" s="291" t="s">
        <v>795</v>
      </c>
      <c r="E30" s="291">
        <v>200</v>
      </c>
      <c r="F30" s="295" t="s">
        <v>796</v>
      </c>
      <c r="G30" s="492">
        <v>7446495</v>
      </c>
      <c r="H30" s="282">
        <v>190</v>
      </c>
      <c r="K30" s="492">
        <v>7446495</v>
      </c>
    </row>
    <row r="31" spans="2:11" ht="15.75" customHeight="1">
      <c r="B31" s="295" t="s">
        <v>797</v>
      </c>
      <c r="C31" s="487">
        <v>3565</v>
      </c>
      <c r="D31" s="291" t="s">
        <v>798</v>
      </c>
      <c r="E31" s="291">
        <v>210</v>
      </c>
      <c r="F31" s="295" t="s">
        <v>799</v>
      </c>
      <c r="G31" s="492">
        <v>11123859</v>
      </c>
      <c r="H31" s="282">
        <v>200</v>
      </c>
      <c r="K31" s="492">
        <v>11123859</v>
      </c>
    </row>
    <row r="32" spans="2:11" ht="15.75" customHeight="1">
      <c r="B32" s="295" t="s">
        <v>800</v>
      </c>
      <c r="C32" s="487">
        <v>29269</v>
      </c>
      <c r="D32" s="291" t="s">
        <v>801</v>
      </c>
      <c r="E32" s="291">
        <v>220</v>
      </c>
      <c r="F32" s="295" t="s">
        <v>802</v>
      </c>
      <c r="G32" s="492">
        <v>2050273</v>
      </c>
      <c r="H32" s="282">
        <v>210</v>
      </c>
      <c r="K32" s="492">
        <v>2050273</v>
      </c>
    </row>
    <row r="33" spans="2:11" ht="15.75" customHeight="1">
      <c r="B33" s="493" t="s">
        <v>803</v>
      </c>
      <c r="C33" s="487">
        <v>42295</v>
      </c>
      <c r="D33" s="291" t="s">
        <v>804</v>
      </c>
      <c r="E33" s="291">
        <v>223</v>
      </c>
      <c r="F33" s="295" t="s">
        <v>805</v>
      </c>
      <c r="G33" s="489"/>
      <c r="H33" s="282">
        <v>140</v>
      </c>
      <c r="K33" s="489"/>
    </row>
    <row r="34" spans="2:11" ht="15.75" customHeight="1">
      <c r="B34" s="493" t="s">
        <v>806</v>
      </c>
      <c r="C34" s="487">
        <v>42485</v>
      </c>
      <c r="D34" s="291" t="s">
        <v>807</v>
      </c>
      <c r="E34" s="291">
        <v>226</v>
      </c>
      <c r="F34" s="295" t="s">
        <v>808</v>
      </c>
      <c r="G34" s="489"/>
      <c r="H34" s="282">
        <v>170</v>
      </c>
      <c r="K34" s="489"/>
    </row>
    <row r="35" spans="2:11" ht="15.75" customHeight="1">
      <c r="B35" s="494" t="s">
        <v>809</v>
      </c>
      <c r="C35" s="487">
        <v>556</v>
      </c>
      <c r="D35" s="291" t="s">
        <v>810</v>
      </c>
      <c r="E35" s="291">
        <v>600</v>
      </c>
      <c r="F35" s="295" t="s">
        <v>811</v>
      </c>
      <c r="G35" s="489"/>
      <c r="H35" s="495"/>
      <c r="K35" s="489"/>
    </row>
    <row r="36" spans="2:11" ht="15.75" customHeight="1">
      <c r="B36" s="494" t="s">
        <v>812</v>
      </c>
      <c r="C36" s="487">
        <v>555</v>
      </c>
      <c r="D36" s="291" t="s">
        <v>813</v>
      </c>
      <c r="E36" s="291">
        <v>605</v>
      </c>
      <c r="F36" s="295" t="s">
        <v>814</v>
      </c>
      <c r="G36" s="489"/>
      <c r="H36" s="495"/>
      <c r="K36" s="489"/>
    </row>
    <row r="37" spans="2:11" ht="15.75" customHeight="1">
      <c r="B37" s="494" t="s">
        <v>815</v>
      </c>
      <c r="C37" s="487">
        <v>712</v>
      </c>
      <c r="D37" s="291" t="s">
        <v>816</v>
      </c>
      <c r="E37" s="291">
        <v>610</v>
      </c>
      <c r="F37" s="295" t="s">
        <v>817</v>
      </c>
      <c r="G37" s="489"/>
      <c r="H37" s="495"/>
      <c r="K37" s="489"/>
    </row>
    <row r="38" spans="2:11" ht="15.75" customHeight="1">
      <c r="B38" s="494" t="s">
        <v>818</v>
      </c>
      <c r="C38" s="487">
        <v>716</v>
      </c>
      <c r="D38" s="291" t="s">
        <v>819</v>
      </c>
      <c r="E38" s="291">
        <v>615</v>
      </c>
      <c r="F38" s="295" t="s">
        <v>820</v>
      </c>
      <c r="G38" s="489"/>
      <c r="H38" s="495"/>
      <c r="K38" s="489"/>
    </row>
    <row r="39" spans="2:11" ht="15.75" customHeight="1">
      <c r="B39" s="494" t="s">
        <v>821</v>
      </c>
      <c r="C39" s="487">
        <v>576</v>
      </c>
      <c r="D39" s="291" t="s">
        <v>822</v>
      </c>
      <c r="E39" s="291">
        <v>620</v>
      </c>
      <c r="F39" s="295" t="s">
        <v>823</v>
      </c>
      <c r="G39" s="489"/>
      <c r="H39" s="495"/>
      <c r="K39" s="489"/>
    </row>
    <row r="40" spans="2:11" ht="15.75" customHeight="1">
      <c r="B40" s="494" t="s">
        <v>824</v>
      </c>
      <c r="C40" s="487">
        <v>727</v>
      </c>
      <c r="D40" s="291" t="s">
        <v>825</v>
      </c>
      <c r="E40" s="291">
        <v>625</v>
      </c>
      <c r="F40" s="295" t="s">
        <v>826</v>
      </c>
      <c r="G40" s="489"/>
      <c r="H40" s="495"/>
      <c r="K40" s="489"/>
    </row>
    <row r="41" spans="2:11" ht="15.75" customHeight="1">
      <c r="B41" s="494" t="s">
        <v>827</v>
      </c>
      <c r="C41" s="487">
        <v>557</v>
      </c>
      <c r="D41" s="291" t="s">
        <v>828</v>
      </c>
      <c r="E41" s="291">
        <v>630</v>
      </c>
      <c r="F41" s="295" t="s">
        <v>829</v>
      </c>
      <c r="G41" s="489"/>
      <c r="H41" s="495"/>
      <c r="K41" s="489"/>
    </row>
    <row r="42" spans="2:11" ht="15.75" customHeight="1">
      <c r="B42" s="494" t="s">
        <v>830</v>
      </c>
      <c r="C42" s="487">
        <v>575</v>
      </c>
      <c r="D42" s="291" t="s">
        <v>831</v>
      </c>
      <c r="E42" s="291">
        <v>640</v>
      </c>
      <c r="F42" s="295" t="s">
        <v>832</v>
      </c>
      <c r="G42" s="489"/>
      <c r="H42" s="495"/>
      <c r="K42" s="489"/>
    </row>
    <row r="43" spans="2:11" ht="15.75" customHeight="1">
      <c r="B43" s="494" t="s">
        <v>833</v>
      </c>
      <c r="C43" s="487">
        <v>708</v>
      </c>
      <c r="D43" s="291" t="s">
        <v>834</v>
      </c>
      <c r="E43" s="291">
        <v>635</v>
      </c>
      <c r="F43" s="295" t="s">
        <v>835</v>
      </c>
      <c r="G43" s="489"/>
      <c r="H43" s="495"/>
      <c r="K43" s="489"/>
    </row>
    <row r="44" spans="2:11" ht="15.75" customHeight="1">
      <c r="B44" s="496" t="s">
        <v>836</v>
      </c>
      <c r="C44" s="487">
        <v>11721</v>
      </c>
      <c r="D44" s="291" t="s">
        <v>837</v>
      </c>
      <c r="E44" s="291" t="s">
        <v>838</v>
      </c>
      <c r="F44" s="295" t="s">
        <v>839</v>
      </c>
      <c r="G44" s="489"/>
      <c r="H44" s="491"/>
      <c r="K44" s="489"/>
    </row>
    <row r="45" spans="2:11" ht="15.75" customHeight="1">
      <c r="B45" s="496" t="s">
        <v>840</v>
      </c>
      <c r="C45" s="497">
        <v>3652</v>
      </c>
      <c r="D45" s="297" t="s">
        <v>841</v>
      </c>
      <c r="E45" s="297">
        <v>230</v>
      </c>
      <c r="F45" s="296" t="s">
        <v>842</v>
      </c>
      <c r="G45" s="492"/>
      <c r="H45" s="282">
        <v>220</v>
      </c>
      <c r="K45" s="492"/>
    </row>
    <row r="46" spans="2:11" ht="15.75" customHeight="1">
      <c r="B46" s="496" t="s">
        <v>843</v>
      </c>
      <c r="C46" s="497">
        <v>3652</v>
      </c>
      <c r="D46" s="297" t="s">
        <v>844</v>
      </c>
      <c r="E46" s="297">
        <v>231</v>
      </c>
      <c r="F46" s="296" t="s">
        <v>845</v>
      </c>
      <c r="G46" s="492">
        <v>54514004</v>
      </c>
      <c r="H46" s="278">
        <v>221</v>
      </c>
      <c r="K46" s="492">
        <v>54514004</v>
      </c>
    </row>
    <row r="47" spans="2:11" ht="15.75" customHeight="1">
      <c r="B47" s="493" t="s">
        <v>846</v>
      </c>
      <c r="C47" s="487">
        <v>11711</v>
      </c>
      <c r="D47" s="291" t="s">
        <v>847</v>
      </c>
      <c r="E47" s="291">
        <v>240</v>
      </c>
      <c r="F47" s="295" t="s">
        <v>848</v>
      </c>
      <c r="G47" s="492">
        <v>7726043</v>
      </c>
      <c r="H47" s="282">
        <v>230</v>
      </c>
      <c r="K47" s="492">
        <v>7726043</v>
      </c>
    </row>
    <row r="48" spans="2:11" ht="15.75" customHeight="1">
      <c r="B48" s="493" t="s">
        <v>849</v>
      </c>
      <c r="C48" s="487">
        <v>12826</v>
      </c>
      <c r="D48" s="291" t="s">
        <v>850</v>
      </c>
      <c r="E48" s="291">
        <v>250</v>
      </c>
      <c r="F48" s="295" t="s">
        <v>851</v>
      </c>
      <c r="G48" s="492">
        <v>10828344</v>
      </c>
      <c r="H48" s="282">
        <v>240</v>
      </c>
      <c r="K48" s="492">
        <v>10828344</v>
      </c>
    </row>
    <row r="49" spans="2:11" ht="15.75" customHeight="1">
      <c r="B49" s="493" t="s">
        <v>852</v>
      </c>
      <c r="C49" s="487">
        <v>13231</v>
      </c>
      <c r="D49" s="291" t="s">
        <v>853</v>
      </c>
      <c r="E49" s="291">
        <v>260</v>
      </c>
      <c r="F49" s="295" t="s">
        <v>854</v>
      </c>
      <c r="G49" s="492">
        <v>3542817</v>
      </c>
      <c r="H49" s="282">
        <v>250</v>
      </c>
      <c r="K49" s="492">
        <v>3542817</v>
      </c>
    </row>
    <row r="50" spans="2:11" ht="15.75" customHeight="1">
      <c r="B50" s="496" t="s">
        <v>855</v>
      </c>
      <c r="C50" s="487">
        <v>110</v>
      </c>
      <c r="D50" s="291" t="s">
        <v>856</v>
      </c>
      <c r="E50" s="291" t="s">
        <v>857</v>
      </c>
      <c r="F50" s="295" t="s">
        <v>858</v>
      </c>
      <c r="G50" s="489"/>
      <c r="H50" s="491"/>
      <c r="K50" s="489"/>
    </row>
    <row r="51" spans="2:11" ht="15.75" customHeight="1">
      <c r="B51" s="493" t="s">
        <v>859</v>
      </c>
      <c r="C51" s="487">
        <v>3581</v>
      </c>
      <c r="D51" s="291" t="s">
        <v>860</v>
      </c>
      <c r="E51" s="291">
        <v>270</v>
      </c>
      <c r="F51" s="295" t="s">
        <v>861</v>
      </c>
      <c r="G51" s="492">
        <v>13141181</v>
      </c>
      <c r="H51" s="282">
        <v>340</v>
      </c>
      <c r="K51" s="492">
        <v>13141181</v>
      </c>
    </row>
    <row r="52" spans="2:11" ht="15.75" customHeight="1">
      <c r="B52" s="496" t="s">
        <v>862</v>
      </c>
      <c r="C52" s="497">
        <v>3606</v>
      </c>
      <c r="D52" s="297" t="s">
        <v>863</v>
      </c>
      <c r="E52" s="297">
        <v>280</v>
      </c>
      <c r="F52" s="296" t="s">
        <v>864</v>
      </c>
      <c r="G52" s="492"/>
      <c r="H52" s="282">
        <v>350</v>
      </c>
      <c r="K52" s="492"/>
    </row>
    <row r="53" spans="2:11" ht="15.75" customHeight="1">
      <c r="B53" s="496" t="s">
        <v>865</v>
      </c>
      <c r="C53" s="497">
        <v>3606</v>
      </c>
      <c r="D53" s="297" t="s">
        <v>866</v>
      </c>
      <c r="E53" s="297">
        <v>281</v>
      </c>
      <c r="F53" s="296" t="s">
        <v>867</v>
      </c>
      <c r="G53" s="492">
        <v>18236811</v>
      </c>
      <c r="H53" s="278">
        <v>351</v>
      </c>
      <c r="K53" s="492">
        <v>18236811</v>
      </c>
    </row>
    <row r="54" spans="2:11" ht="15.75" customHeight="1">
      <c r="B54" s="493" t="s">
        <v>868</v>
      </c>
      <c r="C54" s="487">
        <v>3615</v>
      </c>
      <c r="D54" s="291" t="s">
        <v>869</v>
      </c>
      <c r="E54" s="291">
        <v>290</v>
      </c>
      <c r="F54" s="295" t="s">
        <v>870</v>
      </c>
      <c r="G54" s="492">
        <v>37606478</v>
      </c>
      <c r="H54" s="282">
        <v>360</v>
      </c>
      <c r="K54" s="492">
        <v>37606478</v>
      </c>
    </row>
    <row r="55" spans="2:11" ht="15.75" customHeight="1">
      <c r="B55" s="493" t="s">
        <v>871</v>
      </c>
      <c r="C55" s="487">
        <v>3625</v>
      </c>
      <c r="D55" s="291" t="s">
        <v>872</v>
      </c>
      <c r="E55" s="291">
        <v>300</v>
      </c>
      <c r="F55" s="295" t="s">
        <v>873</v>
      </c>
      <c r="G55" s="492">
        <f>2151723+472890</f>
        <v>2624613</v>
      </c>
      <c r="H55" s="282">
        <v>370</v>
      </c>
      <c r="J55" s="490"/>
      <c r="K55" s="492">
        <f>2151723+472890</f>
        <v>2624613</v>
      </c>
    </row>
    <row r="56" spans="2:11" ht="15.75" customHeight="1">
      <c r="B56" s="496" t="s">
        <v>874</v>
      </c>
      <c r="C56" s="487">
        <v>439154</v>
      </c>
      <c r="D56" s="291" t="s">
        <v>875</v>
      </c>
      <c r="E56" s="291" t="s">
        <v>876</v>
      </c>
      <c r="F56" s="295" t="s">
        <v>877</v>
      </c>
      <c r="G56" s="489"/>
      <c r="H56" s="491"/>
      <c r="J56" s="490"/>
      <c r="K56" s="489"/>
    </row>
    <row r="57" spans="2:11" ht="15.75" customHeight="1">
      <c r="B57" s="493" t="s">
        <v>878</v>
      </c>
      <c r="C57" s="487">
        <v>3644</v>
      </c>
      <c r="D57" s="291" t="s">
        <v>879</v>
      </c>
      <c r="E57" s="291">
        <v>310</v>
      </c>
      <c r="F57" s="295" t="s">
        <v>880</v>
      </c>
      <c r="G57" s="492">
        <v>49874746</v>
      </c>
      <c r="H57" s="282">
        <v>310</v>
      </c>
      <c r="J57" s="490"/>
      <c r="K57" s="492">
        <v>49874746</v>
      </c>
    </row>
    <row r="58" spans="2:11" ht="15.75" customHeight="1">
      <c r="B58" s="493" t="s">
        <v>881</v>
      </c>
      <c r="C58" s="487">
        <v>3541</v>
      </c>
      <c r="D58" s="291" t="s">
        <v>882</v>
      </c>
      <c r="E58" s="291">
        <v>320</v>
      </c>
      <c r="F58" s="295" t="s">
        <v>883</v>
      </c>
      <c r="G58" s="492">
        <v>6792999</v>
      </c>
      <c r="H58" s="282">
        <v>320</v>
      </c>
      <c r="K58" s="492">
        <v>6792999</v>
      </c>
    </row>
    <row r="59" spans="2:11" ht="15.75" customHeight="1">
      <c r="B59" s="496" t="s">
        <v>884</v>
      </c>
      <c r="C59" s="487">
        <v>103594</v>
      </c>
      <c r="D59" s="291" t="s">
        <v>885</v>
      </c>
      <c r="E59" s="291" t="s">
        <v>886</v>
      </c>
      <c r="F59" s="295" t="s">
        <v>887</v>
      </c>
      <c r="G59" s="489"/>
      <c r="H59" s="491"/>
      <c r="K59" s="489"/>
    </row>
    <row r="60" spans="2:11" ht="15.75" customHeight="1">
      <c r="B60" s="493" t="s">
        <v>888</v>
      </c>
      <c r="C60" s="487">
        <v>3594</v>
      </c>
      <c r="D60" s="291" t="s">
        <v>889</v>
      </c>
      <c r="E60" s="291">
        <v>330</v>
      </c>
      <c r="F60" s="295" t="s">
        <v>890</v>
      </c>
      <c r="G60" s="492">
        <v>37346563</v>
      </c>
      <c r="H60" s="282">
        <v>270</v>
      </c>
      <c r="K60" s="492">
        <v>37346563</v>
      </c>
    </row>
    <row r="61" spans="2:11" ht="15.75" customHeight="1">
      <c r="B61" s="493" t="s">
        <v>891</v>
      </c>
      <c r="C61" s="487">
        <v>42421</v>
      </c>
      <c r="D61" s="291" t="s">
        <v>892</v>
      </c>
      <c r="E61" s="291">
        <v>333</v>
      </c>
      <c r="F61" s="295" t="s">
        <v>893</v>
      </c>
      <c r="G61" s="492">
        <v>3354441</v>
      </c>
      <c r="H61" s="282">
        <v>280</v>
      </c>
      <c r="K61" s="492">
        <v>3354441</v>
      </c>
    </row>
    <row r="62" spans="2:11" ht="15.75" customHeight="1">
      <c r="B62" s="295" t="s">
        <v>894</v>
      </c>
      <c r="C62" s="487">
        <v>3592</v>
      </c>
      <c r="D62" s="291" t="s">
        <v>895</v>
      </c>
      <c r="E62" s="291">
        <v>340</v>
      </c>
      <c r="F62" s="295" t="s">
        <v>896</v>
      </c>
      <c r="G62" s="492">
        <v>4933200</v>
      </c>
      <c r="H62" s="282">
        <v>260</v>
      </c>
      <c r="K62" s="492">
        <v>4933200</v>
      </c>
    </row>
    <row r="63" spans="2:11" ht="15.75" customHeight="1">
      <c r="B63" s="295" t="s">
        <v>897</v>
      </c>
      <c r="C63" s="487">
        <v>3624</v>
      </c>
      <c r="D63" s="291" t="s">
        <v>898</v>
      </c>
      <c r="E63" s="291">
        <v>350</v>
      </c>
      <c r="F63" s="295" t="s">
        <v>899</v>
      </c>
      <c r="G63" s="492">
        <v>11277793</v>
      </c>
      <c r="H63" s="282">
        <v>290</v>
      </c>
      <c r="K63" s="492">
        <v>11277793</v>
      </c>
    </row>
    <row r="64" spans="2:11" ht="15.75" customHeight="1">
      <c r="B64" s="295" t="s">
        <v>900</v>
      </c>
      <c r="C64" s="487">
        <v>3642</v>
      </c>
      <c r="D64" s="291" t="s">
        <v>901</v>
      </c>
      <c r="E64" s="291">
        <v>360</v>
      </c>
      <c r="F64" s="295" t="s">
        <v>902</v>
      </c>
      <c r="G64" s="492">
        <v>11719335</v>
      </c>
      <c r="H64" s="282">
        <v>300</v>
      </c>
      <c r="K64" s="492">
        <v>11719335</v>
      </c>
    </row>
    <row r="65" spans="2:11" ht="15.75" customHeight="1">
      <c r="B65" s="295" t="s">
        <v>903</v>
      </c>
      <c r="C65" s="487">
        <v>3646</v>
      </c>
      <c r="D65" s="291" t="s">
        <v>904</v>
      </c>
      <c r="E65" s="291">
        <v>370</v>
      </c>
      <c r="F65" s="295" t="s">
        <v>905</v>
      </c>
      <c r="G65" s="492">
        <v>14554133</v>
      </c>
      <c r="H65" s="282">
        <v>330</v>
      </c>
      <c r="K65" s="492">
        <v>14554133</v>
      </c>
    </row>
    <row r="66" spans="2:11" ht="15.75" customHeight="1">
      <c r="B66" s="295" t="s">
        <v>906</v>
      </c>
      <c r="C66" s="498">
        <v>36273</v>
      </c>
      <c r="D66" s="291" t="s">
        <v>907</v>
      </c>
      <c r="E66" s="291">
        <v>490</v>
      </c>
      <c r="F66" s="295" t="s">
        <v>908</v>
      </c>
      <c r="G66" s="492">
        <v>2553130</v>
      </c>
      <c r="H66" s="282">
        <v>430</v>
      </c>
      <c r="K66" s="492">
        <v>2553130</v>
      </c>
    </row>
    <row r="67" spans="2:11" ht="15.75" customHeight="1">
      <c r="B67" s="295" t="s">
        <v>909</v>
      </c>
      <c r="C67" s="498">
        <v>23582</v>
      </c>
      <c r="D67" s="291" t="s">
        <v>910</v>
      </c>
      <c r="E67" s="291">
        <v>500</v>
      </c>
      <c r="F67" s="295" t="s">
        <v>911</v>
      </c>
      <c r="G67" s="492">
        <v>1488396</v>
      </c>
      <c r="H67" s="282">
        <v>440</v>
      </c>
      <c r="K67" s="492">
        <v>1488396</v>
      </c>
    </row>
    <row r="68" spans="2:11" ht="15.75" customHeight="1">
      <c r="B68" s="295" t="s">
        <v>912</v>
      </c>
      <c r="C68" s="498">
        <v>23485</v>
      </c>
      <c r="D68" s="291" t="s">
        <v>913</v>
      </c>
      <c r="E68" s="291">
        <v>510</v>
      </c>
      <c r="F68" s="295" t="s">
        <v>914</v>
      </c>
      <c r="G68" s="492">
        <v>2217102</v>
      </c>
      <c r="H68" s="282">
        <v>450</v>
      </c>
      <c r="K68" s="492">
        <v>2217102</v>
      </c>
    </row>
    <row r="69" spans="2:11" ht="15.75" customHeight="1">
      <c r="B69" s="295" t="s">
        <v>915</v>
      </c>
      <c r="C69" s="498">
        <v>9225</v>
      </c>
      <c r="D69" s="291" t="s">
        <v>916</v>
      </c>
      <c r="E69" s="291">
        <v>520</v>
      </c>
      <c r="F69" s="295" t="s">
        <v>917</v>
      </c>
      <c r="G69" s="499">
        <v>2604593</v>
      </c>
      <c r="H69" s="282">
        <v>390</v>
      </c>
      <c r="K69" s="1259">
        <v>8662500</v>
      </c>
    </row>
    <row r="70" spans="2:11" ht="15.75" customHeight="1">
      <c r="B70" s="295" t="s">
        <v>918</v>
      </c>
      <c r="C70" s="498">
        <v>9932</v>
      </c>
      <c r="D70" s="291" t="s">
        <v>919</v>
      </c>
      <c r="E70" s="291">
        <v>530</v>
      </c>
      <c r="F70" s="295" t="s">
        <v>920</v>
      </c>
      <c r="G70" s="500">
        <v>992536</v>
      </c>
      <c r="H70" s="282">
        <v>400</v>
      </c>
      <c r="K70" s="1260"/>
    </row>
    <row r="71" spans="2:11" ht="15.75" customHeight="1">
      <c r="B71" s="295" t="s">
        <v>921</v>
      </c>
      <c r="C71" s="498">
        <v>33965</v>
      </c>
      <c r="D71" s="291" t="s">
        <v>922</v>
      </c>
      <c r="E71" s="291">
        <v>540</v>
      </c>
      <c r="F71" s="295" t="s">
        <v>923</v>
      </c>
      <c r="G71" s="500">
        <v>725027</v>
      </c>
      <c r="H71" s="282">
        <v>410</v>
      </c>
      <c r="K71" s="1260"/>
    </row>
    <row r="72" spans="2:11" ht="15.75" customHeight="1">
      <c r="B72" s="295" t="s">
        <v>924</v>
      </c>
      <c r="C72" s="498">
        <v>3634</v>
      </c>
      <c r="D72" s="291" t="s">
        <v>925</v>
      </c>
      <c r="E72" s="291">
        <v>550</v>
      </c>
      <c r="F72" s="295" t="s">
        <v>926</v>
      </c>
      <c r="G72" s="500">
        <v>3088797</v>
      </c>
      <c r="H72" s="282">
        <v>420</v>
      </c>
      <c r="J72" s="501">
        <f>SUM(G69:G74)</f>
        <v>8662500</v>
      </c>
      <c r="K72" s="1260"/>
    </row>
    <row r="73" spans="2:11" ht="15.75" customHeight="1">
      <c r="B73" s="295" t="s">
        <v>927</v>
      </c>
      <c r="C73" s="476">
        <v>133965</v>
      </c>
      <c r="D73" s="291" t="s">
        <v>928</v>
      </c>
      <c r="E73" s="291">
        <v>552</v>
      </c>
      <c r="F73" s="295" t="s">
        <v>929</v>
      </c>
      <c r="G73" s="500">
        <v>283709</v>
      </c>
      <c r="H73" s="282">
        <v>430</v>
      </c>
      <c r="J73" s="501">
        <f>J72-K69</f>
        <v>0</v>
      </c>
      <c r="K73" s="1260"/>
    </row>
    <row r="74" spans="2:11" ht="15.75" customHeight="1">
      <c r="B74" s="295" t="s">
        <v>930</v>
      </c>
      <c r="C74" s="476">
        <v>203634</v>
      </c>
      <c r="D74" s="291" t="s">
        <v>931</v>
      </c>
      <c r="E74" s="291">
        <v>553</v>
      </c>
      <c r="F74" s="295" t="s">
        <v>932</v>
      </c>
      <c r="G74" s="500">
        <v>967838</v>
      </c>
      <c r="H74" s="282">
        <v>440</v>
      </c>
      <c r="K74" s="1260"/>
    </row>
    <row r="75" spans="2:11" ht="15">
      <c r="B75" s="295" t="s">
        <v>933</v>
      </c>
      <c r="C75" s="498">
        <v>9642</v>
      </c>
      <c r="D75" s="291" t="s">
        <v>934</v>
      </c>
      <c r="E75" s="291">
        <v>555</v>
      </c>
      <c r="F75" s="295" t="s">
        <v>935</v>
      </c>
      <c r="G75" s="502"/>
      <c r="H75" s="491"/>
      <c r="K75" s="1261"/>
    </row>
    <row r="76" spans="2:11" ht="15">
      <c r="B76" s="295"/>
      <c r="C76" s="498"/>
      <c r="D76" s="291"/>
      <c r="E76" s="291"/>
      <c r="F76" s="295"/>
      <c r="G76" s="503"/>
      <c r="H76" s="491"/>
      <c r="K76" s="501"/>
    </row>
    <row r="77" spans="2:11" ht="15.75" customHeight="1">
      <c r="B77" s="295"/>
      <c r="C77" s="487"/>
      <c r="D77" s="291"/>
      <c r="E77" s="291"/>
      <c r="F77" s="295"/>
      <c r="G77" s="504">
        <f>SUM(G27:G75)</f>
        <v>351414534</v>
      </c>
      <c r="H77" s="504"/>
      <c r="K77" s="504">
        <f>SUM(K27:K75)</f>
        <v>351414534</v>
      </c>
    </row>
    <row r="78" spans="2:11" ht="15.75" customHeight="1">
      <c r="B78" s="286" t="s">
        <v>936</v>
      </c>
      <c r="C78" s="487"/>
      <c r="D78" s="484"/>
      <c r="E78" s="484">
        <v>380</v>
      </c>
      <c r="F78" s="485" t="s">
        <v>937</v>
      </c>
      <c r="G78" s="505"/>
      <c r="H78" s="505"/>
      <c r="K78" s="505"/>
    </row>
    <row r="79" spans="2:11" ht="15.75" customHeight="1">
      <c r="B79" s="295"/>
      <c r="C79" s="487"/>
      <c r="D79" s="291"/>
      <c r="E79" s="291"/>
      <c r="F79" s="295"/>
      <c r="G79" s="491"/>
      <c r="H79" s="491"/>
      <c r="K79" s="489"/>
    </row>
    <row r="80" spans="2:11" ht="18.75" customHeight="1">
      <c r="B80" s="295" t="s">
        <v>206</v>
      </c>
      <c r="C80" s="498">
        <v>30</v>
      </c>
      <c r="D80" s="291" t="s">
        <v>938</v>
      </c>
      <c r="E80" s="291">
        <v>390</v>
      </c>
      <c r="F80" s="295" t="s">
        <v>939</v>
      </c>
      <c r="G80" s="491"/>
      <c r="H80" s="491"/>
      <c r="I80" s="384"/>
      <c r="K80" s="489"/>
    </row>
    <row r="81" spans="1:11" ht="20.25" customHeight="1">
      <c r="B81" s="295" t="s">
        <v>22</v>
      </c>
      <c r="C81" s="498">
        <v>40</v>
      </c>
      <c r="D81" s="291" t="s">
        <v>940</v>
      </c>
      <c r="E81" s="291">
        <v>420</v>
      </c>
      <c r="F81" s="295" t="s">
        <v>941</v>
      </c>
      <c r="G81" s="491"/>
      <c r="H81" s="491"/>
      <c r="I81" s="384"/>
      <c r="K81" s="489"/>
    </row>
    <row r="82" spans="1:11" ht="17.25" customHeight="1">
      <c r="B82" s="295" t="s">
        <v>25</v>
      </c>
      <c r="C82" s="498">
        <v>89</v>
      </c>
      <c r="D82" s="291" t="s">
        <v>942</v>
      </c>
      <c r="E82" s="291">
        <v>450</v>
      </c>
      <c r="F82" s="295" t="s">
        <v>943</v>
      </c>
      <c r="G82" s="491"/>
      <c r="H82" s="491"/>
      <c r="I82" s="384"/>
      <c r="K82" s="489"/>
    </row>
    <row r="83" spans="1:11" s="312" customFormat="1" ht="30.75" customHeight="1">
      <c r="B83" s="506" t="s">
        <v>34</v>
      </c>
      <c r="C83" s="507">
        <v>999130</v>
      </c>
      <c r="D83" s="508" t="s">
        <v>944</v>
      </c>
      <c r="E83" s="508">
        <v>460</v>
      </c>
      <c r="F83" s="506" t="s">
        <v>945</v>
      </c>
      <c r="G83" s="464">
        <v>15125502</v>
      </c>
      <c r="H83" s="509"/>
      <c r="I83" s="510"/>
      <c r="K83" s="464">
        <v>15125502</v>
      </c>
    </row>
    <row r="84" spans="1:11" s="312" customFormat="1" ht="36.75" customHeight="1">
      <c r="B84" s="506" t="s">
        <v>708</v>
      </c>
      <c r="C84" s="507">
        <v>130</v>
      </c>
      <c r="D84" s="508" t="s">
        <v>946</v>
      </c>
      <c r="E84" s="508">
        <v>461</v>
      </c>
      <c r="F84" s="506" t="s">
        <v>947</v>
      </c>
      <c r="G84" s="464"/>
      <c r="H84" s="509"/>
      <c r="I84" s="510"/>
      <c r="K84" s="464"/>
    </row>
    <row r="85" spans="1:11" ht="15.75" customHeight="1">
      <c r="B85" s="295" t="s">
        <v>27</v>
      </c>
      <c r="C85" s="498">
        <v>412</v>
      </c>
      <c r="D85" s="291" t="s">
        <v>948</v>
      </c>
      <c r="E85" s="291">
        <v>470</v>
      </c>
      <c r="F85" s="295" t="s">
        <v>949</v>
      </c>
      <c r="G85" s="443">
        <v>21652392</v>
      </c>
      <c r="H85" s="495"/>
      <c r="I85" s="384"/>
      <c r="K85" s="443">
        <v>21652392</v>
      </c>
    </row>
    <row r="86" spans="1:11" ht="15.75" customHeight="1">
      <c r="B86" s="295" t="s">
        <v>28</v>
      </c>
      <c r="C86" s="498">
        <v>862</v>
      </c>
      <c r="D86" s="291" t="s">
        <v>950</v>
      </c>
      <c r="E86" s="291">
        <v>480</v>
      </c>
      <c r="F86" s="511" t="s">
        <v>951</v>
      </c>
      <c r="G86" s="443">
        <v>5557572</v>
      </c>
      <c r="H86" s="504"/>
      <c r="K86" s="443">
        <v>5557572</v>
      </c>
    </row>
    <row r="87" spans="1:11" ht="15.75" customHeight="1">
      <c r="B87" s="295" t="s">
        <v>21</v>
      </c>
      <c r="C87" s="498">
        <v>11618</v>
      </c>
      <c r="D87" s="291" t="s">
        <v>952</v>
      </c>
      <c r="E87" s="291">
        <v>410</v>
      </c>
      <c r="F87" s="295" t="s">
        <v>953</v>
      </c>
      <c r="G87" s="491"/>
      <c r="H87" s="491"/>
      <c r="I87" s="384"/>
      <c r="K87" s="489"/>
    </row>
    <row r="88" spans="1:11" ht="17.25" customHeight="1">
      <c r="B88" s="295" t="s">
        <v>23</v>
      </c>
      <c r="C88" s="498">
        <v>25554</v>
      </c>
      <c r="D88" s="291" t="s">
        <v>954</v>
      </c>
      <c r="E88" s="291">
        <v>430</v>
      </c>
      <c r="F88" s="295" t="s">
        <v>955</v>
      </c>
      <c r="G88" s="491"/>
      <c r="H88" s="491"/>
      <c r="I88" s="384"/>
      <c r="K88" s="489"/>
    </row>
    <row r="89" spans="1:11" ht="15.75" customHeight="1">
      <c r="B89" s="295" t="s">
        <v>24</v>
      </c>
      <c r="C89" s="487">
        <v>42439</v>
      </c>
      <c r="D89" s="291" t="s">
        <v>956</v>
      </c>
      <c r="E89" s="291">
        <v>440</v>
      </c>
      <c r="F89" s="295" t="s">
        <v>957</v>
      </c>
      <c r="G89" s="491"/>
      <c r="H89" s="491"/>
      <c r="I89" s="384"/>
      <c r="K89" s="489"/>
    </row>
    <row r="90" spans="1:11" ht="15.75" customHeight="1">
      <c r="B90" s="295" t="s">
        <v>20</v>
      </c>
      <c r="C90" s="498">
        <v>104952</v>
      </c>
      <c r="D90" s="291" t="s">
        <v>958</v>
      </c>
      <c r="E90" s="291">
        <v>400</v>
      </c>
      <c r="F90" s="295" t="s">
        <v>959</v>
      </c>
      <c r="G90" s="491"/>
      <c r="H90" s="491"/>
      <c r="I90" s="384"/>
      <c r="K90" s="489"/>
    </row>
    <row r="91" spans="1:11" ht="15.75" customHeight="1">
      <c r="A91" s="512"/>
      <c r="B91" s="513" t="s">
        <v>30</v>
      </c>
      <c r="C91" s="514">
        <v>203599</v>
      </c>
      <c r="D91" s="515" t="s">
        <v>960</v>
      </c>
      <c r="E91" s="515">
        <v>500</v>
      </c>
      <c r="F91" s="516" t="s">
        <v>961</v>
      </c>
      <c r="G91" s="517"/>
      <c r="H91" s="518"/>
      <c r="K91" s="519"/>
    </row>
    <row r="92" spans="1:11" ht="15.75" customHeight="1">
      <c r="A92" s="520"/>
      <c r="B92" s="521" t="s">
        <v>29</v>
      </c>
      <c r="C92" s="487">
        <v>203658</v>
      </c>
      <c r="D92" s="297" t="s">
        <v>962</v>
      </c>
      <c r="E92" s="297">
        <v>510</v>
      </c>
      <c r="F92" s="296" t="s">
        <v>963</v>
      </c>
      <c r="G92" s="491"/>
      <c r="H92" s="522"/>
      <c r="K92" s="523"/>
    </row>
    <row r="93" spans="1:11" ht="15.75" customHeight="1">
      <c r="B93" s="524" t="s">
        <v>31</v>
      </c>
      <c r="C93" s="487">
        <v>203652</v>
      </c>
      <c r="D93" s="297" t="s">
        <v>964</v>
      </c>
      <c r="E93" s="297">
        <v>520</v>
      </c>
      <c r="F93" s="296" t="s">
        <v>965</v>
      </c>
      <c r="G93" s="491"/>
      <c r="H93" s="522"/>
      <c r="K93" s="489"/>
    </row>
    <row r="94" spans="1:11" s="312" customFormat="1" ht="30.75" customHeight="1">
      <c r="B94" s="525" t="s">
        <v>32</v>
      </c>
      <c r="C94" s="396">
        <v>103606</v>
      </c>
      <c r="D94" s="508" t="s">
        <v>966</v>
      </c>
      <c r="E94" s="508">
        <v>530</v>
      </c>
      <c r="F94" s="506" t="s">
        <v>967</v>
      </c>
      <c r="G94" s="526"/>
      <c r="H94" s="527"/>
      <c r="K94" s="528"/>
    </row>
    <row r="95" spans="1:11" s="312" customFormat="1" ht="32.25" customHeight="1">
      <c r="B95" s="529" t="s">
        <v>714</v>
      </c>
      <c r="C95" s="396">
        <v>100130</v>
      </c>
      <c r="D95" s="508" t="s">
        <v>968</v>
      </c>
      <c r="E95" s="508">
        <v>540</v>
      </c>
      <c r="F95" s="506" t="s">
        <v>969</v>
      </c>
      <c r="G95" s="526"/>
      <c r="H95" s="527"/>
      <c r="K95" s="528"/>
    </row>
    <row r="96" spans="1:11" ht="15.75" customHeight="1">
      <c r="B96" s="530"/>
      <c r="C96" s="531"/>
      <c r="D96" s="532"/>
      <c r="E96" s="532"/>
      <c r="F96" s="533"/>
      <c r="G96" s="534"/>
      <c r="H96" s="535"/>
      <c r="K96" s="489"/>
    </row>
    <row r="97" spans="2:11" ht="15.75" customHeight="1">
      <c r="B97" s="296"/>
      <c r="C97" s="487"/>
      <c r="D97" s="297"/>
      <c r="E97" s="297"/>
      <c r="F97" s="296"/>
      <c r="G97" s="491"/>
      <c r="H97" s="278"/>
      <c r="K97" s="489"/>
    </row>
    <row r="98" spans="2:11" ht="15.75" customHeight="1">
      <c r="B98" s="295"/>
      <c r="C98" s="487"/>
      <c r="D98" s="291"/>
      <c r="E98" s="291"/>
      <c r="F98" s="295"/>
      <c r="G98" s="504">
        <f>SUM(G80:G92)</f>
        <v>42335466</v>
      </c>
      <c r="H98" s="491"/>
      <c r="K98" s="504">
        <f>SUM(K80:K92)</f>
        <v>42335466</v>
      </c>
    </row>
    <row r="99" spans="2:11">
      <c r="B99" s="536"/>
      <c r="C99" s="537"/>
      <c r="D99" s="538"/>
      <c r="E99" s="538"/>
      <c r="F99" s="538"/>
      <c r="G99" s="539"/>
      <c r="H99" s="495"/>
    </row>
    <row r="100" spans="2:11" ht="13.8" thickBot="1">
      <c r="F100" s="277" t="s">
        <v>90</v>
      </c>
      <c r="G100" s="540">
        <f>G98+G77</f>
        <v>393750000</v>
      </c>
      <c r="H100" s="495"/>
      <c r="K100" s="540">
        <f>K98+K77</f>
        <v>393750000</v>
      </c>
    </row>
    <row r="101" spans="2:11" ht="13.8" thickTop="1"/>
    <row r="104" spans="2:11">
      <c r="F104" s="282"/>
      <c r="J104" s="501"/>
    </row>
    <row r="105" spans="2:11">
      <c r="F105" s="282"/>
    </row>
    <row r="106" spans="2:11">
      <c r="B106" s="277"/>
      <c r="C106" s="277"/>
      <c r="F106" s="282"/>
      <c r="H106" s="277"/>
    </row>
    <row r="107" spans="2:11">
      <c r="B107" s="277"/>
      <c r="C107" s="277"/>
      <c r="F107" s="282"/>
      <c r="G107" s="282" t="s">
        <v>970</v>
      </c>
      <c r="H107" s="277"/>
      <c r="K107" s="282"/>
    </row>
    <row r="108" spans="2:11">
      <c r="B108" s="277"/>
      <c r="C108" s="277"/>
      <c r="F108" s="282"/>
      <c r="G108" s="541">
        <v>44498</v>
      </c>
      <c r="H108" s="277"/>
      <c r="K108" s="541"/>
    </row>
    <row r="109" spans="2:11">
      <c r="B109" s="277"/>
      <c r="C109" s="277"/>
      <c r="F109" s="282"/>
      <c r="H109" s="277"/>
    </row>
    <row r="110" spans="2:11">
      <c r="B110" s="277"/>
      <c r="C110" s="277"/>
      <c r="F110" s="282"/>
      <c r="H110" s="277"/>
    </row>
    <row r="122" spans="2:11" ht="15.75" customHeight="1">
      <c r="B122" s="542" t="s">
        <v>971</v>
      </c>
      <c r="C122" s="487">
        <v>3658</v>
      </c>
      <c r="D122" s="297" t="s">
        <v>972</v>
      </c>
      <c r="E122" s="297">
        <v>501</v>
      </c>
      <c r="F122" s="296" t="s">
        <v>973</v>
      </c>
      <c r="G122" s="491"/>
      <c r="H122" s="522"/>
      <c r="K122" s="489"/>
    </row>
    <row r="123" spans="2:11" ht="15.75" customHeight="1">
      <c r="B123" s="530" t="s">
        <v>974</v>
      </c>
      <c r="C123" s="531">
        <v>203599</v>
      </c>
      <c r="D123" s="532" t="s">
        <v>975</v>
      </c>
      <c r="E123" s="532">
        <v>511</v>
      </c>
      <c r="F123" s="533" t="s">
        <v>976</v>
      </c>
      <c r="G123" s="543"/>
      <c r="H123" s="535"/>
      <c r="K123" s="544"/>
    </row>
    <row r="126" spans="2:11" ht="15.75" customHeight="1">
      <c r="B126" s="530" t="s">
        <v>977</v>
      </c>
      <c r="C126" s="531">
        <v>3658</v>
      </c>
      <c r="D126" s="532" t="s">
        <v>972</v>
      </c>
      <c r="E126" s="532">
        <v>52</v>
      </c>
      <c r="F126" s="533" t="s">
        <v>978</v>
      </c>
      <c r="G126" s="534"/>
      <c r="H126" s="535">
        <v>23</v>
      </c>
      <c r="K126" s="523"/>
    </row>
    <row r="127" spans="2:11" ht="15.75" customHeight="1">
      <c r="B127" s="530" t="s">
        <v>979</v>
      </c>
      <c r="C127" s="531">
        <v>3599</v>
      </c>
      <c r="D127" s="532" t="s">
        <v>975</v>
      </c>
      <c r="E127" s="532">
        <v>93</v>
      </c>
      <c r="F127" s="533" t="s">
        <v>980</v>
      </c>
      <c r="G127" s="523"/>
      <c r="H127" s="535">
        <v>64</v>
      </c>
      <c r="K127" s="523"/>
    </row>
    <row r="134" spans="2:11" ht="15.75" customHeight="1">
      <c r="B134" s="493" t="s">
        <v>981</v>
      </c>
      <c r="C134" s="487">
        <v>518</v>
      </c>
      <c r="D134" s="291" t="s">
        <v>982</v>
      </c>
      <c r="E134" s="291">
        <v>635</v>
      </c>
      <c r="F134" s="295" t="s">
        <v>983</v>
      </c>
      <c r="G134" s="501"/>
      <c r="H134" s="495"/>
      <c r="K134" s="501"/>
    </row>
    <row r="135" spans="2:11" ht="15.75" customHeight="1">
      <c r="B135" s="493" t="s">
        <v>984</v>
      </c>
      <c r="C135" s="487">
        <v>519</v>
      </c>
      <c r="D135" s="291" t="s">
        <v>985</v>
      </c>
      <c r="E135" s="291">
        <v>637</v>
      </c>
      <c r="F135" s="295" t="s">
        <v>986</v>
      </c>
      <c r="G135" s="501"/>
      <c r="H135" s="495"/>
      <c r="K135" s="501"/>
    </row>
    <row r="136" spans="2:11" ht="15.75" customHeight="1">
      <c r="B136" s="493" t="s">
        <v>987</v>
      </c>
      <c r="C136" s="487">
        <v>707</v>
      </c>
      <c r="D136" s="291" t="s">
        <v>988</v>
      </c>
      <c r="E136" s="291">
        <v>639</v>
      </c>
      <c r="F136" s="295" t="s">
        <v>989</v>
      </c>
      <c r="G136" s="501"/>
      <c r="H136" s="495"/>
      <c r="K136" s="501"/>
    </row>
  </sheetData>
  <sortState xmlns:xlrd2="http://schemas.microsoft.com/office/spreadsheetml/2017/richdata2" ref="B77:G88">
    <sortCondition ref="C77:C88"/>
  </sortState>
  <mergeCells count="2">
    <mergeCell ref="B6:B7"/>
    <mergeCell ref="K69:K75"/>
  </mergeCells>
  <hyperlinks>
    <hyperlink ref="G1" location="Index!A1" display="Return to Index" xr:uid="{00000000-0004-0000-5600-000000000000}"/>
  </hyperlinks>
  <pageMargins left="0.2" right="0.2" top="0.5" bottom="0.5" header="0.3" footer="0.3"/>
  <pageSetup scale="79" orientation="landscape" r:id="rId1"/>
  <rowBreaks count="2" manualBreakCount="2">
    <brk id="39" max="7" man="1"/>
    <brk id="74" max="16383" man="1"/>
  </rowBreaks>
  <colBreaks count="1" manualBreakCount="1">
    <brk id="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66FF"/>
  </sheetPr>
  <dimension ref="A1:VE55"/>
  <sheetViews>
    <sheetView showGridLines="0" zoomScale="80" zoomScaleNormal="80" workbookViewId="0">
      <pane xSplit="3" ySplit="5" topLeftCell="D20" activePane="bottomRight" state="frozen"/>
      <selection activeCell="B4" sqref="A1:XFD1048576"/>
      <selection pane="topRight" activeCell="B4" sqref="A1:XFD1048576"/>
      <selection pane="bottomLeft" activeCell="B4" sqref="A1:XFD1048576"/>
      <selection pane="bottomRight" activeCell="B4" sqref="A1:XFD1048576"/>
    </sheetView>
  </sheetViews>
  <sheetFormatPr defaultRowHeight="13.2" outlineLevelCol="1"/>
  <cols>
    <col min="1" max="1" width="7.44140625" style="277" customWidth="1"/>
    <col min="2" max="2" width="33.33203125" style="333" customWidth="1"/>
    <col min="3" max="3" width="13.33203125" style="277" customWidth="1"/>
    <col min="4" max="4" width="10.88671875" style="322" customWidth="1"/>
    <col min="5" max="5" width="8.44140625" style="322" customWidth="1"/>
    <col min="6" max="6" width="16.88671875" style="443" customWidth="1"/>
    <col min="7" max="7" width="9.109375" style="322"/>
    <col min="8" max="12" width="8.88671875" style="320"/>
    <col min="13" max="346" width="9.109375" style="320" hidden="1" customWidth="1" outlineLevel="1"/>
    <col min="347" max="347" width="11.33203125" style="320" hidden="1" customWidth="1" outlineLevel="1"/>
    <col min="348" max="526" width="9.109375" style="320" hidden="1" customWidth="1" outlineLevel="1"/>
    <col min="527" max="527" width="4.44140625" style="320" customWidth="1" collapsed="1"/>
    <col min="528" max="528" width="3.88671875" style="320" customWidth="1"/>
    <col min="529" max="529" width="13" style="320" hidden="1" customWidth="1" outlineLevel="1"/>
    <col min="530" max="572" width="9.109375" style="320" hidden="1" customWidth="1" outlineLevel="1"/>
    <col min="573" max="573" width="4.33203125" style="320" customWidth="1" collapsed="1"/>
    <col min="574" max="574" width="3.6640625" style="320" customWidth="1"/>
    <col min="575" max="575" width="25.6640625" style="320" customWidth="1"/>
    <col min="576" max="576" width="19.5546875" style="320" customWidth="1"/>
    <col min="577" max="577" width="22.109375" style="320" customWidth="1"/>
    <col min="578" max="16384" width="8.88671875" style="320"/>
  </cols>
  <sheetData>
    <row r="1" spans="1:577" ht="15">
      <c r="A1" s="295">
        <v>380</v>
      </c>
      <c r="B1" s="1265" t="s">
        <v>936</v>
      </c>
      <c r="C1" s="1266"/>
      <c r="D1" s="1266"/>
      <c r="E1" s="1266"/>
      <c r="F1" s="1267"/>
      <c r="H1" s="320" t="s">
        <v>990</v>
      </c>
      <c r="J1" s="321" t="s">
        <v>51</v>
      </c>
    </row>
    <row r="2" spans="1:577" s="277" customFormat="1">
      <c r="A2" s="320"/>
      <c r="M2" s="277">
        <v>10</v>
      </c>
      <c r="V2" s="277">
        <v>11</v>
      </c>
      <c r="AE2" s="277">
        <v>12</v>
      </c>
      <c r="AN2" s="277">
        <v>13</v>
      </c>
      <c r="AW2" s="277">
        <v>14</v>
      </c>
      <c r="BF2" s="277">
        <v>19</v>
      </c>
      <c r="BO2" s="277">
        <v>20</v>
      </c>
      <c r="BX2" s="277">
        <v>21</v>
      </c>
      <c r="CG2" s="277">
        <v>22</v>
      </c>
      <c r="CP2" s="277">
        <v>23</v>
      </c>
      <c r="CY2" s="277">
        <v>24</v>
      </c>
      <c r="DH2" s="277">
        <v>25</v>
      </c>
      <c r="DQ2" s="277">
        <v>26</v>
      </c>
      <c r="DZ2" s="277">
        <v>27</v>
      </c>
      <c r="EI2" s="277">
        <v>28</v>
      </c>
      <c r="ER2" s="277">
        <v>32</v>
      </c>
      <c r="FA2" s="277">
        <v>33</v>
      </c>
      <c r="FJ2" s="277">
        <v>34</v>
      </c>
      <c r="FS2" s="277">
        <v>35</v>
      </c>
      <c r="GB2" s="277">
        <v>36</v>
      </c>
      <c r="GK2" s="277">
        <v>37</v>
      </c>
      <c r="GT2" s="277">
        <v>38</v>
      </c>
      <c r="HC2" s="277">
        <v>39</v>
      </c>
      <c r="HL2" s="277">
        <v>40</v>
      </c>
      <c r="HU2" s="277">
        <v>41</v>
      </c>
      <c r="ID2" s="277">
        <v>47</v>
      </c>
      <c r="IM2" s="277">
        <v>50</v>
      </c>
      <c r="IV2" s="277">
        <v>53</v>
      </c>
      <c r="JE2" s="277">
        <v>56</v>
      </c>
      <c r="JN2" s="277">
        <v>57</v>
      </c>
      <c r="JW2" s="277">
        <v>58</v>
      </c>
      <c r="KF2" s="277">
        <v>59</v>
      </c>
      <c r="KO2" s="277">
        <v>60</v>
      </c>
      <c r="KX2" s="277">
        <v>61</v>
      </c>
      <c r="LG2" s="277">
        <v>65</v>
      </c>
      <c r="LP2" s="277">
        <v>66</v>
      </c>
      <c r="LY2" s="277">
        <v>67</v>
      </c>
      <c r="MH2" s="277">
        <v>68</v>
      </c>
      <c r="MQ2" s="277">
        <v>69</v>
      </c>
      <c r="MZ2" s="277">
        <v>70</v>
      </c>
      <c r="NI2" s="277">
        <v>71</v>
      </c>
      <c r="NR2" s="277">
        <v>72</v>
      </c>
      <c r="OA2" s="277">
        <v>73</v>
      </c>
      <c r="OC2" s="320"/>
      <c r="OD2" s="320"/>
      <c r="OJ2" s="277">
        <v>74</v>
      </c>
      <c r="OS2" s="277">
        <v>75</v>
      </c>
      <c r="PB2" s="277">
        <v>76</v>
      </c>
      <c r="PK2" s="277">
        <v>80</v>
      </c>
      <c r="PT2" s="277">
        <v>81</v>
      </c>
      <c r="QC2" s="277">
        <v>82</v>
      </c>
      <c r="QL2" s="277">
        <v>83</v>
      </c>
      <c r="QU2" s="277">
        <v>87</v>
      </c>
      <c r="RD2" s="277">
        <v>88</v>
      </c>
      <c r="RM2" s="277">
        <v>93</v>
      </c>
      <c r="RV2" s="277">
        <v>94</v>
      </c>
      <c r="SE2" s="277">
        <v>95</v>
      </c>
      <c r="SN2" s="277">
        <v>96</v>
      </c>
      <c r="SW2" s="277">
        <v>97</v>
      </c>
      <c r="TH2" s="336"/>
      <c r="TK2" s="277" t="s">
        <v>355</v>
      </c>
      <c r="TU2" s="277" t="s">
        <v>991</v>
      </c>
      <c r="UD2" s="277" t="s">
        <v>992</v>
      </c>
      <c r="UM2" s="277" t="s">
        <v>993</v>
      </c>
      <c r="UO2" s="277" t="s">
        <v>994</v>
      </c>
    </row>
    <row r="3" spans="1:577">
      <c r="A3" s="320"/>
      <c r="B3" s="320"/>
      <c r="C3" s="320"/>
      <c r="D3" s="320"/>
      <c r="E3" s="320"/>
      <c r="I3" s="322"/>
      <c r="J3" s="443"/>
      <c r="K3" s="322"/>
      <c r="L3" s="322"/>
      <c r="M3" s="1262" t="s">
        <v>101</v>
      </c>
      <c r="N3" s="1263"/>
      <c r="O3" s="1263"/>
      <c r="P3" s="1263"/>
      <c r="Q3" s="1263"/>
      <c r="R3" s="1263"/>
      <c r="S3" s="1263"/>
      <c r="T3" s="1263"/>
      <c r="U3" s="1264"/>
      <c r="V3" s="1262" t="s">
        <v>134</v>
      </c>
      <c r="W3" s="1263"/>
      <c r="X3" s="1263"/>
      <c r="Y3" s="1263"/>
      <c r="Z3" s="1263"/>
      <c r="AA3" s="1263"/>
      <c r="AB3" s="1263"/>
      <c r="AC3" s="1263"/>
      <c r="AD3" s="1264"/>
      <c r="AE3" s="1262" t="s">
        <v>995</v>
      </c>
      <c r="AF3" s="1263"/>
      <c r="AG3" s="1263"/>
      <c r="AH3" s="1263"/>
      <c r="AI3" s="1263"/>
      <c r="AJ3" s="1263"/>
      <c r="AK3" s="1263"/>
      <c r="AL3" s="1263"/>
      <c r="AM3" s="1264"/>
      <c r="AN3" s="1262" t="s">
        <v>132</v>
      </c>
      <c r="AO3" s="1263"/>
      <c r="AP3" s="1263"/>
      <c r="AQ3" s="1263"/>
      <c r="AR3" s="1263"/>
      <c r="AS3" s="1263"/>
      <c r="AT3" s="1263"/>
      <c r="AU3" s="1263"/>
      <c r="AV3" s="1264"/>
      <c r="AW3" s="1262" t="s">
        <v>511</v>
      </c>
      <c r="AX3" s="1263"/>
      <c r="AY3" s="1263"/>
      <c r="AZ3" s="1263"/>
      <c r="BA3" s="1263"/>
      <c r="BB3" s="1263"/>
      <c r="BC3" s="1263"/>
      <c r="BD3" s="1263"/>
      <c r="BE3" s="1264"/>
      <c r="BF3" s="1262" t="s">
        <v>592</v>
      </c>
      <c r="BG3" s="1263"/>
      <c r="BH3" s="1263"/>
      <c r="BI3" s="1263"/>
      <c r="BJ3" s="1263"/>
      <c r="BK3" s="1263"/>
      <c r="BL3" s="1263"/>
      <c r="BM3" s="1263"/>
      <c r="BN3" s="1264"/>
      <c r="BO3" s="1262" t="s">
        <v>593</v>
      </c>
      <c r="BP3" s="1263"/>
      <c r="BQ3" s="1263"/>
      <c r="BR3" s="1263"/>
      <c r="BS3" s="1263"/>
      <c r="BT3" s="1263"/>
      <c r="BU3" s="1263"/>
      <c r="BV3" s="1263"/>
      <c r="BW3" s="1264"/>
      <c r="BX3" s="1262" t="s">
        <v>594</v>
      </c>
      <c r="BY3" s="1263"/>
      <c r="BZ3" s="1263"/>
      <c r="CA3" s="1263"/>
      <c r="CB3" s="1263"/>
      <c r="CC3" s="1263"/>
      <c r="CD3" s="1263"/>
      <c r="CE3" s="1263"/>
      <c r="CF3" s="1264"/>
      <c r="CG3" s="1262" t="s">
        <v>595</v>
      </c>
      <c r="CH3" s="1263"/>
      <c r="CI3" s="1263"/>
      <c r="CJ3" s="1263"/>
      <c r="CK3" s="1263"/>
      <c r="CL3" s="1263"/>
      <c r="CM3" s="1263"/>
      <c r="CN3" s="1263"/>
      <c r="CO3" s="1264"/>
      <c r="CP3" s="1262" t="s">
        <v>233</v>
      </c>
      <c r="CQ3" s="1263"/>
      <c r="CR3" s="1263"/>
      <c r="CS3" s="1263"/>
      <c r="CT3" s="1263"/>
      <c r="CU3" s="1263"/>
      <c r="CV3" s="1263"/>
      <c r="CW3" s="1263"/>
      <c r="CX3" s="1264"/>
      <c r="CY3" s="1262" t="s">
        <v>596</v>
      </c>
      <c r="CZ3" s="1263"/>
      <c r="DA3" s="1263"/>
      <c r="DB3" s="1263"/>
      <c r="DC3" s="1263"/>
      <c r="DD3" s="1263"/>
      <c r="DE3" s="1263"/>
      <c r="DF3" s="1263"/>
      <c r="DG3" s="1264"/>
      <c r="DH3" s="1262" t="s">
        <v>597</v>
      </c>
      <c r="DI3" s="1263"/>
      <c r="DJ3" s="1263"/>
      <c r="DK3" s="1263"/>
      <c r="DL3" s="1263"/>
      <c r="DM3" s="1263"/>
      <c r="DN3" s="1263"/>
      <c r="DO3" s="1263"/>
      <c r="DP3" s="1264"/>
      <c r="DQ3" s="1262" t="s">
        <v>598</v>
      </c>
      <c r="DR3" s="1263"/>
      <c r="DS3" s="1263"/>
      <c r="DT3" s="1263"/>
      <c r="DU3" s="1263"/>
      <c r="DV3" s="1263"/>
      <c r="DW3" s="1263"/>
      <c r="DX3" s="1263"/>
      <c r="DY3" s="1264"/>
      <c r="DZ3" s="1262" t="s">
        <v>599</v>
      </c>
      <c r="EA3" s="1263"/>
      <c r="EB3" s="1263"/>
      <c r="EC3" s="1263"/>
      <c r="ED3" s="1263"/>
      <c r="EE3" s="1263"/>
      <c r="EF3" s="1263"/>
      <c r="EG3" s="1263"/>
      <c r="EH3" s="1264"/>
      <c r="EI3" s="1262" t="s">
        <v>614</v>
      </c>
      <c r="EJ3" s="1263"/>
      <c r="EK3" s="1263"/>
      <c r="EL3" s="1263"/>
      <c r="EM3" s="1263"/>
      <c r="EN3" s="1263"/>
      <c r="EO3" s="1263"/>
      <c r="EP3" s="1263"/>
      <c r="EQ3" s="1264"/>
      <c r="ER3" s="1262" t="s">
        <v>592</v>
      </c>
      <c r="ES3" s="1263"/>
      <c r="ET3" s="1263"/>
      <c r="EU3" s="1263"/>
      <c r="EV3" s="1263"/>
      <c r="EW3" s="1263"/>
      <c r="EX3" s="1263"/>
      <c r="EY3" s="1263"/>
      <c r="EZ3" s="1264"/>
      <c r="FA3" s="1262" t="s">
        <v>593</v>
      </c>
      <c r="FB3" s="1263"/>
      <c r="FC3" s="1263"/>
      <c r="FD3" s="1263"/>
      <c r="FE3" s="1263"/>
      <c r="FF3" s="1263"/>
      <c r="FG3" s="1263"/>
      <c r="FH3" s="1263"/>
      <c r="FI3" s="1264"/>
      <c r="FJ3" s="1262" t="s">
        <v>594</v>
      </c>
      <c r="FK3" s="1263"/>
      <c r="FL3" s="1263"/>
      <c r="FM3" s="1263"/>
      <c r="FN3" s="1263"/>
      <c r="FO3" s="1263"/>
      <c r="FP3" s="1263"/>
      <c r="FQ3" s="1263"/>
      <c r="FR3" s="1264"/>
      <c r="FS3" s="1262" t="s">
        <v>595</v>
      </c>
      <c r="FT3" s="1263"/>
      <c r="FU3" s="1263"/>
      <c r="FV3" s="1263"/>
      <c r="FW3" s="1263"/>
      <c r="FX3" s="1263"/>
      <c r="FY3" s="1263"/>
      <c r="FZ3" s="1263"/>
      <c r="GA3" s="1264"/>
      <c r="GB3" s="1262" t="s">
        <v>239</v>
      </c>
      <c r="GC3" s="1263"/>
      <c r="GD3" s="1263"/>
      <c r="GE3" s="1263"/>
      <c r="GF3" s="1263"/>
      <c r="GG3" s="1263"/>
      <c r="GH3" s="1263"/>
      <c r="GI3" s="1263"/>
      <c r="GJ3" s="1264"/>
      <c r="GK3" s="1262" t="s">
        <v>596</v>
      </c>
      <c r="GL3" s="1263"/>
      <c r="GM3" s="1263"/>
      <c r="GN3" s="1263"/>
      <c r="GO3" s="1263"/>
      <c r="GP3" s="1263"/>
      <c r="GQ3" s="1263"/>
      <c r="GR3" s="1263"/>
      <c r="GS3" s="1264"/>
      <c r="GT3" s="1262" t="s">
        <v>597</v>
      </c>
      <c r="GU3" s="1263"/>
      <c r="GV3" s="1263"/>
      <c r="GW3" s="1263"/>
      <c r="GX3" s="1263"/>
      <c r="GY3" s="1263"/>
      <c r="GZ3" s="1263"/>
      <c r="HA3" s="1263"/>
      <c r="HB3" s="1264"/>
      <c r="HC3" s="1262" t="s">
        <v>598</v>
      </c>
      <c r="HD3" s="1263"/>
      <c r="HE3" s="1263"/>
      <c r="HF3" s="1263"/>
      <c r="HG3" s="1263"/>
      <c r="HH3" s="1263"/>
      <c r="HI3" s="1263"/>
      <c r="HJ3" s="1263"/>
      <c r="HK3" s="1264"/>
      <c r="HL3" s="1262" t="s">
        <v>599</v>
      </c>
      <c r="HM3" s="1263"/>
      <c r="HN3" s="1263"/>
      <c r="HO3" s="1263"/>
      <c r="HP3" s="1263"/>
      <c r="HQ3" s="1263"/>
      <c r="HR3" s="1263"/>
      <c r="HS3" s="1263"/>
      <c r="HT3" s="1264"/>
      <c r="HU3" s="1262" t="s">
        <v>614</v>
      </c>
      <c r="HV3" s="1263"/>
      <c r="HW3" s="1263"/>
      <c r="HX3" s="1263"/>
      <c r="HY3" s="1263"/>
      <c r="HZ3" s="1263"/>
      <c r="IA3" s="1263"/>
      <c r="IB3" s="1263"/>
      <c r="IC3" s="1264"/>
      <c r="ID3" s="1262" t="s">
        <v>168</v>
      </c>
      <c r="IE3" s="1263"/>
      <c r="IF3" s="1263"/>
      <c r="IG3" s="1263"/>
      <c r="IH3" s="1263"/>
      <c r="II3" s="1263"/>
      <c r="IJ3" s="1263"/>
      <c r="IK3" s="1263"/>
      <c r="IL3" s="1264"/>
      <c r="IM3" s="1262" t="s">
        <v>163</v>
      </c>
      <c r="IN3" s="1263"/>
      <c r="IO3" s="1263"/>
      <c r="IP3" s="1263"/>
      <c r="IQ3" s="1263"/>
      <c r="IR3" s="1263"/>
      <c r="IS3" s="1263"/>
      <c r="IT3" s="1263"/>
      <c r="IU3" s="1264"/>
      <c r="IV3" s="1262" t="s">
        <v>164</v>
      </c>
      <c r="IW3" s="1263"/>
      <c r="IX3" s="1263"/>
      <c r="IY3" s="1263"/>
      <c r="IZ3" s="1263"/>
      <c r="JA3" s="1263"/>
      <c r="JB3" s="1263"/>
      <c r="JC3" s="1263"/>
      <c r="JD3" s="1264"/>
      <c r="JE3" s="1262" t="s">
        <v>996</v>
      </c>
      <c r="JF3" s="1263"/>
      <c r="JG3" s="1263"/>
      <c r="JH3" s="1263"/>
      <c r="JI3" s="1263"/>
      <c r="JJ3" s="1263"/>
      <c r="JK3" s="1263"/>
      <c r="JL3" s="1263"/>
      <c r="JM3" s="1264"/>
      <c r="JN3" s="1262" t="s">
        <v>173</v>
      </c>
      <c r="JO3" s="1263"/>
      <c r="JP3" s="1263"/>
      <c r="JQ3" s="1263"/>
      <c r="JR3" s="1263"/>
      <c r="JS3" s="1263"/>
      <c r="JT3" s="1263"/>
      <c r="JU3" s="1263"/>
      <c r="JV3" s="1264"/>
      <c r="JW3" s="1262" t="s">
        <v>174</v>
      </c>
      <c r="JX3" s="1263"/>
      <c r="JY3" s="1263"/>
      <c r="JZ3" s="1263"/>
      <c r="KA3" s="1263"/>
      <c r="KB3" s="1263"/>
      <c r="KC3" s="1263"/>
      <c r="KD3" s="1263"/>
      <c r="KE3" s="1264"/>
      <c r="KF3" s="1262" t="s">
        <v>175</v>
      </c>
      <c r="KG3" s="1263"/>
      <c r="KH3" s="1263"/>
      <c r="KI3" s="1263"/>
      <c r="KJ3" s="1263"/>
      <c r="KK3" s="1263"/>
      <c r="KL3" s="1263"/>
      <c r="KM3" s="1263"/>
      <c r="KN3" s="1264"/>
      <c r="KO3" s="1262" t="s">
        <v>176</v>
      </c>
      <c r="KP3" s="1263"/>
      <c r="KQ3" s="1263"/>
      <c r="KR3" s="1263"/>
      <c r="KS3" s="1263"/>
      <c r="KT3" s="1263"/>
      <c r="KU3" s="1263"/>
      <c r="KV3" s="1263"/>
      <c r="KW3" s="1264"/>
      <c r="KX3" s="1262" t="s">
        <v>517</v>
      </c>
      <c r="KY3" s="1263"/>
      <c r="KZ3" s="1263"/>
      <c r="LA3" s="1263"/>
      <c r="LB3" s="1263"/>
      <c r="LC3" s="1263"/>
      <c r="LD3" s="1263"/>
      <c r="LE3" s="1263"/>
      <c r="LF3" s="1264"/>
      <c r="LG3" s="1262" t="s">
        <v>92</v>
      </c>
      <c r="LH3" s="1263"/>
      <c r="LI3" s="1263"/>
      <c r="LJ3" s="1263"/>
      <c r="LK3" s="1263"/>
      <c r="LL3" s="1263"/>
      <c r="LM3" s="1263"/>
      <c r="LN3" s="1263"/>
      <c r="LO3" s="1264"/>
      <c r="LP3" s="1262" t="s">
        <v>179</v>
      </c>
      <c r="LQ3" s="1263"/>
      <c r="LR3" s="1263"/>
      <c r="LS3" s="1263"/>
      <c r="LT3" s="1263"/>
      <c r="LU3" s="1263"/>
      <c r="LV3" s="1263"/>
      <c r="LW3" s="1263"/>
      <c r="LX3" s="1264"/>
      <c r="LY3" s="1262" t="s">
        <v>180</v>
      </c>
      <c r="LZ3" s="1263"/>
      <c r="MA3" s="1263"/>
      <c r="MB3" s="1263"/>
      <c r="MC3" s="1263"/>
      <c r="MD3" s="1263"/>
      <c r="ME3" s="1263"/>
      <c r="MF3" s="1263"/>
      <c r="MG3" s="1264"/>
      <c r="MH3" s="1262" t="s">
        <v>164</v>
      </c>
      <c r="MI3" s="1263"/>
      <c r="MJ3" s="1263"/>
      <c r="MK3" s="1263"/>
      <c r="ML3" s="1263"/>
      <c r="MM3" s="1263"/>
      <c r="MN3" s="1263"/>
      <c r="MO3" s="1263"/>
      <c r="MP3" s="1264"/>
      <c r="MQ3" s="1262" t="s">
        <v>181</v>
      </c>
      <c r="MR3" s="1263"/>
      <c r="MS3" s="1263"/>
      <c r="MT3" s="1263"/>
      <c r="MU3" s="1263"/>
      <c r="MV3" s="1263"/>
      <c r="MW3" s="1263"/>
      <c r="MX3" s="1263"/>
      <c r="MY3" s="1264"/>
      <c r="MZ3" s="1262" t="s">
        <v>182</v>
      </c>
      <c r="NA3" s="1263"/>
      <c r="NB3" s="1263"/>
      <c r="NC3" s="1263"/>
      <c r="ND3" s="1263"/>
      <c r="NE3" s="1263"/>
      <c r="NF3" s="1263"/>
      <c r="NG3" s="1263"/>
      <c r="NH3" s="1264"/>
      <c r="NI3" s="1262" t="s">
        <v>183</v>
      </c>
      <c r="NJ3" s="1263"/>
      <c r="NK3" s="1263"/>
      <c r="NL3" s="1263"/>
      <c r="NM3" s="1263"/>
      <c r="NN3" s="1263"/>
      <c r="NO3" s="1263"/>
      <c r="NP3" s="1263"/>
      <c r="NQ3" s="1264"/>
      <c r="NR3" s="1262" t="s">
        <v>184</v>
      </c>
      <c r="NS3" s="1263"/>
      <c r="NT3" s="1263"/>
      <c r="NU3" s="1263"/>
      <c r="NV3" s="1263"/>
      <c r="NW3" s="1263"/>
      <c r="NX3" s="1263"/>
      <c r="NY3" s="1263"/>
      <c r="NZ3" s="1264"/>
      <c r="OA3" s="1262" t="s">
        <v>185</v>
      </c>
      <c r="OB3" s="1263"/>
      <c r="OC3" s="1263"/>
      <c r="OD3" s="1263"/>
      <c r="OE3" s="1263"/>
      <c r="OF3" s="1263"/>
      <c r="OG3" s="1263"/>
      <c r="OH3" s="1263"/>
      <c r="OI3" s="1264"/>
      <c r="OJ3" s="1262" t="s">
        <v>186</v>
      </c>
      <c r="OK3" s="1263"/>
      <c r="OL3" s="1263"/>
      <c r="OM3" s="1263"/>
      <c r="ON3" s="1263"/>
      <c r="OO3" s="1263"/>
      <c r="OP3" s="1263"/>
      <c r="OQ3" s="1263"/>
      <c r="OR3" s="1264"/>
      <c r="OS3" s="1262" t="s">
        <v>187</v>
      </c>
      <c r="OT3" s="1263"/>
      <c r="OU3" s="1263"/>
      <c r="OV3" s="1263"/>
      <c r="OW3" s="1263"/>
      <c r="OX3" s="1263"/>
      <c r="OY3" s="1263"/>
      <c r="OZ3" s="1263"/>
      <c r="PA3" s="1264"/>
      <c r="PB3" s="1262" t="s">
        <v>522</v>
      </c>
      <c r="PC3" s="1263"/>
      <c r="PD3" s="1263"/>
      <c r="PE3" s="1263"/>
      <c r="PF3" s="1263"/>
      <c r="PG3" s="1263"/>
      <c r="PH3" s="1263"/>
      <c r="PI3" s="1263"/>
      <c r="PJ3" s="1264"/>
      <c r="PK3" s="1262" t="s">
        <v>474</v>
      </c>
      <c r="PL3" s="1263"/>
      <c r="PM3" s="1263"/>
      <c r="PN3" s="1263"/>
      <c r="PO3" s="1263"/>
      <c r="PP3" s="1263"/>
      <c r="PQ3" s="1263"/>
      <c r="PR3" s="1263"/>
      <c r="PS3" s="1264"/>
      <c r="PT3" s="1262" t="s">
        <v>997</v>
      </c>
      <c r="PU3" s="1263"/>
      <c r="PV3" s="1263"/>
      <c r="PW3" s="1263"/>
      <c r="PX3" s="1263"/>
      <c r="PY3" s="1263"/>
      <c r="PZ3" s="1263"/>
      <c r="QA3" s="1263"/>
      <c r="QB3" s="1264"/>
      <c r="QC3" s="1262" t="s">
        <v>998</v>
      </c>
      <c r="QD3" s="1263"/>
      <c r="QE3" s="1263"/>
      <c r="QF3" s="1263"/>
      <c r="QG3" s="1263"/>
      <c r="QH3" s="1263"/>
      <c r="QI3" s="1263"/>
      <c r="QJ3" s="1263"/>
      <c r="QK3" s="1264"/>
      <c r="QL3" s="1262" t="s">
        <v>999</v>
      </c>
      <c r="QM3" s="1263"/>
      <c r="QN3" s="1263"/>
      <c r="QO3" s="1263"/>
      <c r="QP3" s="1263"/>
      <c r="QQ3" s="1263"/>
      <c r="QR3" s="1263"/>
      <c r="QS3" s="1263"/>
      <c r="QT3" s="1264"/>
      <c r="QU3" s="1262" t="s">
        <v>1000</v>
      </c>
      <c r="QV3" s="1263"/>
      <c r="QW3" s="1263"/>
      <c r="QX3" s="1263"/>
      <c r="QY3" s="1263"/>
      <c r="QZ3" s="1263"/>
      <c r="RA3" s="1263"/>
      <c r="RB3" s="1263"/>
      <c r="RC3" s="1264"/>
      <c r="RD3" s="1262" t="s">
        <v>1001</v>
      </c>
      <c r="RE3" s="1263"/>
      <c r="RF3" s="1263"/>
      <c r="RG3" s="1263"/>
      <c r="RH3" s="1263"/>
      <c r="RI3" s="1263"/>
      <c r="RJ3" s="1263"/>
      <c r="RK3" s="1263"/>
      <c r="RL3" s="1264"/>
      <c r="RM3" s="1262" t="s">
        <v>482</v>
      </c>
      <c r="RN3" s="1263"/>
      <c r="RO3" s="1263"/>
      <c r="RP3" s="1263"/>
      <c r="RQ3" s="1263"/>
      <c r="RR3" s="1263"/>
      <c r="RS3" s="1263"/>
      <c r="RT3" s="1263"/>
      <c r="RU3" s="1264"/>
      <c r="RV3" s="1262" t="s">
        <v>483</v>
      </c>
      <c r="RW3" s="1263"/>
      <c r="RX3" s="1263"/>
      <c r="RY3" s="1263"/>
      <c r="RZ3" s="1263"/>
      <c r="SA3" s="1263"/>
      <c r="SB3" s="1263"/>
      <c r="SC3" s="1263"/>
      <c r="SD3" s="1264"/>
      <c r="SE3" s="1262" t="s">
        <v>484</v>
      </c>
      <c r="SF3" s="1263"/>
      <c r="SG3" s="1263"/>
      <c r="SH3" s="1263"/>
      <c r="SI3" s="1263"/>
      <c r="SJ3" s="1263"/>
      <c r="SK3" s="1263"/>
      <c r="SL3" s="1263"/>
      <c r="SM3" s="1264"/>
      <c r="SN3" s="1262" t="s">
        <v>485</v>
      </c>
      <c r="SO3" s="1263"/>
      <c r="SP3" s="1263"/>
      <c r="SQ3" s="1263"/>
      <c r="SR3" s="1263"/>
      <c r="SS3" s="1263"/>
      <c r="ST3" s="1263"/>
      <c r="SU3" s="1263"/>
      <c r="SV3" s="1264"/>
      <c r="SW3" s="1262" t="s">
        <v>486</v>
      </c>
      <c r="SX3" s="1263"/>
      <c r="SY3" s="1263"/>
      <c r="SZ3" s="1263"/>
      <c r="TA3" s="1263"/>
      <c r="TB3" s="1263"/>
      <c r="TC3" s="1263"/>
      <c r="TD3" s="1263"/>
      <c r="TE3" s="1264"/>
      <c r="TH3" s="336"/>
      <c r="TI3" s="1262" t="s">
        <v>695</v>
      </c>
      <c r="TJ3" s="1264"/>
      <c r="TK3" s="1268" t="s">
        <v>1002</v>
      </c>
      <c r="TL3" s="1269"/>
      <c r="TM3" s="1269"/>
      <c r="TN3" s="1269"/>
      <c r="TO3" s="1269"/>
      <c r="TP3" s="1269"/>
      <c r="TQ3" s="1269"/>
      <c r="TR3" s="1269"/>
      <c r="TS3" s="1269"/>
      <c r="TT3" s="1270"/>
      <c r="TU3" s="1268" t="s">
        <v>1003</v>
      </c>
      <c r="TV3" s="1269"/>
      <c r="TW3" s="1269"/>
      <c r="TX3" s="1269"/>
      <c r="TY3" s="1269"/>
      <c r="TZ3" s="1269"/>
      <c r="UA3" s="1269"/>
      <c r="UB3" s="1269"/>
      <c r="UC3" s="1270"/>
      <c r="UD3" s="1268" t="s">
        <v>1004</v>
      </c>
      <c r="UE3" s="1269"/>
      <c r="UF3" s="1269"/>
      <c r="UG3" s="1269"/>
      <c r="UH3" s="1269"/>
      <c r="UI3" s="1269"/>
      <c r="UJ3" s="1269"/>
      <c r="UK3" s="1269"/>
      <c r="UL3" s="1270"/>
      <c r="UM3" s="1271" t="s">
        <v>1005</v>
      </c>
      <c r="UN3" s="1272"/>
      <c r="UO3" s="1268" t="s">
        <v>695</v>
      </c>
      <c r="UP3" s="1269"/>
      <c r="UQ3" s="1269"/>
      <c r="UR3" s="1269"/>
      <c r="US3" s="1269"/>
      <c r="UT3" s="1269"/>
      <c r="UU3" s="1269"/>
      <c r="UV3" s="1269"/>
      <c r="UW3" s="1269"/>
      <c r="UX3" s="1270"/>
      <c r="UY3" s="1268" t="s">
        <v>1006</v>
      </c>
      <c r="UZ3" s="1270"/>
      <c r="VB3" s="336"/>
      <c r="VC3" s="1268" t="s">
        <v>1007</v>
      </c>
      <c r="VD3" s="1269"/>
      <c r="VE3" s="1270"/>
    </row>
    <row r="4" spans="1:577" ht="79.2">
      <c r="A4" s="320"/>
      <c r="B4" s="314" t="s">
        <v>1008</v>
      </c>
      <c r="C4" s="320"/>
      <c r="D4" s="320"/>
      <c r="E4" s="320"/>
      <c r="M4" s="447" t="s">
        <v>1009</v>
      </c>
      <c r="N4" s="448" t="s">
        <v>1010</v>
      </c>
      <c r="O4" s="448" t="s">
        <v>560</v>
      </c>
      <c r="P4" s="448" t="s">
        <v>1011</v>
      </c>
      <c r="Q4" s="448" t="s">
        <v>1012</v>
      </c>
      <c r="R4" s="448" t="s">
        <v>1013</v>
      </c>
      <c r="S4" s="448" t="s">
        <v>1014</v>
      </c>
      <c r="T4" s="448" t="s">
        <v>1015</v>
      </c>
      <c r="U4" s="449" t="s">
        <v>1016</v>
      </c>
      <c r="V4" s="447" t="s">
        <v>1009</v>
      </c>
      <c r="W4" s="448" t="s">
        <v>1010</v>
      </c>
      <c r="X4" s="448" t="s">
        <v>560</v>
      </c>
      <c r="Y4" s="448" t="s">
        <v>1011</v>
      </c>
      <c r="Z4" s="448" t="s">
        <v>1012</v>
      </c>
      <c r="AA4" s="448" t="s">
        <v>1013</v>
      </c>
      <c r="AB4" s="448" t="s">
        <v>1014</v>
      </c>
      <c r="AC4" s="448" t="s">
        <v>1015</v>
      </c>
      <c r="AD4" s="449" t="s">
        <v>1016</v>
      </c>
      <c r="AE4" s="447" t="s">
        <v>1009</v>
      </c>
      <c r="AF4" s="448" t="s">
        <v>1010</v>
      </c>
      <c r="AG4" s="448" t="s">
        <v>560</v>
      </c>
      <c r="AH4" s="448" t="s">
        <v>1011</v>
      </c>
      <c r="AI4" s="448" t="s">
        <v>1012</v>
      </c>
      <c r="AJ4" s="448" t="s">
        <v>1013</v>
      </c>
      <c r="AK4" s="448" t="s">
        <v>1014</v>
      </c>
      <c r="AL4" s="448" t="s">
        <v>1015</v>
      </c>
      <c r="AM4" s="449" t="s">
        <v>1016</v>
      </c>
      <c r="AN4" s="447" t="s">
        <v>1009</v>
      </c>
      <c r="AO4" s="448" t="s">
        <v>1010</v>
      </c>
      <c r="AP4" s="448" t="s">
        <v>560</v>
      </c>
      <c r="AQ4" s="448" t="s">
        <v>1011</v>
      </c>
      <c r="AR4" s="448" t="s">
        <v>1012</v>
      </c>
      <c r="AS4" s="448" t="s">
        <v>1013</v>
      </c>
      <c r="AT4" s="448" t="s">
        <v>1014</v>
      </c>
      <c r="AU4" s="448" t="s">
        <v>1015</v>
      </c>
      <c r="AV4" s="449" t="s">
        <v>1016</v>
      </c>
      <c r="AW4" s="447" t="s">
        <v>1009</v>
      </c>
      <c r="AX4" s="448" t="s">
        <v>1010</v>
      </c>
      <c r="AY4" s="448" t="s">
        <v>560</v>
      </c>
      <c r="AZ4" s="448" t="s">
        <v>1011</v>
      </c>
      <c r="BA4" s="448" t="s">
        <v>1012</v>
      </c>
      <c r="BB4" s="448" t="s">
        <v>1013</v>
      </c>
      <c r="BC4" s="448" t="s">
        <v>1014</v>
      </c>
      <c r="BD4" s="448" t="s">
        <v>1015</v>
      </c>
      <c r="BE4" s="449" t="s">
        <v>1016</v>
      </c>
      <c r="BF4" s="447" t="s">
        <v>1009</v>
      </c>
      <c r="BG4" s="448" t="s">
        <v>1010</v>
      </c>
      <c r="BH4" s="448" t="s">
        <v>560</v>
      </c>
      <c r="BI4" s="448" t="s">
        <v>1011</v>
      </c>
      <c r="BJ4" s="448" t="s">
        <v>1012</v>
      </c>
      <c r="BK4" s="448" t="s">
        <v>1013</v>
      </c>
      <c r="BL4" s="448" t="s">
        <v>1014</v>
      </c>
      <c r="BM4" s="448" t="s">
        <v>1015</v>
      </c>
      <c r="BN4" s="449" t="s">
        <v>1016</v>
      </c>
      <c r="BO4" s="447" t="s">
        <v>1009</v>
      </c>
      <c r="BP4" s="448" t="s">
        <v>1010</v>
      </c>
      <c r="BQ4" s="448" t="s">
        <v>560</v>
      </c>
      <c r="BR4" s="448" t="s">
        <v>1011</v>
      </c>
      <c r="BS4" s="448" t="s">
        <v>1012</v>
      </c>
      <c r="BT4" s="448" t="s">
        <v>1013</v>
      </c>
      <c r="BU4" s="448" t="s">
        <v>1014</v>
      </c>
      <c r="BV4" s="448" t="s">
        <v>1015</v>
      </c>
      <c r="BW4" s="449" t="s">
        <v>1016</v>
      </c>
      <c r="BX4" s="447" t="s">
        <v>1009</v>
      </c>
      <c r="BY4" s="448" t="s">
        <v>1010</v>
      </c>
      <c r="BZ4" s="448" t="s">
        <v>560</v>
      </c>
      <c r="CA4" s="448" t="s">
        <v>1011</v>
      </c>
      <c r="CB4" s="448" t="s">
        <v>1012</v>
      </c>
      <c r="CC4" s="448" t="s">
        <v>1013</v>
      </c>
      <c r="CD4" s="448" t="s">
        <v>1014</v>
      </c>
      <c r="CE4" s="448" t="s">
        <v>1015</v>
      </c>
      <c r="CF4" s="449" t="s">
        <v>1016</v>
      </c>
      <c r="CG4" s="447" t="s">
        <v>1009</v>
      </c>
      <c r="CH4" s="448" t="s">
        <v>1010</v>
      </c>
      <c r="CI4" s="448" t="s">
        <v>560</v>
      </c>
      <c r="CJ4" s="448" t="s">
        <v>1011</v>
      </c>
      <c r="CK4" s="448" t="s">
        <v>1012</v>
      </c>
      <c r="CL4" s="448" t="s">
        <v>1013</v>
      </c>
      <c r="CM4" s="448" t="s">
        <v>1014</v>
      </c>
      <c r="CN4" s="448" t="s">
        <v>1015</v>
      </c>
      <c r="CO4" s="449" t="s">
        <v>1016</v>
      </c>
      <c r="CP4" s="447" t="s">
        <v>1009</v>
      </c>
      <c r="CQ4" s="448" t="s">
        <v>1010</v>
      </c>
      <c r="CR4" s="448" t="s">
        <v>560</v>
      </c>
      <c r="CS4" s="448" t="s">
        <v>1011</v>
      </c>
      <c r="CT4" s="448" t="s">
        <v>1012</v>
      </c>
      <c r="CU4" s="448" t="s">
        <v>1013</v>
      </c>
      <c r="CV4" s="448" t="s">
        <v>1014</v>
      </c>
      <c r="CW4" s="448" t="s">
        <v>1015</v>
      </c>
      <c r="CX4" s="449" t="s">
        <v>1016</v>
      </c>
      <c r="CY4" s="447" t="s">
        <v>1009</v>
      </c>
      <c r="CZ4" s="448" t="s">
        <v>1010</v>
      </c>
      <c r="DA4" s="448" t="s">
        <v>560</v>
      </c>
      <c r="DB4" s="448" t="s">
        <v>1011</v>
      </c>
      <c r="DC4" s="448" t="s">
        <v>1012</v>
      </c>
      <c r="DD4" s="448" t="s">
        <v>1013</v>
      </c>
      <c r="DE4" s="448" t="s">
        <v>1014</v>
      </c>
      <c r="DF4" s="448" t="s">
        <v>1015</v>
      </c>
      <c r="DG4" s="449" t="s">
        <v>1016</v>
      </c>
      <c r="DH4" s="447" t="s">
        <v>1009</v>
      </c>
      <c r="DI4" s="448" t="s">
        <v>1010</v>
      </c>
      <c r="DJ4" s="448" t="s">
        <v>560</v>
      </c>
      <c r="DK4" s="448" t="s">
        <v>1011</v>
      </c>
      <c r="DL4" s="448" t="s">
        <v>1012</v>
      </c>
      <c r="DM4" s="448" t="s">
        <v>1013</v>
      </c>
      <c r="DN4" s="448" t="s">
        <v>1014</v>
      </c>
      <c r="DO4" s="448" t="s">
        <v>1015</v>
      </c>
      <c r="DP4" s="449" t="s">
        <v>1016</v>
      </c>
      <c r="DQ4" s="447" t="s">
        <v>1009</v>
      </c>
      <c r="DR4" s="448" t="s">
        <v>1010</v>
      </c>
      <c r="DS4" s="448" t="s">
        <v>560</v>
      </c>
      <c r="DT4" s="448" t="s">
        <v>1011</v>
      </c>
      <c r="DU4" s="448" t="s">
        <v>1012</v>
      </c>
      <c r="DV4" s="448" t="s">
        <v>1013</v>
      </c>
      <c r="DW4" s="448" t="s">
        <v>1014</v>
      </c>
      <c r="DX4" s="448" t="s">
        <v>1015</v>
      </c>
      <c r="DY4" s="449" t="s">
        <v>1016</v>
      </c>
      <c r="DZ4" s="447" t="s">
        <v>1009</v>
      </c>
      <c r="EA4" s="448" t="s">
        <v>1010</v>
      </c>
      <c r="EB4" s="448" t="s">
        <v>560</v>
      </c>
      <c r="EC4" s="448" t="s">
        <v>1011</v>
      </c>
      <c r="ED4" s="448" t="s">
        <v>1012</v>
      </c>
      <c r="EE4" s="448" t="s">
        <v>1013</v>
      </c>
      <c r="EF4" s="448" t="s">
        <v>1014</v>
      </c>
      <c r="EG4" s="448" t="s">
        <v>1015</v>
      </c>
      <c r="EH4" s="449" t="s">
        <v>1016</v>
      </c>
      <c r="EI4" s="447" t="s">
        <v>1009</v>
      </c>
      <c r="EJ4" s="448" t="s">
        <v>1010</v>
      </c>
      <c r="EK4" s="448" t="s">
        <v>560</v>
      </c>
      <c r="EL4" s="448" t="s">
        <v>1011</v>
      </c>
      <c r="EM4" s="448" t="s">
        <v>1012</v>
      </c>
      <c r="EN4" s="448" t="s">
        <v>1013</v>
      </c>
      <c r="EO4" s="448" t="s">
        <v>1014</v>
      </c>
      <c r="EP4" s="448" t="s">
        <v>1015</v>
      </c>
      <c r="EQ4" s="449" t="s">
        <v>1016</v>
      </c>
      <c r="ER4" s="447" t="s">
        <v>1009</v>
      </c>
      <c r="ES4" s="448" t="s">
        <v>1010</v>
      </c>
      <c r="ET4" s="448" t="s">
        <v>560</v>
      </c>
      <c r="EU4" s="448" t="s">
        <v>1011</v>
      </c>
      <c r="EV4" s="448" t="s">
        <v>1012</v>
      </c>
      <c r="EW4" s="448" t="s">
        <v>1013</v>
      </c>
      <c r="EX4" s="448" t="s">
        <v>1014</v>
      </c>
      <c r="EY4" s="448" t="s">
        <v>1015</v>
      </c>
      <c r="EZ4" s="449" t="s">
        <v>1016</v>
      </c>
      <c r="FA4" s="447" t="s">
        <v>1009</v>
      </c>
      <c r="FB4" s="448" t="s">
        <v>1010</v>
      </c>
      <c r="FC4" s="448" t="s">
        <v>560</v>
      </c>
      <c r="FD4" s="448" t="s">
        <v>1011</v>
      </c>
      <c r="FE4" s="448" t="s">
        <v>1012</v>
      </c>
      <c r="FF4" s="448" t="s">
        <v>1013</v>
      </c>
      <c r="FG4" s="448" t="s">
        <v>1014</v>
      </c>
      <c r="FH4" s="448" t="s">
        <v>1015</v>
      </c>
      <c r="FI4" s="449" t="s">
        <v>1016</v>
      </c>
      <c r="FJ4" s="447" t="s">
        <v>1009</v>
      </c>
      <c r="FK4" s="448" t="s">
        <v>1010</v>
      </c>
      <c r="FL4" s="448" t="s">
        <v>560</v>
      </c>
      <c r="FM4" s="448" t="s">
        <v>1011</v>
      </c>
      <c r="FN4" s="448" t="s">
        <v>1012</v>
      </c>
      <c r="FO4" s="448" t="s">
        <v>1013</v>
      </c>
      <c r="FP4" s="448" t="s">
        <v>1014</v>
      </c>
      <c r="FQ4" s="448" t="s">
        <v>1015</v>
      </c>
      <c r="FR4" s="449" t="s">
        <v>1016</v>
      </c>
      <c r="FS4" s="447" t="s">
        <v>1009</v>
      </c>
      <c r="FT4" s="448" t="s">
        <v>1010</v>
      </c>
      <c r="FU4" s="448" t="s">
        <v>560</v>
      </c>
      <c r="FV4" s="448" t="s">
        <v>1011</v>
      </c>
      <c r="FW4" s="448" t="s">
        <v>1012</v>
      </c>
      <c r="FX4" s="448" t="s">
        <v>1013</v>
      </c>
      <c r="FY4" s="448" t="s">
        <v>1014</v>
      </c>
      <c r="FZ4" s="448" t="s">
        <v>1015</v>
      </c>
      <c r="GA4" s="449" t="s">
        <v>1016</v>
      </c>
      <c r="GB4" s="447" t="s">
        <v>1009</v>
      </c>
      <c r="GC4" s="448" t="s">
        <v>1010</v>
      </c>
      <c r="GD4" s="448" t="s">
        <v>560</v>
      </c>
      <c r="GE4" s="448" t="s">
        <v>1011</v>
      </c>
      <c r="GF4" s="448" t="s">
        <v>1012</v>
      </c>
      <c r="GG4" s="448" t="s">
        <v>1013</v>
      </c>
      <c r="GH4" s="448" t="s">
        <v>1014</v>
      </c>
      <c r="GI4" s="448" t="s">
        <v>1015</v>
      </c>
      <c r="GJ4" s="449" t="s">
        <v>1016</v>
      </c>
      <c r="GK4" s="447" t="s">
        <v>1009</v>
      </c>
      <c r="GL4" s="448" t="s">
        <v>1010</v>
      </c>
      <c r="GM4" s="448" t="s">
        <v>560</v>
      </c>
      <c r="GN4" s="448" t="s">
        <v>1011</v>
      </c>
      <c r="GO4" s="448" t="s">
        <v>1012</v>
      </c>
      <c r="GP4" s="448" t="s">
        <v>1013</v>
      </c>
      <c r="GQ4" s="448" t="s">
        <v>1014</v>
      </c>
      <c r="GR4" s="448" t="s">
        <v>1015</v>
      </c>
      <c r="GS4" s="449" t="s">
        <v>1016</v>
      </c>
      <c r="GT4" s="447" t="s">
        <v>1009</v>
      </c>
      <c r="GU4" s="448" t="s">
        <v>1010</v>
      </c>
      <c r="GV4" s="448" t="s">
        <v>560</v>
      </c>
      <c r="GW4" s="448" t="s">
        <v>1011</v>
      </c>
      <c r="GX4" s="448" t="s">
        <v>1012</v>
      </c>
      <c r="GY4" s="448" t="s">
        <v>1013</v>
      </c>
      <c r="GZ4" s="448" t="s">
        <v>1014</v>
      </c>
      <c r="HA4" s="448" t="s">
        <v>1015</v>
      </c>
      <c r="HB4" s="449" t="s">
        <v>1016</v>
      </c>
      <c r="HC4" s="447" t="s">
        <v>1009</v>
      </c>
      <c r="HD4" s="448" t="s">
        <v>1010</v>
      </c>
      <c r="HE4" s="448" t="s">
        <v>560</v>
      </c>
      <c r="HF4" s="448" t="s">
        <v>1011</v>
      </c>
      <c r="HG4" s="448" t="s">
        <v>1012</v>
      </c>
      <c r="HH4" s="448" t="s">
        <v>1013</v>
      </c>
      <c r="HI4" s="448" t="s">
        <v>1014</v>
      </c>
      <c r="HJ4" s="448" t="s">
        <v>1015</v>
      </c>
      <c r="HK4" s="449" t="s">
        <v>1016</v>
      </c>
      <c r="HL4" s="447" t="s">
        <v>1009</v>
      </c>
      <c r="HM4" s="448" t="s">
        <v>1010</v>
      </c>
      <c r="HN4" s="448" t="s">
        <v>560</v>
      </c>
      <c r="HO4" s="448" t="s">
        <v>1011</v>
      </c>
      <c r="HP4" s="448" t="s">
        <v>1012</v>
      </c>
      <c r="HQ4" s="448" t="s">
        <v>1013</v>
      </c>
      <c r="HR4" s="448" t="s">
        <v>1014</v>
      </c>
      <c r="HS4" s="448" t="s">
        <v>1015</v>
      </c>
      <c r="HT4" s="449" t="s">
        <v>1016</v>
      </c>
      <c r="HU4" s="447" t="s">
        <v>1009</v>
      </c>
      <c r="HV4" s="448" t="s">
        <v>1010</v>
      </c>
      <c r="HW4" s="448" t="s">
        <v>560</v>
      </c>
      <c r="HX4" s="448" t="s">
        <v>1011</v>
      </c>
      <c r="HY4" s="448" t="s">
        <v>1012</v>
      </c>
      <c r="HZ4" s="448" t="s">
        <v>1013</v>
      </c>
      <c r="IA4" s="448" t="s">
        <v>1014</v>
      </c>
      <c r="IB4" s="448" t="s">
        <v>1015</v>
      </c>
      <c r="IC4" s="449" t="s">
        <v>1016</v>
      </c>
      <c r="ID4" s="447" t="s">
        <v>1009</v>
      </c>
      <c r="IE4" s="448" t="s">
        <v>1010</v>
      </c>
      <c r="IF4" s="448" t="s">
        <v>560</v>
      </c>
      <c r="IG4" s="448" t="s">
        <v>1011</v>
      </c>
      <c r="IH4" s="448" t="s">
        <v>1012</v>
      </c>
      <c r="II4" s="448" t="s">
        <v>1013</v>
      </c>
      <c r="IJ4" s="448" t="s">
        <v>1014</v>
      </c>
      <c r="IK4" s="448" t="s">
        <v>1015</v>
      </c>
      <c r="IL4" s="449" t="s">
        <v>1016</v>
      </c>
      <c r="IM4" s="447" t="s">
        <v>1009</v>
      </c>
      <c r="IN4" s="448" t="s">
        <v>1010</v>
      </c>
      <c r="IO4" s="448" t="s">
        <v>560</v>
      </c>
      <c r="IP4" s="448" t="s">
        <v>1011</v>
      </c>
      <c r="IQ4" s="448" t="s">
        <v>1012</v>
      </c>
      <c r="IR4" s="448" t="s">
        <v>1013</v>
      </c>
      <c r="IS4" s="448" t="s">
        <v>1014</v>
      </c>
      <c r="IT4" s="448" t="s">
        <v>1015</v>
      </c>
      <c r="IU4" s="449" t="s">
        <v>1016</v>
      </c>
      <c r="IV4" s="447" t="s">
        <v>1009</v>
      </c>
      <c r="IW4" s="448" t="s">
        <v>1010</v>
      </c>
      <c r="IX4" s="448" t="s">
        <v>560</v>
      </c>
      <c r="IY4" s="448" t="s">
        <v>1011</v>
      </c>
      <c r="IZ4" s="448" t="s">
        <v>1012</v>
      </c>
      <c r="JA4" s="448" t="s">
        <v>1013</v>
      </c>
      <c r="JB4" s="448" t="s">
        <v>1014</v>
      </c>
      <c r="JC4" s="448" t="s">
        <v>1015</v>
      </c>
      <c r="JD4" s="449" t="s">
        <v>1016</v>
      </c>
      <c r="JE4" s="447" t="s">
        <v>1009</v>
      </c>
      <c r="JF4" s="448" t="s">
        <v>1010</v>
      </c>
      <c r="JG4" s="448" t="s">
        <v>560</v>
      </c>
      <c r="JH4" s="448" t="s">
        <v>1011</v>
      </c>
      <c r="JI4" s="448" t="s">
        <v>1012</v>
      </c>
      <c r="JJ4" s="448" t="s">
        <v>1013</v>
      </c>
      <c r="JK4" s="448" t="s">
        <v>1014</v>
      </c>
      <c r="JL4" s="448" t="s">
        <v>1015</v>
      </c>
      <c r="JM4" s="449" t="s">
        <v>1016</v>
      </c>
      <c r="JN4" s="447" t="s">
        <v>1009</v>
      </c>
      <c r="JO4" s="448" t="s">
        <v>1010</v>
      </c>
      <c r="JP4" s="448" t="s">
        <v>560</v>
      </c>
      <c r="JQ4" s="448" t="s">
        <v>1011</v>
      </c>
      <c r="JR4" s="448" t="s">
        <v>1012</v>
      </c>
      <c r="JS4" s="448" t="s">
        <v>1013</v>
      </c>
      <c r="JT4" s="448" t="s">
        <v>1014</v>
      </c>
      <c r="JU4" s="448" t="s">
        <v>1015</v>
      </c>
      <c r="JV4" s="449" t="s">
        <v>1016</v>
      </c>
      <c r="JW4" s="447" t="s">
        <v>1009</v>
      </c>
      <c r="JX4" s="448" t="s">
        <v>1010</v>
      </c>
      <c r="JY4" s="448" t="s">
        <v>560</v>
      </c>
      <c r="JZ4" s="448" t="s">
        <v>1011</v>
      </c>
      <c r="KA4" s="448" t="s">
        <v>1012</v>
      </c>
      <c r="KB4" s="448" t="s">
        <v>1013</v>
      </c>
      <c r="KC4" s="448" t="s">
        <v>1014</v>
      </c>
      <c r="KD4" s="448" t="s">
        <v>1015</v>
      </c>
      <c r="KE4" s="449" t="s">
        <v>1016</v>
      </c>
      <c r="KF4" s="447" t="s">
        <v>1009</v>
      </c>
      <c r="KG4" s="448" t="s">
        <v>1010</v>
      </c>
      <c r="KH4" s="448" t="s">
        <v>560</v>
      </c>
      <c r="KI4" s="448" t="s">
        <v>1011</v>
      </c>
      <c r="KJ4" s="448" t="s">
        <v>1012</v>
      </c>
      <c r="KK4" s="448" t="s">
        <v>1013</v>
      </c>
      <c r="KL4" s="448" t="s">
        <v>1014</v>
      </c>
      <c r="KM4" s="448" t="s">
        <v>1015</v>
      </c>
      <c r="KN4" s="449" t="s">
        <v>1016</v>
      </c>
      <c r="KO4" s="447" t="s">
        <v>1009</v>
      </c>
      <c r="KP4" s="448" t="s">
        <v>1010</v>
      </c>
      <c r="KQ4" s="448" t="s">
        <v>560</v>
      </c>
      <c r="KR4" s="448" t="s">
        <v>1011</v>
      </c>
      <c r="KS4" s="448" t="s">
        <v>1012</v>
      </c>
      <c r="KT4" s="448" t="s">
        <v>1013</v>
      </c>
      <c r="KU4" s="448" t="s">
        <v>1014</v>
      </c>
      <c r="KV4" s="448" t="s">
        <v>1015</v>
      </c>
      <c r="KW4" s="449" t="s">
        <v>1016</v>
      </c>
      <c r="KX4" s="447" t="s">
        <v>1009</v>
      </c>
      <c r="KY4" s="448" t="s">
        <v>1010</v>
      </c>
      <c r="KZ4" s="448" t="s">
        <v>560</v>
      </c>
      <c r="LA4" s="448" t="s">
        <v>1011</v>
      </c>
      <c r="LB4" s="448" t="s">
        <v>1012</v>
      </c>
      <c r="LC4" s="448" t="s">
        <v>1013</v>
      </c>
      <c r="LD4" s="448" t="s">
        <v>1014</v>
      </c>
      <c r="LE4" s="448" t="s">
        <v>1015</v>
      </c>
      <c r="LF4" s="449" t="s">
        <v>1016</v>
      </c>
      <c r="LG4" s="447" t="s">
        <v>1009</v>
      </c>
      <c r="LH4" s="448" t="s">
        <v>1010</v>
      </c>
      <c r="LI4" s="448" t="s">
        <v>560</v>
      </c>
      <c r="LJ4" s="448" t="s">
        <v>1011</v>
      </c>
      <c r="LK4" s="448" t="s">
        <v>1012</v>
      </c>
      <c r="LL4" s="448" t="s">
        <v>1013</v>
      </c>
      <c r="LM4" s="448" t="s">
        <v>1014</v>
      </c>
      <c r="LN4" s="448" t="s">
        <v>1015</v>
      </c>
      <c r="LO4" s="449" t="s">
        <v>1016</v>
      </c>
      <c r="LP4" s="447" t="s">
        <v>1009</v>
      </c>
      <c r="LQ4" s="448" t="s">
        <v>1010</v>
      </c>
      <c r="LR4" s="448" t="s">
        <v>560</v>
      </c>
      <c r="LS4" s="448" t="s">
        <v>1011</v>
      </c>
      <c r="LT4" s="448" t="s">
        <v>1012</v>
      </c>
      <c r="LU4" s="448" t="s">
        <v>1013</v>
      </c>
      <c r="LV4" s="448" t="s">
        <v>1014</v>
      </c>
      <c r="LW4" s="448" t="s">
        <v>1015</v>
      </c>
      <c r="LX4" s="449" t="s">
        <v>1016</v>
      </c>
      <c r="LY4" s="447" t="s">
        <v>1009</v>
      </c>
      <c r="LZ4" s="448" t="s">
        <v>1010</v>
      </c>
      <c r="MA4" s="448" t="s">
        <v>560</v>
      </c>
      <c r="MB4" s="448" t="s">
        <v>1011</v>
      </c>
      <c r="MC4" s="448" t="s">
        <v>1012</v>
      </c>
      <c r="MD4" s="448" t="s">
        <v>1013</v>
      </c>
      <c r="ME4" s="448" t="s">
        <v>1014</v>
      </c>
      <c r="MF4" s="448" t="s">
        <v>1015</v>
      </c>
      <c r="MG4" s="449" t="s">
        <v>1016</v>
      </c>
      <c r="MH4" s="447" t="s">
        <v>1009</v>
      </c>
      <c r="MI4" s="448" t="s">
        <v>1010</v>
      </c>
      <c r="MJ4" s="448" t="s">
        <v>560</v>
      </c>
      <c r="MK4" s="448" t="s">
        <v>1011</v>
      </c>
      <c r="ML4" s="448" t="s">
        <v>1012</v>
      </c>
      <c r="MM4" s="448" t="s">
        <v>1013</v>
      </c>
      <c r="MN4" s="448" t="s">
        <v>1014</v>
      </c>
      <c r="MO4" s="448" t="s">
        <v>1015</v>
      </c>
      <c r="MP4" s="449" t="s">
        <v>1016</v>
      </c>
      <c r="MQ4" s="447" t="s">
        <v>1009</v>
      </c>
      <c r="MR4" s="448" t="s">
        <v>1010</v>
      </c>
      <c r="MS4" s="448" t="s">
        <v>560</v>
      </c>
      <c r="MT4" s="448" t="s">
        <v>1011</v>
      </c>
      <c r="MU4" s="448" t="s">
        <v>1012</v>
      </c>
      <c r="MV4" s="448" t="s">
        <v>1013</v>
      </c>
      <c r="MW4" s="448" t="s">
        <v>1014</v>
      </c>
      <c r="MX4" s="448" t="s">
        <v>1015</v>
      </c>
      <c r="MY4" s="449" t="s">
        <v>1016</v>
      </c>
      <c r="MZ4" s="447" t="s">
        <v>1009</v>
      </c>
      <c r="NA4" s="448" t="s">
        <v>1010</v>
      </c>
      <c r="NB4" s="448" t="s">
        <v>560</v>
      </c>
      <c r="NC4" s="448" t="s">
        <v>1011</v>
      </c>
      <c r="ND4" s="448" t="s">
        <v>1012</v>
      </c>
      <c r="NE4" s="448" t="s">
        <v>1013</v>
      </c>
      <c r="NF4" s="448" t="s">
        <v>1014</v>
      </c>
      <c r="NG4" s="448" t="s">
        <v>1015</v>
      </c>
      <c r="NH4" s="449" t="s">
        <v>1016</v>
      </c>
      <c r="NI4" s="447" t="s">
        <v>1009</v>
      </c>
      <c r="NJ4" s="448" t="s">
        <v>1010</v>
      </c>
      <c r="NK4" s="448" t="s">
        <v>560</v>
      </c>
      <c r="NL4" s="448" t="s">
        <v>1011</v>
      </c>
      <c r="NM4" s="448" t="s">
        <v>1012</v>
      </c>
      <c r="NN4" s="448" t="s">
        <v>1013</v>
      </c>
      <c r="NO4" s="448" t="s">
        <v>1014</v>
      </c>
      <c r="NP4" s="448" t="s">
        <v>1015</v>
      </c>
      <c r="NQ4" s="449" t="s">
        <v>1016</v>
      </c>
      <c r="NR4" s="447" t="s">
        <v>1009</v>
      </c>
      <c r="NS4" s="448" t="s">
        <v>1010</v>
      </c>
      <c r="NT4" s="448" t="s">
        <v>560</v>
      </c>
      <c r="NU4" s="448" t="s">
        <v>1011</v>
      </c>
      <c r="NV4" s="448" t="s">
        <v>1012</v>
      </c>
      <c r="NW4" s="448" t="s">
        <v>1013</v>
      </c>
      <c r="NX4" s="448" t="s">
        <v>1014</v>
      </c>
      <c r="NY4" s="448" t="s">
        <v>1015</v>
      </c>
      <c r="NZ4" s="449" t="s">
        <v>1016</v>
      </c>
      <c r="OA4" s="447" t="s">
        <v>1009</v>
      </c>
      <c r="OB4" s="448" t="s">
        <v>1010</v>
      </c>
      <c r="OC4" s="448" t="s">
        <v>560</v>
      </c>
      <c r="OD4" s="448" t="s">
        <v>1011</v>
      </c>
      <c r="OE4" s="448" t="s">
        <v>1012</v>
      </c>
      <c r="OF4" s="448" t="s">
        <v>1013</v>
      </c>
      <c r="OG4" s="448" t="s">
        <v>1014</v>
      </c>
      <c r="OH4" s="448" t="s">
        <v>1015</v>
      </c>
      <c r="OI4" s="449" t="s">
        <v>1016</v>
      </c>
      <c r="OJ4" s="447" t="s">
        <v>1009</v>
      </c>
      <c r="OK4" s="448" t="s">
        <v>1010</v>
      </c>
      <c r="OL4" s="448" t="s">
        <v>560</v>
      </c>
      <c r="OM4" s="448" t="s">
        <v>1011</v>
      </c>
      <c r="ON4" s="448" t="s">
        <v>1012</v>
      </c>
      <c r="OO4" s="448" t="s">
        <v>1013</v>
      </c>
      <c r="OP4" s="448" t="s">
        <v>1014</v>
      </c>
      <c r="OQ4" s="448" t="s">
        <v>1015</v>
      </c>
      <c r="OR4" s="449" t="s">
        <v>1016</v>
      </c>
      <c r="OS4" s="447" t="s">
        <v>1009</v>
      </c>
      <c r="OT4" s="448" t="s">
        <v>1010</v>
      </c>
      <c r="OU4" s="448" t="s">
        <v>560</v>
      </c>
      <c r="OV4" s="448" t="s">
        <v>1011</v>
      </c>
      <c r="OW4" s="448" t="s">
        <v>1012</v>
      </c>
      <c r="OX4" s="448" t="s">
        <v>1013</v>
      </c>
      <c r="OY4" s="448" t="s">
        <v>1014</v>
      </c>
      <c r="OZ4" s="448" t="s">
        <v>1015</v>
      </c>
      <c r="PA4" s="449" t="s">
        <v>1016</v>
      </c>
      <c r="PB4" s="447" t="s">
        <v>1009</v>
      </c>
      <c r="PC4" s="448" t="s">
        <v>1010</v>
      </c>
      <c r="PD4" s="448" t="s">
        <v>560</v>
      </c>
      <c r="PE4" s="448" t="s">
        <v>1011</v>
      </c>
      <c r="PF4" s="448" t="s">
        <v>1012</v>
      </c>
      <c r="PG4" s="448" t="s">
        <v>1013</v>
      </c>
      <c r="PH4" s="448" t="s">
        <v>1014</v>
      </c>
      <c r="PI4" s="448" t="s">
        <v>1015</v>
      </c>
      <c r="PJ4" s="449" t="s">
        <v>1016</v>
      </c>
      <c r="PK4" s="447" t="s">
        <v>1009</v>
      </c>
      <c r="PL4" s="448" t="s">
        <v>1010</v>
      </c>
      <c r="PM4" s="448" t="s">
        <v>560</v>
      </c>
      <c r="PN4" s="448" t="s">
        <v>1011</v>
      </c>
      <c r="PO4" s="448" t="s">
        <v>1012</v>
      </c>
      <c r="PP4" s="448" t="s">
        <v>1013</v>
      </c>
      <c r="PQ4" s="448" t="s">
        <v>1014</v>
      </c>
      <c r="PR4" s="448" t="s">
        <v>1015</v>
      </c>
      <c r="PS4" s="449" t="s">
        <v>1016</v>
      </c>
      <c r="PT4" s="447" t="s">
        <v>1009</v>
      </c>
      <c r="PU4" s="448" t="s">
        <v>1010</v>
      </c>
      <c r="PV4" s="448" t="s">
        <v>560</v>
      </c>
      <c r="PW4" s="448" t="s">
        <v>1011</v>
      </c>
      <c r="PX4" s="448" t="s">
        <v>1012</v>
      </c>
      <c r="PY4" s="448" t="s">
        <v>1013</v>
      </c>
      <c r="PZ4" s="448" t="s">
        <v>1014</v>
      </c>
      <c r="QA4" s="448" t="s">
        <v>1015</v>
      </c>
      <c r="QB4" s="449" t="s">
        <v>1016</v>
      </c>
      <c r="QC4" s="447" t="s">
        <v>1009</v>
      </c>
      <c r="QD4" s="448" t="s">
        <v>1010</v>
      </c>
      <c r="QE4" s="448" t="s">
        <v>560</v>
      </c>
      <c r="QF4" s="448" t="s">
        <v>1011</v>
      </c>
      <c r="QG4" s="448" t="s">
        <v>1012</v>
      </c>
      <c r="QH4" s="448" t="s">
        <v>1013</v>
      </c>
      <c r="QI4" s="448" t="s">
        <v>1014</v>
      </c>
      <c r="QJ4" s="448" t="s">
        <v>1015</v>
      </c>
      <c r="QK4" s="449" t="s">
        <v>1016</v>
      </c>
      <c r="QL4" s="447" t="s">
        <v>1009</v>
      </c>
      <c r="QM4" s="448" t="s">
        <v>1010</v>
      </c>
      <c r="QN4" s="448" t="s">
        <v>560</v>
      </c>
      <c r="QO4" s="448" t="s">
        <v>1011</v>
      </c>
      <c r="QP4" s="448" t="s">
        <v>1012</v>
      </c>
      <c r="QQ4" s="448" t="s">
        <v>1013</v>
      </c>
      <c r="QR4" s="448" t="s">
        <v>1014</v>
      </c>
      <c r="QS4" s="448" t="s">
        <v>1015</v>
      </c>
      <c r="QT4" s="449" t="s">
        <v>1016</v>
      </c>
      <c r="QU4" s="447" t="s">
        <v>1009</v>
      </c>
      <c r="QV4" s="448" t="s">
        <v>1010</v>
      </c>
      <c r="QW4" s="448" t="s">
        <v>560</v>
      </c>
      <c r="QX4" s="448" t="s">
        <v>1011</v>
      </c>
      <c r="QY4" s="448" t="s">
        <v>1012</v>
      </c>
      <c r="QZ4" s="448" t="s">
        <v>1013</v>
      </c>
      <c r="RA4" s="448" t="s">
        <v>1014</v>
      </c>
      <c r="RB4" s="448" t="s">
        <v>1015</v>
      </c>
      <c r="RC4" s="449" t="s">
        <v>1016</v>
      </c>
      <c r="RD4" s="447" t="s">
        <v>1009</v>
      </c>
      <c r="RE4" s="448" t="s">
        <v>1010</v>
      </c>
      <c r="RF4" s="448" t="s">
        <v>560</v>
      </c>
      <c r="RG4" s="448" t="s">
        <v>1011</v>
      </c>
      <c r="RH4" s="448" t="s">
        <v>1012</v>
      </c>
      <c r="RI4" s="448" t="s">
        <v>1013</v>
      </c>
      <c r="RJ4" s="448" t="s">
        <v>1014</v>
      </c>
      <c r="RK4" s="448" t="s">
        <v>1015</v>
      </c>
      <c r="RL4" s="449" t="s">
        <v>1016</v>
      </c>
      <c r="RM4" s="447" t="s">
        <v>1009</v>
      </c>
      <c r="RN4" s="448" t="s">
        <v>1010</v>
      </c>
      <c r="RO4" s="448" t="s">
        <v>560</v>
      </c>
      <c r="RP4" s="448" t="s">
        <v>1011</v>
      </c>
      <c r="RQ4" s="448" t="s">
        <v>1012</v>
      </c>
      <c r="RR4" s="448" t="s">
        <v>1013</v>
      </c>
      <c r="RS4" s="448" t="s">
        <v>1014</v>
      </c>
      <c r="RT4" s="448" t="s">
        <v>1015</v>
      </c>
      <c r="RU4" s="449" t="s">
        <v>1016</v>
      </c>
      <c r="RV4" s="447" t="s">
        <v>1009</v>
      </c>
      <c r="RW4" s="448" t="s">
        <v>1010</v>
      </c>
      <c r="RX4" s="448" t="s">
        <v>560</v>
      </c>
      <c r="RY4" s="448" t="s">
        <v>1011</v>
      </c>
      <c r="RZ4" s="448" t="s">
        <v>1012</v>
      </c>
      <c r="SA4" s="448" t="s">
        <v>1013</v>
      </c>
      <c r="SB4" s="448" t="s">
        <v>1014</v>
      </c>
      <c r="SC4" s="448" t="s">
        <v>1015</v>
      </c>
      <c r="SD4" s="449" t="s">
        <v>1016</v>
      </c>
      <c r="SE4" s="447" t="s">
        <v>1009</v>
      </c>
      <c r="SF4" s="448" t="s">
        <v>1010</v>
      </c>
      <c r="SG4" s="448" t="s">
        <v>560</v>
      </c>
      <c r="SH4" s="448" t="s">
        <v>1011</v>
      </c>
      <c r="SI4" s="448" t="s">
        <v>1012</v>
      </c>
      <c r="SJ4" s="448" t="s">
        <v>1013</v>
      </c>
      <c r="SK4" s="448" t="s">
        <v>1014</v>
      </c>
      <c r="SL4" s="448" t="s">
        <v>1015</v>
      </c>
      <c r="SM4" s="449" t="s">
        <v>1016</v>
      </c>
      <c r="SN4" s="447" t="s">
        <v>1009</v>
      </c>
      <c r="SO4" s="448" t="s">
        <v>1010</v>
      </c>
      <c r="SP4" s="448" t="s">
        <v>560</v>
      </c>
      <c r="SQ4" s="448" t="s">
        <v>1011</v>
      </c>
      <c r="SR4" s="448" t="s">
        <v>1012</v>
      </c>
      <c r="SS4" s="448" t="s">
        <v>1013</v>
      </c>
      <c r="ST4" s="448" t="s">
        <v>1014</v>
      </c>
      <c r="SU4" s="448" t="s">
        <v>1015</v>
      </c>
      <c r="SV4" s="449" t="s">
        <v>1016</v>
      </c>
      <c r="SW4" s="447" t="s">
        <v>1009</v>
      </c>
      <c r="SX4" s="448" t="s">
        <v>1010</v>
      </c>
      <c r="SY4" s="448" t="s">
        <v>560</v>
      </c>
      <c r="SZ4" s="448" t="s">
        <v>1011</v>
      </c>
      <c r="TA4" s="448" t="s">
        <v>1012</v>
      </c>
      <c r="TB4" s="448" t="s">
        <v>1013</v>
      </c>
      <c r="TC4" s="448" t="s">
        <v>1014</v>
      </c>
      <c r="TD4" s="450" t="s">
        <v>1015</v>
      </c>
      <c r="TE4" s="449" t="s">
        <v>1016</v>
      </c>
      <c r="TF4" s="451" t="s">
        <v>695</v>
      </c>
      <c r="TG4" s="452"/>
      <c r="TH4" s="336"/>
      <c r="TI4" s="444" t="s">
        <v>1017</v>
      </c>
      <c r="TJ4" s="445" t="s">
        <v>1018</v>
      </c>
      <c r="TK4" s="447" t="s">
        <v>548</v>
      </c>
      <c r="TL4" s="448" t="s">
        <v>1019</v>
      </c>
      <c r="TM4" s="448" t="s">
        <v>1020</v>
      </c>
      <c r="TN4" s="448" t="s">
        <v>1021</v>
      </c>
      <c r="TO4" s="448" t="s">
        <v>1022</v>
      </c>
      <c r="TP4" s="448" t="s">
        <v>1023</v>
      </c>
      <c r="TQ4" s="448" t="s">
        <v>557</v>
      </c>
      <c r="TR4" s="448" t="s">
        <v>558</v>
      </c>
      <c r="TS4" s="448" t="s">
        <v>1024</v>
      </c>
      <c r="TT4" s="449" t="s">
        <v>560</v>
      </c>
      <c r="TU4" s="447" t="s">
        <v>548</v>
      </c>
      <c r="TV4" s="448" t="s">
        <v>1019</v>
      </c>
      <c r="TW4" s="448" t="s">
        <v>1020</v>
      </c>
      <c r="TX4" s="448" t="s">
        <v>1021</v>
      </c>
      <c r="TY4" s="448" t="s">
        <v>1022</v>
      </c>
      <c r="TZ4" s="448" t="s">
        <v>1023</v>
      </c>
      <c r="UA4" s="448" t="s">
        <v>557</v>
      </c>
      <c r="UB4" s="448" t="s">
        <v>558</v>
      </c>
      <c r="UC4" s="448" t="s">
        <v>1024</v>
      </c>
      <c r="UD4" s="447" t="s">
        <v>548</v>
      </c>
      <c r="UE4" s="448" t="s">
        <v>1019</v>
      </c>
      <c r="UF4" s="448" t="s">
        <v>1020</v>
      </c>
      <c r="UG4" s="448" t="s">
        <v>1025</v>
      </c>
      <c r="UH4" s="448" t="s">
        <v>1022</v>
      </c>
      <c r="UI4" s="448" t="s">
        <v>1023</v>
      </c>
      <c r="UJ4" s="448" t="s">
        <v>557</v>
      </c>
      <c r="UK4" s="448" t="s">
        <v>558</v>
      </c>
      <c r="UL4" s="448" t="s">
        <v>1024</v>
      </c>
      <c r="UM4" s="453" t="s">
        <v>1026</v>
      </c>
      <c r="UN4" s="324" t="s">
        <v>1027</v>
      </c>
      <c r="UO4" s="454" t="s">
        <v>548</v>
      </c>
      <c r="UP4" s="448" t="s">
        <v>1019</v>
      </c>
      <c r="UQ4" s="448" t="s">
        <v>1020</v>
      </c>
      <c r="UR4" s="448" t="s">
        <v>1025</v>
      </c>
      <c r="US4" s="448" t="s">
        <v>1022</v>
      </c>
      <c r="UT4" s="448" t="s">
        <v>1023</v>
      </c>
      <c r="UU4" s="448" t="s">
        <v>557</v>
      </c>
      <c r="UV4" s="448" t="s">
        <v>558</v>
      </c>
      <c r="UW4" s="450" t="s">
        <v>1024</v>
      </c>
      <c r="UX4" s="455" t="s">
        <v>560</v>
      </c>
      <c r="UY4" s="447" t="s">
        <v>1028</v>
      </c>
      <c r="UZ4" s="449" t="s">
        <v>1029</v>
      </c>
      <c r="VB4" s="336"/>
      <c r="VC4" s="447" t="s">
        <v>16</v>
      </c>
      <c r="VD4" s="448" t="s">
        <v>1030</v>
      </c>
      <c r="VE4" s="449" t="s">
        <v>18</v>
      </c>
    </row>
    <row r="5" spans="1:577" s="322" customFormat="1">
      <c r="D5" s="322" t="s">
        <v>12</v>
      </c>
      <c r="E5" s="456" t="s">
        <v>56</v>
      </c>
      <c r="F5" s="457" t="s">
        <v>1031</v>
      </c>
      <c r="G5" s="322" t="s">
        <v>1032</v>
      </c>
      <c r="H5" s="322" t="s">
        <v>1033</v>
      </c>
      <c r="J5" s="458"/>
      <c r="M5" s="459" t="s">
        <v>1034</v>
      </c>
      <c r="N5" s="322" t="s">
        <v>1035</v>
      </c>
      <c r="O5" s="322" t="s">
        <v>1036</v>
      </c>
      <c r="P5" s="322" t="s">
        <v>1037</v>
      </c>
      <c r="Q5" s="322" t="s">
        <v>1038</v>
      </c>
      <c r="R5" s="322" t="s">
        <v>1039</v>
      </c>
      <c r="S5" s="322" t="s">
        <v>1040</v>
      </c>
      <c r="T5" s="322" t="s">
        <v>1041</v>
      </c>
      <c r="U5" s="322" t="s">
        <v>1042</v>
      </c>
      <c r="V5" s="459" t="s">
        <v>1043</v>
      </c>
      <c r="W5" s="322" t="s">
        <v>1044</v>
      </c>
      <c r="X5" s="322" t="s">
        <v>1045</v>
      </c>
      <c r="Y5" s="322" t="s">
        <v>1046</v>
      </c>
      <c r="Z5" s="322" t="s">
        <v>1047</v>
      </c>
      <c r="AA5" s="322" t="s">
        <v>1048</v>
      </c>
      <c r="AB5" s="322" t="s">
        <v>1049</v>
      </c>
      <c r="AC5" s="322" t="s">
        <v>1050</v>
      </c>
      <c r="AD5" s="322" t="s">
        <v>1051</v>
      </c>
      <c r="AE5" s="459" t="s">
        <v>1052</v>
      </c>
      <c r="AF5" s="322" t="s">
        <v>1053</v>
      </c>
      <c r="AG5" s="322" t="s">
        <v>1054</v>
      </c>
      <c r="AH5" s="322" t="s">
        <v>386</v>
      </c>
      <c r="AI5" s="322" t="s">
        <v>1055</v>
      </c>
      <c r="AJ5" s="322" t="s">
        <v>1056</v>
      </c>
      <c r="AK5" s="322" t="s">
        <v>1057</v>
      </c>
      <c r="AL5" s="322" t="s">
        <v>1058</v>
      </c>
      <c r="AM5" s="322" t="s">
        <v>1059</v>
      </c>
      <c r="AN5" s="459" t="s">
        <v>1060</v>
      </c>
      <c r="AO5" s="322" t="s">
        <v>1061</v>
      </c>
      <c r="AP5" s="322" t="s">
        <v>1062</v>
      </c>
      <c r="AQ5" s="322" t="s">
        <v>1063</v>
      </c>
      <c r="AR5" s="322" t="s">
        <v>1064</v>
      </c>
      <c r="AS5" s="322" t="s">
        <v>1065</v>
      </c>
      <c r="AT5" s="322" t="s">
        <v>1066</v>
      </c>
      <c r="AU5" s="322" t="s">
        <v>1067</v>
      </c>
      <c r="AV5" s="322" t="s">
        <v>1068</v>
      </c>
      <c r="AW5" s="459" t="s">
        <v>1069</v>
      </c>
      <c r="AX5" s="322" t="s">
        <v>1070</v>
      </c>
      <c r="AY5" s="322" t="s">
        <v>1071</v>
      </c>
      <c r="AZ5" s="322" t="s">
        <v>389</v>
      </c>
      <c r="BA5" s="322" t="s">
        <v>1072</v>
      </c>
      <c r="BB5" s="322" t="s">
        <v>1073</v>
      </c>
      <c r="BC5" s="322" t="s">
        <v>1074</v>
      </c>
      <c r="BD5" s="322" t="s">
        <v>1075</v>
      </c>
      <c r="BE5" s="322" t="s">
        <v>1076</v>
      </c>
      <c r="BF5" s="459" t="s">
        <v>1077</v>
      </c>
      <c r="BG5" s="322" t="s">
        <v>1078</v>
      </c>
      <c r="BH5" s="322" t="s">
        <v>1079</v>
      </c>
      <c r="BI5" s="322" t="s">
        <v>1080</v>
      </c>
      <c r="BJ5" s="322" t="s">
        <v>1081</v>
      </c>
      <c r="BK5" s="322" t="s">
        <v>1082</v>
      </c>
      <c r="BL5" s="322" t="s">
        <v>1083</v>
      </c>
      <c r="BM5" s="322" t="s">
        <v>1084</v>
      </c>
      <c r="BN5" s="322" t="s">
        <v>1085</v>
      </c>
      <c r="BO5" s="459" t="s">
        <v>1086</v>
      </c>
      <c r="BP5" s="322" t="s">
        <v>1087</v>
      </c>
      <c r="BQ5" s="322" t="s">
        <v>385</v>
      </c>
      <c r="BR5" s="322" t="s">
        <v>1088</v>
      </c>
      <c r="BS5" s="322" t="s">
        <v>1089</v>
      </c>
      <c r="BT5" s="322" t="s">
        <v>305</v>
      </c>
      <c r="BU5" s="322" t="s">
        <v>1090</v>
      </c>
      <c r="BV5" s="322" t="s">
        <v>1091</v>
      </c>
      <c r="BW5" s="322" t="s">
        <v>1092</v>
      </c>
      <c r="BX5" s="459" t="s">
        <v>1093</v>
      </c>
      <c r="BY5" s="322" t="s">
        <v>1094</v>
      </c>
      <c r="BZ5" s="322" t="s">
        <v>1095</v>
      </c>
      <c r="CA5" s="322" t="s">
        <v>1096</v>
      </c>
      <c r="CB5" s="322" t="s">
        <v>1097</v>
      </c>
      <c r="CC5" s="322" t="s">
        <v>1098</v>
      </c>
      <c r="CD5" s="322" t="s">
        <v>1099</v>
      </c>
      <c r="CE5" s="322" t="s">
        <v>1100</v>
      </c>
      <c r="CF5" s="322" t="s">
        <v>1101</v>
      </c>
      <c r="CG5" s="459" t="s">
        <v>1102</v>
      </c>
      <c r="CH5" s="322" t="s">
        <v>1103</v>
      </c>
      <c r="CI5" s="322" t="s">
        <v>1104</v>
      </c>
      <c r="CJ5" s="322" t="s">
        <v>1105</v>
      </c>
      <c r="CK5" s="322" t="s">
        <v>1106</v>
      </c>
      <c r="CL5" s="322" t="s">
        <v>1107</v>
      </c>
      <c r="CM5" s="322" t="s">
        <v>1108</v>
      </c>
      <c r="CN5" s="322" t="s">
        <v>1109</v>
      </c>
      <c r="CO5" s="322" t="s">
        <v>1110</v>
      </c>
      <c r="CP5" s="459" t="s">
        <v>1111</v>
      </c>
      <c r="CQ5" s="322" t="s">
        <v>1112</v>
      </c>
      <c r="CR5" s="322" t="s">
        <v>387</v>
      </c>
      <c r="CS5" s="322" t="s">
        <v>1113</v>
      </c>
      <c r="CT5" s="322" t="s">
        <v>1114</v>
      </c>
      <c r="CU5" s="322" t="s">
        <v>307</v>
      </c>
      <c r="CV5" s="322" t="s">
        <v>1115</v>
      </c>
      <c r="CW5" s="322" t="s">
        <v>1116</v>
      </c>
      <c r="CX5" s="322" t="s">
        <v>1117</v>
      </c>
      <c r="CY5" s="459" t="s">
        <v>1118</v>
      </c>
      <c r="CZ5" s="322" t="s">
        <v>1119</v>
      </c>
      <c r="DA5" s="322" t="s">
        <v>1120</v>
      </c>
      <c r="DB5" s="322" t="s">
        <v>1121</v>
      </c>
      <c r="DC5" s="322" t="s">
        <v>1122</v>
      </c>
      <c r="DD5" s="322" t="s">
        <v>1123</v>
      </c>
      <c r="DE5" s="322" t="s">
        <v>1124</v>
      </c>
      <c r="DF5" s="322" t="s">
        <v>1125</v>
      </c>
      <c r="DG5" s="322" t="s">
        <v>1126</v>
      </c>
      <c r="DH5" s="459" t="s">
        <v>1127</v>
      </c>
      <c r="DI5" s="322" t="s">
        <v>1128</v>
      </c>
      <c r="DJ5" s="322" t="s">
        <v>1129</v>
      </c>
      <c r="DK5" s="322" t="s">
        <v>1130</v>
      </c>
      <c r="DL5" s="322" t="s">
        <v>1131</v>
      </c>
      <c r="DM5" s="322" t="s">
        <v>1132</v>
      </c>
      <c r="DN5" s="322" t="s">
        <v>1133</v>
      </c>
      <c r="DO5" s="322" t="s">
        <v>1134</v>
      </c>
      <c r="DP5" s="322" t="s">
        <v>1135</v>
      </c>
      <c r="DQ5" s="459" t="s">
        <v>1136</v>
      </c>
      <c r="DR5" s="322" t="s">
        <v>1137</v>
      </c>
      <c r="DS5" s="322" t="s">
        <v>1138</v>
      </c>
      <c r="DT5" s="322" t="s">
        <v>1139</v>
      </c>
      <c r="DU5" s="322" t="s">
        <v>1140</v>
      </c>
      <c r="DV5" s="322" t="s">
        <v>1141</v>
      </c>
      <c r="DW5" s="322" t="s">
        <v>1142</v>
      </c>
      <c r="DX5" s="322" t="s">
        <v>1143</v>
      </c>
      <c r="DY5" s="322" t="s">
        <v>1144</v>
      </c>
      <c r="DZ5" s="459" t="s">
        <v>1145</v>
      </c>
      <c r="EA5" s="322" t="s">
        <v>1146</v>
      </c>
      <c r="EB5" s="322" t="s">
        <v>1147</v>
      </c>
      <c r="EC5" s="322" t="s">
        <v>1148</v>
      </c>
      <c r="ED5" s="322" t="s">
        <v>1149</v>
      </c>
      <c r="EE5" s="322" t="s">
        <v>1150</v>
      </c>
      <c r="EF5" s="322" t="s">
        <v>1151</v>
      </c>
      <c r="EG5" s="322" t="s">
        <v>1152</v>
      </c>
      <c r="EH5" s="322" t="s">
        <v>1153</v>
      </c>
      <c r="EI5" s="459" t="s">
        <v>1154</v>
      </c>
      <c r="EJ5" s="322" t="s">
        <v>1155</v>
      </c>
      <c r="EK5" s="322" t="s">
        <v>1156</v>
      </c>
      <c r="EL5" s="322" t="s">
        <v>1157</v>
      </c>
      <c r="EM5" s="322" t="s">
        <v>1158</v>
      </c>
      <c r="EN5" s="322" t="s">
        <v>1159</v>
      </c>
      <c r="EO5" s="322" t="s">
        <v>1160</v>
      </c>
      <c r="EP5" s="322" t="s">
        <v>1161</v>
      </c>
      <c r="EQ5" s="322" t="s">
        <v>1162</v>
      </c>
      <c r="ER5" s="459" t="s">
        <v>1163</v>
      </c>
      <c r="ES5" s="322" t="s">
        <v>1164</v>
      </c>
      <c r="ET5" s="322" t="s">
        <v>1165</v>
      </c>
      <c r="EU5" s="322" t="s">
        <v>1166</v>
      </c>
      <c r="EV5" s="322" t="s">
        <v>1167</v>
      </c>
      <c r="EW5" s="322" t="s">
        <v>1168</v>
      </c>
      <c r="EX5" s="322" t="s">
        <v>1169</v>
      </c>
      <c r="EY5" s="322" t="s">
        <v>1170</v>
      </c>
      <c r="EZ5" s="322" t="s">
        <v>1171</v>
      </c>
      <c r="FA5" s="459" t="s">
        <v>1172</v>
      </c>
      <c r="FB5" s="322" t="s">
        <v>1173</v>
      </c>
      <c r="FC5" s="322" t="s">
        <v>1174</v>
      </c>
      <c r="FD5" s="322" t="s">
        <v>1175</v>
      </c>
      <c r="FE5" s="322" t="s">
        <v>1176</v>
      </c>
      <c r="FF5" s="322" t="s">
        <v>1177</v>
      </c>
      <c r="FG5" s="322" t="s">
        <v>1178</v>
      </c>
      <c r="FH5" s="322" t="s">
        <v>1179</v>
      </c>
      <c r="FI5" s="322" t="s">
        <v>1180</v>
      </c>
      <c r="FJ5" s="459" t="s">
        <v>1181</v>
      </c>
      <c r="FK5" s="322" t="s">
        <v>1182</v>
      </c>
      <c r="FL5" s="322" t="s">
        <v>1183</v>
      </c>
      <c r="FM5" s="322" t="s">
        <v>1184</v>
      </c>
      <c r="FN5" s="322" t="s">
        <v>1185</v>
      </c>
      <c r="FO5" s="322" t="s">
        <v>1186</v>
      </c>
      <c r="FP5" s="322" t="s">
        <v>1187</v>
      </c>
      <c r="FQ5" s="322" t="s">
        <v>1188</v>
      </c>
      <c r="FR5" s="322" t="s">
        <v>1189</v>
      </c>
      <c r="FS5" s="459" t="s">
        <v>1190</v>
      </c>
      <c r="FT5" s="322" t="s">
        <v>1191</v>
      </c>
      <c r="FU5" s="322" t="s">
        <v>1192</v>
      </c>
      <c r="FV5" s="322" t="s">
        <v>1193</v>
      </c>
      <c r="FW5" s="322" t="s">
        <v>1194</v>
      </c>
      <c r="FX5" s="322" t="s">
        <v>1195</v>
      </c>
      <c r="FY5" s="322" t="s">
        <v>1196</v>
      </c>
      <c r="FZ5" s="322" t="s">
        <v>1197</v>
      </c>
      <c r="GA5" s="322" t="s">
        <v>1198</v>
      </c>
      <c r="GB5" s="459" t="s">
        <v>1199</v>
      </c>
      <c r="GC5" s="322" t="s">
        <v>1200</v>
      </c>
      <c r="GD5" s="322" t="s">
        <v>1201</v>
      </c>
      <c r="GE5" s="322" t="s">
        <v>1202</v>
      </c>
      <c r="GF5" s="322" t="s">
        <v>1203</v>
      </c>
      <c r="GG5" s="322" t="s">
        <v>1204</v>
      </c>
      <c r="GH5" s="322" t="s">
        <v>1205</v>
      </c>
      <c r="GI5" s="322" t="s">
        <v>1206</v>
      </c>
      <c r="GJ5" s="322" t="s">
        <v>1207</v>
      </c>
      <c r="GK5" s="459" t="s">
        <v>1208</v>
      </c>
      <c r="GL5" s="322" t="s">
        <v>1209</v>
      </c>
      <c r="GM5" s="322" t="s">
        <v>1210</v>
      </c>
      <c r="GN5" s="322" t="s">
        <v>1211</v>
      </c>
      <c r="GO5" s="322" t="s">
        <v>1212</v>
      </c>
      <c r="GP5" s="322" t="s">
        <v>1213</v>
      </c>
      <c r="GQ5" s="322" t="s">
        <v>1214</v>
      </c>
      <c r="GR5" s="322" t="s">
        <v>1215</v>
      </c>
      <c r="GS5" s="322" t="s">
        <v>1216</v>
      </c>
      <c r="GT5" s="459" t="s">
        <v>1217</v>
      </c>
      <c r="GU5" s="322" t="s">
        <v>1218</v>
      </c>
      <c r="GV5" s="322" t="s">
        <v>388</v>
      </c>
      <c r="GW5" s="322" t="s">
        <v>1219</v>
      </c>
      <c r="GX5" s="322" t="s">
        <v>1220</v>
      </c>
      <c r="GY5" s="322" t="s">
        <v>308</v>
      </c>
      <c r="GZ5" s="322" t="s">
        <v>1221</v>
      </c>
      <c r="HA5" s="322" t="s">
        <v>1222</v>
      </c>
      <c r="HB5" s="322" t="s">
        <v>1223</v>
      </c>
      <c r="HC5" s="459" t="s">
        <v>1224</v>
      </c>
      <c r="HD5" s="322" t="s">
        <v>1225</v>
      </c>
      <c r="HE5" s="322" t="s">
        <v>1226</v>
      </c>
      <c r="HF5" s="322" t="s">
        <v>1227</v>
      </c>
      <c r="HG5" s="322" t="s">
        <v>1228</v>
      </c>
      <c r="HH5" s="322" t="s">
        <v>304</v>
      </c>
      <c r="HI5" s="322" t="s">
        <v>1229</v>
      </c>
      <c r="HJ5" s="322" t="s">
        <v>1230</v>
      </c>
      <c r="HK5" s="322" t="s">
        <v>1231</v>
      </c>
      <c r="HL5" s="459" t="s">
        <v>1232</v>
      </c>
      <c r="HM5" s="322" t="s">
        <v>1233</v>
      </c>
      <c r="HN5" s="322" t="s">
        <v>1234</v>
      </c>
      <c r="HO5" s="322" t="s">
        <v>1235</v>
      </c>
      <c r="HP5" s="322" t="s">
        <v>1236</v>
      </c>
      <c r="HQ5" s="322" t="s">
        <v>1237</v>
      </c>
      <c r="HR5" s="322" t="s">
        <v>1238</v>
      </c>
      <c r="HS5" s="322" t="s">
        <v>1239</v>
      </c>
      <c r="HT5" s="322" t="s">
        <v>1240</v>
      </c>
      <c r="HU5" s="459" t="s">
        <v>1241</v>
      </c>
      <c r="HV5" s="322" t="s">
        <v>1242</v>
      </c>
      <c r="HW5" s="322" t="s">
        <v>1243</v>
      </c>
      <c r="HX5" s="322" t="s">
        <v>384</v>
      </c>
      <c r="HY5" s="322" t="s">
        <v>1244</v>
      </c>
      <c r="HZ5" s="322" t="s">
        <v>1245</v>
      </c>
      <c r="IA5" s="322" t="s">
        <v>1246</v>
      </c>
      <c r="IB5" s="322" t="s">
        <v>1247</v>
      </c>
      <c r="IC5" s="322" t="s">
        <v>1248</v>
      </c>
      <c r="ID5" s="459" t="s">
        <v>1249</v>
      </c>
      <c r="IE5" s="322" t="s">
        <v>1250</v>
      </c>
      <c r="IF5" s="322" t="s">
        <v>1251</v>
      </c>
      <c r="IG5" s="322" t="s">
        <v>1252</v>
      </c>
      <c r="IH5" s="322" t="s">
        <v>1253</v>
      </c>
      <c r="II5" s="322" t="s">
        <v>1254</v>
      </c>
      <c r="IJ5" s="322" t="s">
        <v>1255</v>
      </c>
      <c r="IK5" s="322" t="s">
        <v>1256</v>
      </c>
      <c r="IL5" s="322" t="s">
        <v>1257</v>
      </c>
      <c r="IM5" s="459" t="s">
        <v>1258</v>
      </c>
      <c r="IN5" s="322" t="s">
        <v>1259</v>
      </c>
      <c r="IO5" s="322" t="s">
        <v>1260</v>
      </c>
      <c r="IP5" s="322" t="s">
        <v>1261</v>
      </c>
      <c r="IQ5" s="322" t="s">
        <v>1262</v>
      </c>
      <c r="IR5" s="322" t="s">
        <v>1263</v>
      </c>
      <c r="IS5" s="322" t="s">
        <v>1264</v>
      </c>
      <c r="IT5" s="322" t="s">
        <v>1265</v>
      </c>
      <c r="IU5" s="322" t="s">
        <v>1266</v>
      </c>
      <c r="IV5" s="459" t="s">
        <v>1267</v>
      </c>
      <c r="IW5" s="322" t="s">
        <v>1268</v>
      </c>
      <c r="IX5" s="322" t="s">
        <v>1269</v>
      </c>
      <c r="IY5" s="322" t="s">
        <v>1270</v>
      </c>
      <c r="IZ5" s="322" t="s">
        <v>1271</v>
      </c>
      <c r="JA5" s="322" t="s">
        <v>452</v>
      </c>
      <c r="JB5" s="322" t="s">
        <v>1272</v>
      </c>
      <c r="JC5" s="322" t="s">
        <v>1273</v>
      </c>
      <c r="JD5" s="322" t="s">
        <v>1274</v>
      </c>
      <c r="JE5" s="459" t="s">
        <v>1275</v>
      </c>
      <c r="JF5" s="322" t="s">
        <v>1276</v>
      </c>
      <c r="JG5" s="322" t="s">
        <v>1277</v>
      </c>
      <c r="JH5" s="322" t="s">
        <v>1278</v>
      </c>
      <c r="JI5" s="322" t="s">
        <v>1279</v>
      </c>
      <c r="JJ5" s="322" t="s">
        <v>293</v>
      </c>
      <c r="JK5" s="322" t="s">
        <v>309</v>
      </c>
      <c r="JL5" s="322" t="s">
        <v>310</v>
      </c>
      <c r="JM5" s="322" t="s">
        <v>311</v>
      </c>
      <c r="JN5" s="459" t="s">
        <v>1280</v>
      </c>
      <c r="JO5" s="322" t="s">
        <v>1281</v>
      </c>
      <c r="JP5" s="322" t="s">
        <v>1282</v>
      </c>
      <c r="JQ5" s="322" t="s">
        <v>1283</v>
      </c>
      <c r="JR5" s="322" t="s">
        <v>1284</v>
      </c>
      <c r="JS5" s="322" t="s">
        <v>454</v>
      </c>
      <c r="JT5" s="322" t="s">
        <v>1285</v>
      </c>
      <c r="JU5" s="322" t="s">
        <v>1286</v>
      </c>
      <c r="JV5" s="322" t="s">
        <v>1287</v>
      </c>
      <c r="JW5" s="459" t="s">
        <v>1288</v>
      </c>
      <c r="JX5" s="322" t="s">
        <v>1289</v>
      </c>
      <c r="JY5" s="322" t="s">
        <v>1290</v>
      </c>
      <c r="JZ5" s="322" t="s">
        <v>1291</v>
      </c>
      <c r="KA5" s="322" t="s">
        <v>1292</v>
      </c>
      <c r="KB5" s="322" t="s">
        <v>1293</v>
      </c>
      <c r="KC5" s="322" t="s">
        <v>1294</v>
      </c>
      <c r="KD5" s="322" t="s">
        <v>1295</v>
      </c>
      <c r="KE5" s="322" t="s">
        <v>1296</v>
      </c>
      <c r="KF5" s="459" t="s">
        <v>1297</v>
      </c>
      <c r="KG5" s="322" t="s">
        <v>1298</v>
      </c>
      <c r="KH5" s="322" t="s">
        <v>1299</v>
      </c>
      <c r="KI5" s="322" t="s">
        <v>1300</v>
      </c>
      <c r="KJ5" s="322" t="s">
        <v>1301</v>
      </c>
      <c r="KK5" s="322" t="s">
        <v>295</v>
      </c>
      <c r="KL5" s="322" t="s">
        <v>1302</v>
      </c>
      <c r="KM5" s="322" t="s">
        <v>1303</v>
      </c>
      <c r="KN5" s="322" t="s">
        <v>1304</v>
      </c>
      <c r="KO5" s="459" t="s">
        <v>1305</v>
      </c>
      <c r="KP5" s="322" t="s">
        <v>1306</v>
      </c>
      <c r="KQ5" s="322" t="s">
        <v>1307</v>
      </c>
      <c r="KR5" s="322" t="s">
        <v>1308</v>
      </c>
      <c r="KS5" s="322" t="s">
        <v>1309</v>
      </c>
      <c r="KT5" s="322" t="s">
        <v>1310</v>
      </c>
      <c r="KU5" s="322" t="s">
        <v>1311</v>
      </c>
      <c r="KV5" s="322" t="s">
        <v>1312</v>
      </c>
      <c r="KW5" s="322" t="s">
        <v>1313</v>
      </c>
      <c r="KX5" s="459" t="s">
        <v>1314</v>
      </c>
      <c r="KY5" s="322" t="s">
        <v>1315</v>
      </c>
      <c r="KZ5" s="322" t="s">
        <v>1316</v>
      </c>
      <c r="LA5" s="322" t="s">
        <v>1317</v>
      </c>
      <c r="LB5" s="322" t="s">
        <v>1318</v>
      </c>
      <c r="LC5" s="322" t="s">
        <v>1319</v>
      </c>
      <c r="LD5" s="322" t="s">
        <v>1320</v>
      </c>
      <c r="LE5" s="322" t="s">
        <v>1321</v>
      </c>
      <c r="LF5" s="322" t="s">
        <v>1322</v>
      </c>
      <c r="LG5" s="459" t="s">
        <v>1323</v>
      </c>
      <c r="LH5" s="322" t="s">
        <v>1324</v>
      </c>
      <c r="LI5" s="322" t="s">
        <v>1325</v>
      </c>
      <c r="LJ5" s="322" t="s">
        <v>1326</v>
      </c>
      <c r="LK5" s="322" t="s">
        <v>1327</v>
      </c>
      <c r="LL5" s="322" t="s">
        <v>1328</v>
      </c>
      <c r="LM5" s="322" t="s">
        <v>297</v>
      </c>
      <c r="LN5" s="322" t="s">
        <v>298</v>
      </c>
      <c r="LO5" s="322" t="s">
        <v>299</v>
      </c>
      <c r="LP5" s="459" t="s">
        <v>1329</v>
      </c>
      <c r="LQ5" s="322" t="s">
        <v>1330</v>
      </c>
      <c r="LR5" s="322" t="s">
        <v>1331</v>
      </c>
      <c r="LS5" s="322" t="s">
        <v>1332</v>
      </c>
      <c r="LT5" s="322" t="s">
        <v>1333</v>
      </c>
      <c r="LU5" s="322" t="s">
        <v>1334</v>
      </c>
      <c r="LV5" s="322" t="s">
        <v>1335</v>
      </c>
      <c r="LW5" s="322" t="s">
        <v>1336</v>
      </c>
      <c r="LX5" s="322" t="s">
        <v>1337</v>
      </c>
      <c r="LY5" s="459" t="s">
        <v>1338</v>
      </c>
      <c r="LZ5" s="322" t="s">
        <v>1339</v>
      </c>
      <c r="MA5" s="322" t="s">
        <v>1340</v>
      </c>
      <c r="MB5" s="322" t="s">
        <v>1341</v>
      </c>
      <c r="MC5" s="322" t="s">
        <v>1342</v>
      </c>
      <c r="MD5" s="322" t="s">
        <v>1343</v>
      </c>
      <c r="ME5" s="322" t="s">
        <v>1344</v>
      </c>
      <c r="MF5" s="322" t="s">
        <v>1345</v>
      </c>
      <c r="MG5" s="322" t="s">
        <v>1346</v>
      </c>
      <c r="MH5" s="459" t="s">
        <v>1347</v>
      </c>
      <c r="MI5" s="322" t="s">
        <v>1348</v>
      </c>
      <c r="MJ5" s="322" t="s">
        <v>1349</v>
      </c>
      <c r="MK5" s="322" t="s">
        <v>1350</v>
      </c>
      <c r="ML5" s="322" t="s">
        <v>1351</v>
      </c>
      <c r="MM5" s="322" t="s">
        <v>296</v>
      </c>
      <c r="MN5" s="322" t="s">
        <v>1352</v>
      </c>
      <c r="MO5" s="322" t="s">
        <v>1353</v>
      </c>
      <c r="MP5" s="322" t="s">
        <v>1354</v>
      </c>
      <c r="MQ5" s="459" t="s">
        <v>1355</v>
      </c>
      <c r="MR5" s="322" t="s">
        <v>1356</v>
      </c>
      <c r="MS5" s="322" t="s">
        <v>1357</v>
      </c>
      <c r="MT5" s="322" t="s">
        <v>1358</v>
      </c>
      <c r="MU5" s="322" t="s">
        <v>1359</v>
      </c>
      <c r="MV5" s="322" t="s">
        <v>1360</v>
      </c>
      <c r="MW5" s="322" t="s">
        <v>1361</v>
      </c>
      <c r="MX5" s="322" t="s">
        <v>1362</v>
      </c>
      <c r="MY5" s="322" t="s">
        <v>1363</v>
      </c>
      <c r="MZ5" s="459" t="s">
        <v>1364</v>
      </c>
      <c r="NA5" s="322" t="s">
        <v>1365</v>
      </c>
      <c r="NB5" s="322" t="s">
        <v>1366</v>
      </c>
      <c r="NC5" s="322" t="s">
        <v>1367</v>
      </c>
      <c r="ND5" s="322" t="s">
        <v>1368</v>
      </c>
      <c r="NE5" s="322" t="s">
        <v>1369</v>
      </c>
      <c r="NF5" s="322" t="s">
        <v>1370</v>
      </c>
      <c r="NG5" s="322" t="s">
        <v>1371</v>
      </c>
      <c r="NH5" s="322" t="s">
        <v>1372</v>
      </c>
      <c r="NI5" s="459" t="s">
        <v>1373</v>
      </c>
      <c r="NJ5" s="322" t="s">
        <v>1374</v>
      </c>
      <c r="NK5" s="322" t="s">
        <v>1375</v>
      </c>
      <c r="NL5" s="322" t="s">
        <v>1376</v>
      </c>
      <c r="NM5" s="322" t="s">
        <v>1377</v>
      </c>
      <c r="NN5" s="322" t="s">
        <v>1378</v>
      </c>
      <c r="NO5" s="322" t="s">
        <v>1379</v>
      </c>
      <c r="NP5" s="322" t="s">
        <v>1380</v>
      </c>
      <c r="NQ5" s="322" t="s">
        <v>1381</v>
      </c>
      <c r="NR5" s="459" t="s">
        <v>1382</v>
      </c>
      <c r="NS5" s="322" t="s">
        <v>1383</v>
      </c>
      <c r="NT5" s="322" t="s">
        <v>1384</v>
      </c>
      <c r="NU5" s="322" t="s">
        <v>1385</v>
      </c>
      <c r="NV5" s="322" t="s">
        <v>1386</v>
      </c>
      <c r="NW5" s="322" t="s">
        <v>1387</v>
      </c>
      <c r="NX5" s="322" t="s">
        <v>1388</v>
      </c>
      <c r="NY5" s="322" t="s">
        <v>1389</v>
      </c>
      <c r="NZ5" s="322" t="s">
        <v>1390</v>
      </c>
      <c r="OA5" s="459" t="s">
        <v>1391</v>
      </c>
      <c r="OB5" s="322" t="s">
        <v>1392</v>
      </c>
      <c r="OC5" s="322" t="s">
        <v>1393</v>
      </c>
      <c r="OD5" s="322" t="s">
        <v>1394</v>
      </c>
      <c r="OE5" s="322" t="s">
        <v>1395</v>
      </c>
      <c r="OF5" s="322" t="s">
        <v>1396</v>
      </c>
      <c r="OG5" s="322" t="s">
        <v>1397</v>
      </c>
      <c r="OH5" s="322" t="s">
        <v>1398</v>
      </c>
      <c r="OI5" s="322" t="s">
        <v>1399</v>
      </c>
      <c r="OJ5" s="459" t="s">
        <v>1400</v>
      </c>
      <c r="OK5" s="322" t="s">
        <v>1401</v>
      </c>
      <c r="OL5" s="322" t="s">
        <v>1402</v>
      </c>
      <c r="OM5" s="322" t="s">
        <v>1403</v>
      </c>
      <c r="ON5" s="322" t="s">
        <v>1404</v>
      </c>
      <c r="OO5" s="322" t="s">
        <v>1405</v>
      </c>
      <c r="OP5" s="322" t="s">
        <v>1406</v>
      </c>
      <c r="OQ5" s="322" t="s">
        <v>1407</v>
      </c>
      <c r="OR5" s="322" t="s">
        <v>1408</v>
      </c>
      <c r="OS5" s="459" t="s">
        <v>1409</v>
      </c>
      <c r="OT5" s="322" t="s">
        <v>1410</v>
      </c>
      <c r="OU5" s="322" t="s">
        <v>1411</v>
      </c>
      <c r="OV5" s="322" t="s">
        <v>1412</v>
      </c>
      <c r="OW5" s="322" t="s">
        <v>1413</v>
      </c>
      <c r="OX5" s="322" t="s">
        <v>1414</v>
      </c>
      <c r="OY5" s="322" t="s">
        <v>1415</v>
      </c>
      <c r="OZ5" s="322" t="s">
        <v>1416</v>
      </c>
      <c r="PA5" s="322" t="s">
        <v>1417</v>
      </c>
      <c r="PB5" s="459" t="s">
        <v>1418</v>
      </c>
      <c r="PC5" s="322" t="s">
        <v>1419</v>
      </c>
      <c r="PD5" s="322" t="s">
        <v>1420</v>
      </c>
      <c r="PE5" s="322" t="s">
        <v>1421</v>
      </c>
      <c r="PF5" s="322" t="s">
        <v>1422</v>
      </c>
      <c r="PG5" s="322" t="s">
        <v>1423</v>
      </c>
      <c r="PH5" s="322" t="s">
        <v>1424</v>
      </c>
      <c r="PI5" s="322" t="s">
        <v>1425</v>
      </c>
      <c r="PJ5" s="322" t="s">
        <v>1426</v>
      </c>
      <c r="PK5" s="459" t="s">
        <v>1427</v>
      </c>
      <c r="PL5" s="322" t="s">
        <v>1428</v>
      </c>
      <c r="PM5" s="322" t="s">
        <v>1429</v>
      </c>
      <c r="PN5" s="322" t="s">
        <v>1430</v>
      </c>
      <c r="PO5" s="322" t="s">
        <v>1431</v>
      </c>
      <c r="PP5" s="322" t="s">
        <v>1432</v>
      </c>
      <c r="PQ5" s="322" t="s">
        <v>1433</v>
      </c>
      <c r="PR5" s="322" t="s">
        <v>1434</v>
      </c>
      <c r="PS5" s="322" t="s">
        <v>1435</v>
      </c>
      <c r="PT5" s="459" t="s">
        <v>1436</v>
      </c>
      <c r="PU5" s="322" t="s">
        <v>1437</v>
      </c>
      <c r="PV5" s="322" t="s">
        <v>1438</v>
      </c>
      <c r="PW5" s="322" t="s">
        <v>1439</v>
      </c>
      <c r="PX5" s="322" t="s">
        <v>1440</v>
      </c>
      <c r="PY5" s="322" t="s">
        <v>1441</v>
      </c>
      <c r="PZ5" s="322" t="s">
        <v>1442</v>
      </c>
      <c r="QA5" s="322" t="s">
        <v>1443</v>
      </c>
      <c r="QB5" s="322" t="s">
        <v>1444</v>
      </c>
      <c r="QC5" s="459" t="s">
        <v>1445</v>
      </c>
      <c r="QD5" s="322" t="s">
        <v>1446</v>
      </c>
      <c r="QE5" s="322" t="s">
        <v>1447</v>
      </c>
      <c r="QF5" s="322" t="s">
        <v>1448</v>
      </c>
      <c r="QG5" s="322" t="s">
        <v>1449</v>
      </c>
      <c r="QH5" s="322" t="s">
        <v>1450</v>
      </c>
      <c r="QI5" s="322" t="s">
        <v>1451</v>
      </c>
      <c r="QJ5" s="322" t="s">
        <v>1452</v>
      </c>
      <c r="QK5" s="322" t="s">
        <v>1453</v>
      </c>
      <c r="QL5" s="459" t="s">
        <v>1454</v>
      </c>
      <c r="QM5" s="322" t="s">
        <v>1455</v>
      </c>
      <c r="QN5" s="322" t="s">
        <v>1456</v>
      </c>
      <c r="QO5" s="322" t="s">
        <v>1457</v>
      </c>
      <c r="QP5" s="322" t="s">
        <v>1458</v>
      </c>
      <c r="QQ5" s="322" t="s">
        <v>1459</v>
      </c>
      <c r="QR5" s="322" t="s">
        <v>1460</v>
      </c>
      <c r="QS5" s="322" t="s">
        <v>1461</v>
      </c>
      <c r="QT5" s="322" t="s">
        <v>1462</v>
      </c>
      <c r="QU5" s="459" t="s">
        <v>1463</v>
      </c>
      <c r="QV5" s="322" t="s">
        <v>1464</v>
      </c>
      <c r="QW5" s="322" t="s">
        <v>1465</v>
      </c>
      <c r="QX5" s="322" t="s">
        <v>1466</v>
      </c>
      <c r="QY5" s="322" t="s">
        <v>1467</v>
      </c>
      <c r="QZ5" s="322" t="s">
        <v>1468</v>
      </c>
      <c r="RA5" s="322" t="s">
        <v>1469</v>
      </c>
      <c r="RB5" s="322" t="s">
        <v>1470</v>
      </c>
      <c r="RC5" s="322" t="s">
        <v>1471</v>
      </c>
      <c r="RD5" s="459" t="s">
        <v>1472</v>
      </c>
      <c r="RE5" s="322" t="s">
        <v>1473</v>
      </c>
      <c r="RF5" s="322" t="s">
        <v>1474</v>
      </c>
      <c r="RG5" s="322" t="s">
        <v>1475</v>
      </c>
      <c r="RH5" s="322" t="s">
        <v>1476</v>
      </c>
      <c r="RI5" s="322" t="s">
        <v>1477</v>
      </c>
      <c r="RJ5" s="322" t="s">
        <v>1478</v>
      </c>
      <c r="RK5" s="322" t="s">
        <v>1479</v>
      </c>
      <c r="RL5" s="322" t="s">
        <v>1480</v>
      </c>
      <c r="RM5" s="459" t="s">
        <v>1481</v>
      </c>
      <c r="RN5" s="322" t="s">
        <v>1482</v>
      </c>
      <c r="RO5" s="322" t="s">
        <v>1483</v>
      </c>
      <c r="RP5" s="322" t="s">
        <v>1484</v>
      </c>
      <c r="RQ5" s="322" t="s">
        <v>1485</v>
      </c>
      <c r="RR5" s="322" t="s">
        <v>1486</v>
      </c>
      <c r="RS5" s="322" t="s">
        <v>1487</v>
      </c>
      <c r="RT5" s="322" t="s">
        <v>1488</v>
      </c>
      <c r="RU5" s="322" t="s">
        <v>1489</v>
      </c>
      <c r="RV5" s="459" t="s">
        <v>1490</v>
      </c>
      <c r="RW5" s="322" t="s">
        <v>1491</v>
      </c>
      <c r="RX5" s="322" t="s">
        <v>1492</v>
      </c>
      <c r="RY5" s="322" t="s">
        <v>1493</v>
      </c>
      <c r="RZ5" s="322" t="s">
        <v>1494</v>
      </c>
      <c r="SA5" s="322" t="s">
        <v>1495</v>
      </c>
      <c r="SB5" s="322" t="s">
        <v>1496</v>
      </c>
      <c r="SC5" s="322" t="s">
        <v>1497</v>
      </c>
      <c r="SD5" s="322" t="s">
        <v>1498</v>
      </c>
      <c r="SE5" s="459" t="s">
        <v>1499</v>
      </c>
      <c r="SF5" s="322" t="s">
        <v>1500</v>
      </c>
      <c r="SG5" s="322" t="s">
        <v>1501</v>
      </c>
      <c r="SH5" s="322" t="s">
        <v>1502</v>
      </c>
      <c r="SI5" s="322" t="s">
        <v>1503</v>
      </c>
      <c r="SJ5" s="322" t="s">
        <v>1504</v>
      </c>
      <c r="SK5" s="322" t="s">
        <v>1505</v>
      </c>
      <c r="SL5" s="322" t="s">
        <v>1506</v>
      </c>
      <c r="SM5" s="322" t="s">
        <v>1507</v>
      </c>
      <c r="SN5" s="459" t="s">
        <v>1508</v>
      </c>
      <c r="SO5" s="322" t="s">
        <v>1509</v>
      </c>
      <c r="SP5" s="322" t="s">
        <v>1510</v>
      </c>
      <c r="SQ5" s="322" t="s">
        <v>1511</v>
      </c>
      <c r="SR5" s="322" t="s">
        <v>1512</v>
      </c>
      <c r="SS5" s="322" t="s">
        <v>1513</v>
      </c>
      <c r="ST5" s="322" t="s">
        <v>1514</v>
      </c>
      <c r="SU5" s="322" t="s">
        <v>1515</v>
      </c>
      <c r="SV5" s="322" t="s">
        <v>1516</v>
      </c>
      <c r="SW5" s="459" t="s">
        <v>1517</v>
      </c>
      <c r="SX5" s="322" t="s">
        <v>1518</v>
      </c>
      <c r="SY5" s="322" t="s">
        <v>1519</v>
      </c>
      <c r="SZ5" s="322" t="s">
        <v>1520</v>
      </c>
      <c r="TA5" s="322" t="s">
        <v>1521</v>
      </c>
      <c r="TB5" s="322" t="s">
        <v>1522</v>
      </c>
      <c r="TC5" s="322" t="s">
        <v>1523</v>
      </c>
      <c r="TD5" s="460" t="s">
        <v>1524</v>
      </c>
      <c r="TE5" s="322" t="s">
        <v>1525</v>
      </c>
      <c r="TF5" s="461" t="s">
        <v>1526</v>
      </c>
      <c r="TG5" s="461"/>
      <c r="TH5" s="336"/>
      <c r="TI5" s="460" t="s">
        <v>1527</v>
      </c>
      <c r="TJ5" s="460" t="s">
        <v>1528</v>
      </c>
      <c r="TK5" s="459" t="s">
        <v>1529</v>
      </c>
      <c r="TL5" s="322" t="s">
        <v>1530</v>
      </c>
      <c r="TM5" s="322" t="s">
        <v>1531</v>
      </c>
      <c r="TN5" s="322" t="s">
        <v>1532</v>
      </c>
      <c r="TO5" s="322" t="s">
        <v>1533</v>
      </c>
      <c r="TP5" s="322" t="s">
        <v>1534</v>
      </c>
      <c r="TQ5" s="322" t="s">
        <v>1535</v>
      </c>
      <c r="TR5" s="322" t="s">
        <v>1536</v>
      </c>
      <c r="TS5" s="322" t="s">
        <v>1537</v>
      </c>
      <c r="TT5" s="322" t="s">
        <v>1538</v>
      </c>
      <c r="TU5" s="459" t="s">
        <v>991</v>
      </c>
      <c r="TV5" s="322" t="s">
        <v>1539</v>
      </c>
      <c r="TW5" s="322" t="s">
        <v>1540</v>
      </c>
      <c r="TX5" s="322" t="s">
        <v>1541</v>
      </c>
      <c r="TY5" s="322" t="s">
        <v>1542</v>
      </c>
      <c r="TZ5" s="322" t="s">
        <v>1543</v>
      </c>
      <c r="UA5" s="322" t="s">
        <v>1544</v>
      </c>
      <c r="UB5" s="322" t="s">
        <v>1545</v>
      </c>
      <c r="UC5" s="322" t="s">
        <v>1546</v>
      </c>
      <c r="UD5" s="459" t="s">
        <v>992</v>
      </c>
      <c r="UE5" s="322" t="s">
        <v>1547</v>
      </c>
      <c r="UF5" s="322" t="s">
        <v>1548</v>
      </c>
      <c r="UG5" s="322" t="s">
        <v>1549</v>
      </c>
      <c r="UH5" s="322" t="s">
        <v>1550</v>
      </c>
      <c r="UI5" s="322" t="s">
        <v>1551</v>
      </c>
      <c r="UJ5" s="322" t="s">
        <v>1552</v>
      </c>
      <c r="UK5" s="322" t="s">
        <v>1553</v>
      </c>
      <c r="UL5" s="322" t="s">
        <v>1554</v>
      </c>
      <c r="UM5" s="322" t="s">
        <v>1555</v>
      </c>
      <c r="UN5" s="322" t="s">
        <v>1556</v>
      </c>
      <c r="UO5" s="459" t="s">
        <v>1557</v>
      </c>
      <c r="UP5" s="322" t="s">
        <v>1558</v>
      </c>
      <c r="UQ5" s="322" t="s">
        <v>1559</v>
      </c>
      <c r="UR5" s="322" t="s">
        <v>1560</v>
      </c>
      <c r="US5" s="322" t="s">
        <v>1561</v>
      </c>
      <c r="UT5" s="322" t="s">
        <v>1562</v>
      </c>
      <c r="UU5" s="322" t="s">
        <v>1563</v>
      </c>
      <c r="UV5" s="322" t="s">
        <v>1564</v>
      </c>
      <c r="UW5" s="322" t="s">
        <v>1565</v>
      </c>
      <c r="UX5" s="460" t="s">
        <v>1566</v>
      </c>
      <c r="UY5" s="459" t="s">
        <v>1567</v>
      </c>
      <c r="UZ5" s="322" t="s">
        <v>1568</v>
      </c>
      <c r="VA5" s="320"/>
      <c r="VB5" s="462"/>
      <c r="VC5" s="459" t="s">
        <v>1569</v>
      </c>
      <c r="VD5" s="322" t="s">
        <v>1570</v>
      </c>
      <c r="VE5" s="322" t="s">
        <v>1571</v>
      </c>
    </row>
    <row r="6" spans="1:577" s="331" customFormat="1" ht="30.6" thickBot="1">
      <c r="A6" s="325">
        <v>390</v>
      </c>
      <c r="B6" s="326" t="s">
        <v>206</v>
      </c>
      <c r="C6" s="327" t="s">
        <v>938</v>
      </c>
      <c r="D6" s="331" t="s">
        <v>428</v>
      </c>
      <c r="E6" s="463">
        <v>30</v>
      </c>
      <c r="F6" s="464">
        <v>21515871828</v>
      </c>
      <c r="G6" s="329" t="s">
        <v>1572</v>
      </c>
      <c r="H6" s="331" t="s">
        <v>206</v>
      </c>
      <c r="M6" s="465">
        <v>214022335</v>
      </c>
      <c r="N6" s="465">
        <v>0</v>
      </c>
      <c r="O6" s="465">
        <v>0</v>
      </c>
      <c r="P6" s="465">
        <v>0</v>
      </c>
      <c r="Q6" s="465">
        <v>0</v>
      </c>
      <c r="R6" s="465">
        <v>0</v>
      </c>
      <c r="S6" s="465">
        <v>0</v>
      </c>
      <c r="T6" s="465">
        <v>0</v>
      </c>
      <c r="U6" s="465">
        <v>0</v>
      </c>
      <c r="V6" s="465">
        <v>2374355</v>
      </c>
      <c r="W6" s="465">
        <v>2063501</v>
      </c>
      <c r="X6" s="465">
        <v>0</v>
      </c>
      <c r="Y6" s="465">
        <v>41863416</v>
      </c>
      <c r="Z6" s="465">
        <v>0</v>
      </c>
      <c r="AA6" s="465">
        <v>0</v>
      </c>
      <c r="AB6" s="465">
        <v>0</v>
      </c>
      <c r="AC6" s="465">
        <v>0</v>
      </c>
      <c r="AD6" s="465">
        <v>0</v>
      </c>
      <c r="AE6" s="465">
        <v>0</v>
      </c>
      <c r="AF6" s="465">
        <v>0</v>
      </c>
      <c r="AG6" s="465">
        <v>0</v>
      </c>
      <c r="AH6" s="465">
        <v>0</v>
      </c>
      <c r="AI6" s="465">
        <v>0</v>
      </c>
      <c r="AJ6" s="465">
        <v>0</v>
      </c>
      <c r="AK6" s="465">
        <v>0</v>
      </c>
      <c r="AL6" s="465">
        <v>0</v>
      </c>
      <c r="AM6" s="465">
        <v>0</v>
      </c>
      <c r="AN6" s="465">
        <v>0</v>
      </c>
      <c r="AO6" s="465">
        <v>0</v>
      </c>
      <c r="AP6" s="465">
        <v>0</v>
      </c>
      <c r="AQ6" s="465">
        <v>0</v>
      </c>
      <c r="AR6" s="465">
        <v>0</v>
      </c>
      <c r="AS6" s="465">
        <v>0</v>
      </c>
      <c r="AT6" s="465">
        <v>0</v>
      </c>
      <c r="AU6" s="465">
        <v>0</v>
      </c>
      <c r="AV6" s="465">
        <v>0</v>
      </c>
      <c r="AW6" s="465">
        <v>0</v>
      </c>
      <c r="AX6" s="465">
        <v>0</v>
      </c>
      <c r="AY6" s="465">
        <v>0</v>
      </c>
      <c r="AZ6" s="465">
        <v>0</v>
      </c>
      <c r="BA6" s="465">
        <v>0</v>
      </c>
      <c r="BB6" s="465">
        <v>0</v>
      </c>
      <c r="BC6" s="465">
        <v>0</v>
      </c>
      <c r="BD6" s="465">
        <v>0</v>
      </c>
      <c r="BE6" s="465">
        <v>0</v>
      </c>
      <c r="BF6" s="465">
        <v>-6687827</v>
      </c>
      <c r="BG6" s="465">
        <v>0</v>
      </c>
      <c r="BH6" s="465">
        <v>0</v>
      </c>
      <c r="BI6" s="465">
        <v>0</v>
      </c>
      <c r="BJ6" s="465">
        <v>0</v>
      </c>
      <c r="BK6" s="465">
        <v>0</v>
      </c>
      <c r="BL6" s="465">
        <v>0</v>
      </c>
      <c r="BM6" s="465">
        <v>0</v>
      </c>
      <c r="BN6" s="465">
        <v>0</v>
      </c>
      <c r="BO6" s="465">
        <v>0</v>
      </c>
      <c r="BP6" s="465">
        <v>0</v>
      </c>
      <c r="BQ6" s="465">
        <v>0</v>
      </c>
      <c r="BR6" s="465">
        <v>0</v>
      </c>
      <c r="BS6" s="465">
        <v>0</v>
      </c>
      <c r="BT6" s="465">
        <v>0</v>
      </c>
      <c r="BU6" s="465">
        <v>0</v>
      </c>
      <c r="BV6" s="465">
        <v>0</v>
      </c>
      <c r="BW6" s="465">
        <v>0</v>
      </c>
      <c r="BX6" s="465">
        <v>0</v>
      </c>
      <c r="BY6" s="465">
        <v>0</v>
      </c>
      <c r="BZ6" s="465">
        <v>0</v>
      </c>
      <c r="CA6" s="465">
        <v>0</v>
      </c>
      <c r="CB6" s="465">
        <v>0</v>
      </c>
      <c r="CC6" s="465">
        <v>0</v>
      </c>
      <c r="CD6" s="465">
        <v>0</v>
      </c>
      <c r="CE6" s="465">
        <v>0</v>
      </c>
      <c r="CF6" s="465">
        <v>0</v>
      </c>
      <c r="CG6" s="465">
        <v>0</v>
      </c>
      <c r="CH6" s="465">
        <v>0</v>
      </c>
      <c r="CI6" s="465">
        <v>0</v>
      </c>
      <c r="CJ6" s="465">
        <v>0</v>
      </c>
      <c r="CK6" s="465">
        <v>0</v>
      </c>
      <c r="CL6" s="465">
        <v>0</v>
      </c>
      <c r="CM6" s="465">
        <v>0</v>
      </c>
      <c r="CN6" s="465">
        <v>0</v>
      </c>
      <c r="CO6" s="465">
        <v>0</v>
      </c>
      <c r="CP6" s="465">
        <v>8673701</v>
      </c>
      <c r="CQ6" s="465">
        <v>19366250</v>
      </c>
      <c r="CR6" s="465">
        <v>0</v>
      </c>
      <c r="CS6" s="465">
        <v>0</v>
      </c>
      <c r="CT6" s="465">
        <v>0</v>
      </c>
      <c r="CU6" s="465">
        <v>0</v>
      </c>
      <c r="CV6" s="465">
        <v>0</v>
      </c>
      <c r="CW6" s="465">
        <v>0</v>
      </c>
      <c r="CX6" s="465">
        <v>0</v>
      </c>
      <c r="CY6" s="465">
        <v>0</v>
      </c>
      <c r="CZ6" s="465">
        <v>0</v>
      </c>
      <c r="DA6" s="465">
        <v>0</v>
      </c>
      <c r="DB6" s="465">
        <v>0</v>
      </c>
      <c r="DC6" s="465">
        <v>0</v>
      </c>
      <c r="DD6" s="465">
        <v>0</v>
      </c>
      <c r="DE6" s="465">
        <v>0</v>
      </c>
      <c r="DF6" s="465">
        <v>0</v>
      </c>
      <c r="DG6" s="465">
        <v>0</v>
      </c>
      <c r="DH6" s="465">
        <v>0</v>
      </c>
      <c r="DI6" s="465">
        <v>0</v>
      </c>
      <c r="DJ6" s="465">
        <v>0</v>
      </c>
      <c r="DK6" s="465">
        <v>0</v>
      </c>
      <c r="DL6" s="465">
        <v>0</v>
      </c>
      <c r="DM6" s="465">
        <v>0</v>
      </c>
      <c r="DN6" s="465">
        <v>0</v>
      </c>
      <c r="DO6" s="465">
        <v>0</v>
      </c>
      <c r="DP6" s="465">
        <v>0</v>
      </c>
      <c r="DQ6" s="465">
        <v>-236246</v>
      </c>
      <c r="DR6" s="465">
        <v>0</v>
      </c>
      <c r="DS6" s="465">
        <v>0</v>
      </c>
      <c r="DT6" s="465">
        <v>0</v>
      </c>
      <c r="DU6" s="465">
        <v>0</v>
      </c>
      <c r="DV6" s="465">
        <v>0</v>
      </c>
      <c r="DW6" s="465">
        <v>0</v>
      </c>
      <c r="DX6" s="465">
        <v>0</v>
      </c>
      <c r="DY6" s="465">
        <v>0</v>
      </c>
      <c r="DZ6" s="465">
        <v>0</v>
      </c>
      <c r="EA6" s="465">
        <v>0</v>
      </c>
      <c r="EB6" s="465">
        <v>0</v>
      </c>
      <c r="EC6" s="465">
        <v>0</v>
      </c>
      <c r="ED6" s="465">
        <v>0</v>
      </c>
      <c r="EE6" s="465">
        <v>0</v>
      </c>
      <c r="EF6" s="465">
        <v>0</v>
      </c>
      <c r="EG6" s="465">
        <v>0</v>
      </c>
      <c r="EH6" s="465">
        <v>0</v>
      </c>
      <c r="EI6" s="465">
        <v>-364967</v>
      </c>
      <c r="EJ6" s="465">
        <v>-1303436</v>
      </c>
      <c r="EK6" s="465">
        <v>0</v>
      </c>
      <c r="EL6" s="465">
        <v>0</v>
      </c>
      <c r="EM6" s="465">
        <v>0</v>
      </c>
      <c r="EN6" s="465">
        <v>0</v>
      </c>
      <c r="EO6" s="465">
        <v>0</v>
      </c>
      <c r="EP6" s="465">
        <v>0</v>
      </c>
      <c r="EQ6" s="465">
        <v>0</v>
      </c>
      <c r="ER6" s="465">
        <v>0</v>
      </c>
      <c r="ES6" s="465">
        <v>0</v>
      </c>
      <c r="ET6" s="465">
        <v>0</v>
      </c>
      <c r="EU6" s="465">
        <v>0</v>
      </c>
      <c r="EV6" s="465">
        <v>0</v>
      </c>
      <c r="EW6" s="465">
        <v>0</v>
      </c>
      <c r="EX6" s="465">
        <v>0</v>
      </c>
      <c r="EY6" s="465">
        <v>0</v>
      </c>
      <c r="EZ6" s="465">
        <v>0</v>
      </c>
      <c r="FA6" s="465">
        <v>0</v>
      </c>
      <c r="FB6" s="465">
        <v>0</v>
      </c>
      <c r="FC6" s="465">
        <v>0</v>
      </c>
      <c r="FD6" s="465">
        <v>0</v>
      </c>
      <c r="FE6" s="465">
        <v>0</v>
      </c>
      <c r="FF6" s="465">
        <v>0</v>
      </c>
      <c r="FG6" s="465">
        <v>0</v>
      </c>
      <c r="FH6" s="465">
        <v>0</v>
      </c>
      <c r="FI6" s="465">
        <v>0</v>
      </c>
      <c r="FJ6" s="465">
        <v>0</v>
      </c>
      <c r="FK6" s="465">
        <v>0</v>
      </c>
      <c r="FL6" s="465">
        <v>0</v>
      </c>
      <c r="FM6" s="465">
        <v>0</v>
      </c>
      <c r="FN6" s="465">
        <v>0</v>
      </c>
      <c r="FO6" s="465">
        <v>0</v>
      </c>
      <c r="FP6" s="465">
        <v>0</v>
      </c>
      <c r="FQ6" s="465">
        <v>0</v>
      </c>
      <c r="FR6" s="465">
        <v>0</v>
      </c>
      <c r="FS6" s="465">
        <v>0</v>
      </c>
      <c r="FT6" s="465">
        <v>0</v>
      </c>
      <c r="FU6" s="465">
        <v>0</v>
      </c>
      <c r="FV6" s="465">
        <v>0</v>
      </c>
      <c r="FW6" s="465">
        <v>0</v>
      </c>
      <c r="FX6" s="465">
        <v>0</v>
      </c>
      <c r="FY6" s="465">
        <v>0</v>
      </c>
      <c r="FZ6" s="465">
        <v>0</v>
      </c>
      <c r="GA6" s="465">
        <v>0</v>
      </c>
      <c r="GB6" s="465">
        <v>53715</v>
      </c>
      <c r="GC6" s="465">
        <v>923103</v>
      </c>
      <c r="GD6" s="465">
        <v>1846347</v>
      </c>
      <c r="GE6" s="465">
        <v>0</v>
      </c>
      <c r="GF6" s="465">
        <v>0</v>
      </c>
      <c r="GG6" s="465">
        <v>0</v>
      </c>
      <c r="GH6" s="465">
        <v>0</v>
      </c>
      <c r="GI6" s="465">
        <v>0</v>
      </c>
      <c r="GJ6" s="465">
        <v>0</v>
      </c>
      <c r="GK6" s="465">
        <v>0</v>
      </c>
      <c r="GL6" s="465">
        <v>0</v>
      </c>
      <c r="GM6" s="465">
        <v>0</v>
      </c>
      <c r="GN6" s="465">
        <v>0</v>
      </c>
      <c r="GO6" s="465">
        <v>0</v>
      </c>
      <c r="GP6" s="465">
        <v>0</v>
      </c>
      <c r="GQ6" s="465">
        <v>0</v>
      </c>
      <c r="GR6" s="465">
        <v>0</v>
      </c>
      <c r="GS6" s="465">
        <v>0</v>
      </c>
      <c r="GT6" s="465">
        <v>0</v>
      </c>
      <c r="GU6" s="465">
        <v>0</v>
      </c>
      <c r="GV6" s="465">
        <v>0</v>
      </c>
      <c r="GW6" s="465">
        <v>0</v>
      </c>
      <c r="GX6" s="465">
        <v>0</v>
      </c>
      <c r="GY6" s="465">
        <v>0</v>
      </c>
      <c r="GZ6" s="465">
        <v>0</v>
      </c>
      <c r="HA6" s="465">
        <v>0</v>
      </c>
      <c r="HB6" s="465">
        <v>0</v>
      </c>
      <c r="HC6" s="465">
        <v>0</v>
      </c>
      <c r="HD6" s="465">
        <v>0</v>
      </c>
      <c r="HE6" s="465">
        <v>0</v>
      </c>
      <c r="HF6" s="465">
        <v>0</v>
      </c>
      <c r="HG6" s="465">
        <v>0</v>
      </c>
      <c r="HH6" s="465">
        <v>0</v>
      </c>
      <c r="HI6" s="465">
        <v>0</v>
      </c>
      <c r="HJ6" s="465">
        <v>0</v>
      </c>
      <c r="HK6" s="465">
        <v>0</v>
      </c>
      <c r="HL6" s="465">
        <v>0</v>
      </c>
      <c r="HM6" s="465">
        <v>0</v>
      </c>
      <c r="HN6" s="465">
        <v>0</v>
      </c>
      <c r="HO6" s="465">
        <v>0</v>
      </c>
      <c r="HP6" s="465">
        <v>0</v>
      </c>
      <c r="HQ6" s="465">
        <v>0</v>
      </c>
      <c r="HR6" s="465">
        <v>0</v>
      </c>
      <c r="HS6" s="465">
        <v>0</v>
      </c>
      <c r="HT6" s="465">
        <v>0</v>
      </c>
      <c r="HU6" s="465">
        <v>-5460</v>
      </c>
      <c r="HV6" s="465">
        <v>-61420</v>
      </c>
      <c r="HW6" s="465">
        <v>-631724</v>
      </c>
      <c r="HX6" s="465">
        <v>0</v>
      </c>
      <c r="HY6" s="465">
        <v>0</v>
      </c>
      <c r="HZ6" s="465">
        <v>0</v>
      </c>
      <c r="IA6" s="465">
        <v>0</v>
      </c>
      <c r="IB6" s="465">
        <v>0</v>
      </c>
      <c r="IC6" s="465">
        <v>0</v>
      </c>
      <c r="ID6" s="465">
        <v>0</v>
      </c>
      <c r="IE6" s="465">
        <v>117467663</v>
      </c>
      <c r="IF6" s="465">
        <v>0</v>
      </c>
      <c r="IG6" s="465">
        <v>204993958</v>
      </c>
      <c r="IH6" s="465">
        <v>0</v>
      </c>
      <c r="II6" s="465">
        <v>0</v>
      </c>
      <c r="IJ6" s="465">
        <v>0</v>
      </c>
      <c r="IK6" s="465">
        <v>0</v>
      </c>
      <c r="IL6" s="465">
        <v>0</v>
      </c>
      <c r="IM6" s="465">
        <v>0</v>
      </c>
      <c r="IN6" s="465">
        <v>811029427</v>
      </c>
      <c r="IO6" s="465">
        <v>0</v>
      </c>
      <c r="IP6" s="465">
        <v>0</v>
      </c>
      <c r="IQ6" s="465">
        <v>0</v>
      </c>
      <c r="IR6" s="465">
        <v>0</v>
      </c>
      <c r="IS6" s="465">
        <v>0</v>
      </c>
      <c r="IT6" s="465">
        <v>0</v>
      </c>
      <c r="IU6" s="465">
        <v>0</v>
      </c>
      <c r="IV6" s="465">
        <v>0</v>
      </c>
      <c r="IW6" s="465">
        <v>2096225524</v>
      </c>
      <c r="IX6" s="465">
        <v>0</v>
      </c>
      <c r="IY6" s="465">
        <v>0</v>
      </c>
      <c r="IZ6" s="465">
        <v>0</v>
      </c>
      <c r="JA6" s="465">
        <v>0</v>
      </c>
      <c r="JB6" s="465">
        <v>0</v>
      </c>
      <c r="JC6" s="465">
        <v>0</v>
      </c>
      <c r="JD6" s="465">
        <v>0</v>
      </c>
      <c r="JE6" s="465">
        <v>122584</v>
      </c>
      <c r="JF6" s="465">
        <v>142164926</v>
      </c>
      <c r="JG6" s="465">
        <v>1738629</v>
      </c>
      <c r="JH6" s="465">
        <v>119342199</v>
      </c>
      <c r="JI6" s="465">
        <v>17436</v>
      </c>
      <c r="JJ6" s="465">
        <v>1265209</v>
      </c>
      <c r="JK6" s="465">
        <v>0</v>
      </c>
      <c r="JL6" s="465">
        <v>0</v>
      </c>
      <c r="JM6" s="465">
        <v>0</v>
      </c>
      <c r="JN6" s="465">
        <v>0</v>
      </c>
      <c r="JO6" s="465">
        <v>152065582</v>
      </c>
      <c r="JP6" s="465">
        <v>0</v>
      </c>
      <c r="JQ6" s="465">
        <v>510426</v>
      </c>
      <c r="JR6" s="465">
        <v>0</v>
      </c>
      <c r="JS6" s="465">
        <v>0</v>
      </c>
      <c r="JT6" s="465">
        <v>0</v>
      </c>
      <c r="JU6" s="465">
        <v>0</v>
      </c>
      <c r="JV6" s="465">
        <v>0</v>
      </c>
      <c r="JW6" s="465">
        <v>0</v>
      </c>
      <c r="JX6" s="465">
        <v>244629013</v>
      </c>
      <c r="JY6" s="465">
        <v>0</v>
      </c>
      <c r="JZ6" s="465">
        <v>237859010</v>
      </c>
      <c r="KA6" s="465">
        <v>0</v>
      </c>
      <c r="KB6" s="465">
        <v>0</v>
      </c>
      <c r="KC6" s="465">
        <v>0</v>
      </c>
      <c r="KD6" s="465">
        <v>0</v>
      </c>
      <c r="KE6" s="465">
        <v>0</v>
      </c>
      <c r="KF6" s="465">
        <v>0</v>
      </c>
      <c r="KG6" s="465">
        <v>13109125</v>
      </c>
      <c r="KH6" s="465">
        <v>0</v>
      </c>
      <c r="KI6" s="465">
        <v>-854166</v>
      </c>
      <c r="KJ6" s="465">
        <v>0</v>
      </c>
      <c r="KK6" s="465">
        <v>0</v>
      </c>
      <c r="KL6" s="465">
        <v>0</v>
      </c>
      <c r="KM6" s="465">
        <v>0</v>
      </c>
      <c r="KN6" s="465">
        <v>0</v>
      </c>
      <c r="KO6" s="465">
        <v>0</v>
      </c>
      <c r="KP6" s="465">
        <v>0</v>
      </c>
      <c r="KQ6" s="465">
        <v>27911529</v>
      </c>
      <c r="KR6" s="465">
        <v>0</v>
      </c>
      <c r="KS6" s="465">
        <v>0</v>
      </c>
      <c r="KT6" s="465">
        <v>0</v>
      </c>
      <c r="KU6" s="465">
        <v>0</v>
      </c>
      <c r="KV6" s="465">
        <v>0</v>
      </c>
      <c r="KW6" s="465">
        <v>0</v>
      </c>
      <c r="KX6" s="465">
        <v>141740</v>
      </c>
      <c r="KY6" s="465">
        <v>271409865</v>
      </c>
      <c r="KZ6" s="465">
        <v>-12928</v>
      </c>
      <c r="LA6" s="465">
        <v>55999</v>
      </c>
      <c r="LB6" s="465">
        <v>642</v>
      </c>
      <c r="LC6" s="465">
        <v>0</v>
      </c>
      <c r="LD6" s="465">
        <v>0</v>
      </c>
      <c r="LE6" s="465">
        <v>0</v>
      </c>
      <c r="LF6" s="465">
        <v>-813007</v>
      </c>
      <c r="LG6" s="465">
        <v>76798190</v>
      </c>
      <c r="LH6" s="465">
        <v>1157351162</v>
      </c>
      <c r="LI6" s="465">
        <v>0</v>
      </c>
      <c r="LJ6" s="465">
        <v>8568989</v>
      </c>
      <c r="LK6" s="465">
        <v>0</v>
      </c>
      <c r="LL6" s="465">
        <v>0</v>
      </c>
      <c r="LM6" s="465">
        <v>0</v>
      </c>
      <c r="LN6" s="465">
        <v>0</v>
      </c>
      <c r="LO6" s="465">
        <v>0</v>
      </c>
      <c r="LP6" s="465">
        <v>42528278</v>
      </c>
      <c r="LQ6" s="465">
        <v>54220184</v>
      </c>
      <c r="LR6" s="465">
        <v>0</v>
      </c>
      <c r="LS6" s="465">
        <v>385259376</v>
      </c>
      <c r="LT6" s="465">
        <v>0</v>
      </c>
      <c r="LU6" s="465">
        <v>0</v>
      </c>
      <c r="LV6" s="465">
        <v>0</v>
      </c>
      <c r="LW6" s="465">
        <v>0</v>
      </c>
      <c r="LX6" s="465">
        <v>0</v>
      </c>
      <c r="LY6" s="465">
        <v>20062</v>
      </c>
      <c r="LZ6" s="465">
        <v>26010495</v>
      </c>
      <c r="MA6" s="465">
        <v>0</v>
      </c>
      <c r="MB6" s="465">
        <v>932127</v>
      </c>
      <c r="MC6" s="465">
        <v>0</v>
      </c>
      <c r="MD6" s="465">
        <v>0</v>
      </c>
      <c r="ME6" s="465">
        <v>0</v>
      </c>
      <c r="MF6" s="465">
        <v>0</v>
      </c>
      <c r="MG6" s="465">
        <v>0</v>
      </c>
      <c r="MH6" s="465">
        <v>0</v>
      </c>
      <c r="MI6" s="465">
        <v>2011177395</v>
      </c>
      <c r="MJ6" s="465">
        <v>0</v>
      </c>
      <c r="MK6" s="465">
        <v>607438</v>
      </c>
      <c r="ML6" s="465">
        <v>0</v>
      </c>
      <c r="MM6" s="465">
        <v>0</v>
      </c>
      <c r="MN6" s="465">
        <v>0</v>
      </c>
      <c r="MO6" s="465">
        <v>0</v>
      </c>
      <c r="MP6" s="465">
        <v>0</v>
      </c>
      <c r="MQ6" s="465">
        <v>32986879</v>
      </c>
      <c r="MR6" s="465">
        <v>46829068</v>
      </c>
      <c r="MS6" s="465">
        <v>0</v>
      </c>
      <c r="MT6" s="465">
        <v>1250159</v>
      </c>
      <c r="MU6" s="465">
        <v>0</v>
      </c>
      <c r="MV6" s="465">
        <v>0</v>
      </c>
      <c r="MW6" s="465">
        <v>0</v>
      </c>
      <c r="MX6" s="465">
        <v>0</v>
      </c>
      <c r="MY6" s="465">
        <v>0</v>
      </c>
      <c r="MZ6" s="465">
        <v>450406</v>
      </c>
      <c r="NA6" s="465">
        <v>1082100</v>
      </c>
      <c r="NB6" s="465">
        <v>0</v>
      </c>
      <c r="NC6" s="465">
        <v>279124</v>
      </c>
      <c r="ND6" s="465">
        <v>339790</v>
      </c>
      <c r="NE6" s="465">
        <v>0</v>
      </c>
      <c r="NF6" s="465">
        <v>0</v>
      </c>
      <c r="NG6" s="465">
        <v>0</v>
      </c>
      <c r="NH6" s="465">
        <v>0</v>
      </c>
      <c r="NI6" s="465">
        <v>42513182</v>
      </c>
      <c r="NJ6" s="465">
        <v>24571243</v>
      </c>
      <c r="NK6" s="465">
        <v>0</v>
      </c>
      <c r="NL6" s="465">
        <v>32840262</v>
      </c>
      <c r="NM6" s="465">
        <v>0</v>
      </c>
      <c r="NN6" s="465">
        <v>0</v>
      </c>
      <c r="NO6" s="465">
        <v>0</v>
      </c>
      <c r="NP6" s="465">
        <v>0</v>
      </c>
      <c r="NQ6" s="465">
        <v>0</v>
      </c>
      <c r="NR6" s="465">
        <v>17745816</v>
      </c>
      <c r="NS6" s="465">
        <v>39721519</v>
      </c>
      <c r="NT6" s="465">
        <v>0</v>
      </c>
      <c r="NU6" s="465">
        <v>3051043</v>
      </c>
      <c r="NV6" s="465">
        <v>0</v>
      </c>
      <c r="NW6" s="465">
        <v>0</v>
      </c>
      <c r="NX6" s="465">
        <v>46438749</v>
      </c>
      <c r="NY6" s="465">
        <v>0</v>
      </c>
      <c r="NZ6" s="465">
        <v>0</v>
      </c>
      <c r="OA6" s="465">
        <v>58228</v>
      </c>
      <c r="OB6" s="465">
        <v>272378</v>
      </c>
      <c r="OC6" s="465">
        <v>0</v>
      </c>
      <c r="OD6" s="465">
        <v>5066357</v>
      </c>
      <c r="OE6" s="465">
        <v>0</v>
      </c>
      <c r="OF6" s="465">
        <v>0</v>
      </c>
      <c r="OG6" s="465">
        <v>0</v>
      </c>
      <c r="OH6" s="465">
        <v>0</v>
      </c>
      <c r="OI6" s="465">
        <v>0</v>
      </c>
      <c r="OJ6" s="465">
        <v>0</v>
      </c>
      <c r="OK6" s="465">
        <v>0</v>
      </c>
      <c r="OL6" s="465">
        <v>36039161</v>
      </c>
      <c r="OM6" s="465">
        <v>0</v>
      </c>
      <c r="ON6" s="465">
        <v>0</v>
      </c>
      <c r="OO6" s="465">
        <v>0</v>
      </c>
      <c r="OP6" s="465">
        <v>0</v>
      </c>
      <c r="OQ6" s="465">
        <v>0</v>
      </c>
      <c r="OR6" s="465">
        <v>0</v>
      </c>
      <c r="OS6" s="465">
        <v>0</v>
      </c>
      <c r="OT6" s="465">
        <v>-9332377</v>
      </c>
      <c r="OU6" s="465">
        <v>57927</v>
      </c>
      <c r="OV6" s="465">
        <v>13876405</v>
      </c>
      <c r="OW6" s="465">
        <v>0</v>
      </c>
      <c r="OX6" s="465">
        <v>0</v>
      </c>
      <c r="OY6" s="465">
        <v>0</v>
      </c>
      <c r="OZ6" s="465">
        <v>0</v>
      </c>
      <c r="PA6" s="465">
        <v>0</v>
      </c>
      <c r="PB6" s="465">
        <v>0</v>
      </c>
      <c r="PC6" s="465">
        <v>12004333</v>
      </c>
      <c r="PD6" s="465">
        <v>0</v>
      </c>
      <c r="PE6" s="465">
        <v>0</v>
      </c>
      <c r="PF6" s="465">
        <v>0</v>
      </c>
      <c r="PG6" s="465">
        <v>0</v>
      </c>
      <c r="PH6" s="465">
        <v>0</v>
      </c>
      <c r="PI6" s="465">
        <v>0</v>
      </c>
      <c r="PJ6" s="465">
        <v>0</v>
      </c>
      <c r="PK6" s="465">
        <v>0</v>
      </c>
      <c r="PL6" s="465">
        <v>0</v>
      </c>
      <c r="PM6" s="465">
        <v>0</v>
      </c>
      <c r="PN6" s="465">
        <v>0</v>
      </c>
      <c r="PO6" s="465">
        <v>0</v>
      </c>
      <c r="PP6" s="465">
        <v>0</v>
      </c>
      <c r="PQ6" s="465">
        <v>-373442574</v>
      </c>
      <c r="PR6" s="465">
        <v>0</v>
      </c>
      <c r="PS6" s="465">
        <v>0</v>
      </c>
      <c r="PT6" s="465">
        <v>6342454</v>
      </c>
      <c r="PU6" s="465">
        <v>62567995</v>
      </c>
      <c r="PV6" s="465">
        <v>9613134</v>
      </c>
      <c r="PW6" s="465">
        <v>-405307972</v>
      </c>
      <c r="PX6" s="465">
        <v>-200000</v>
      </c>
      <c r="PY6" s="465">
        <v>50991012</v>
      </c>
      <c r="PZ6" s="465">
        <v>265493558</v>
      </c>
      <c r="QA6" s="465">
        <v>0</v>
      </c>
      <c r="QB6" s="465">
        <v>13169450</v>
      </c>
      <c r="QC6" s="465">
        <v>0</v>
      </c>
      <c r="QD6" s="465">
        <v>0</v>
      </c>
      <c r="QE6" s="465">
        <v>0</v>
      </c>
      <c r="QF6" s="465">
        <v>0</v>
      </c>
      <c r="QG6" s="465">
        <v>0</v>
      </c>
      <c r="QH6" s="465">
        <v>0</v>
      </c>
      <c r="QI6" s="465">
        <v>168396645</v>
      </c>
      <c r="QJ6" s="465">
        <v>0</v>
      </c>
      <c r="QK6" s="465">
        <v>0</v>
      </c>
      <c r="QL6" s="465">
        <v>-18520000</v>
      </c>
      <c r="QM6" s="465">
        <v>-105861202</v>
      </c>
      <c r="QN6" s="465">
        <v>-10220872</v>
      </c>
      <c r="QO6" s="465">
        <v>0</v>
      </c>
      <c r="QP6" s="465">
        <v>0</v>
      </c>
      <c r="QQ6" s="465">
        <v>0</v>
      </c>
      <c r="QR6" s="465">
        <v>0</v>
      </c>
      <c r="QS6" s="465">
        <v>0</v>
      </c>
      <c r="QT6" s="465">
        <v>0</v>
      </c>
      <c r="QU6" s="465">
        <v>0</v>
      </c>
      <c r="QV6" s="465">
        <v>-185758159</v>
      </c>
      <c r="QW6" s="465">
        <v>-3088498</v>
      </c>
      <c r="QX6" s="465">
        <v>-86921085</v>
      </c>
      <c r="QY6" s="465">
        <v>-33991</v>
      </c>
      <c r="QZ6" s="465">
        <v>-232870442</v>
      </c>
      <c r="RA6" s="465">
        <v>0</v>
      </c>
      <c r="RB6" s="465">
        <v>0</v>
      </c>
      <c r="RC6" s="465">
        <v>0</v>
      </c>
      <c r="RD6" s="465">
        <v>0</v>
      </c>
      <c r="RE6" s="465">
        <v>0</v>
      </c>
      <c r="RF6" s="465">
        <v>0</v>
      </c>
      <c r="RG6" s="465">
        <v>3073928</v>
      </c>
      <c r="RH6" s="465">
        <v>0</v>
      </c>
      <c r="RI6" s="465">
        <v>58224520</v>
      </c>
      <c r="RJ6" s="465">
        <v>0</v>
      </c>
      <c r="RK6" s="465">
        <v>0</v>
      </c>
      <c r="RL6" s="465">
        <v>0</v>
      </c>
      <c r="RM6" s="465">
        <v>0</v>
      </c>
      <c r="RN6" s="465">
        <v>0</v>
      </c>
      <c r="RO6" s="465">
        <v>0</v>
      </c>
      <c r="RP6" s="465">
        <v>0</v>
      </c>
      <c r="RQ6" s="465">
        <v>0</v>
      </c>
      <c r="RR6" s="465">
        <v>0</v>
      </c>
      <c r="RS6" s="465">
        <v>0</v>
      </c>
      <c r="RT6" s="465">
        <v>0</v>
      </c>
      <c r="RU6" s="465">
        <v>-243738948</v>
      </c>
      <c r="RV6" s="465">
        <v>0</v>
      </c>
      <c r="RW6" s="465">
        <v>0</v>
      </c>
      <c r="RX6" s="465">
        <v>0</v>
      </c>
      <c r="RY6" s="465">
        <v>0</v>
      </c>
      <c r="RZ6" s="465">
        <v>0</v>
      </c>
      <c r="SA6" s="465">
        <v>0</v>
      </c>
      <c r="SB6" s="465">
        <v>0</v>
      </c>
      <c r="SC6" s="465">
        <v>0</v>
      </c>
      <c r="SD6" s="465">
        <v>0</v>
      </c>
      <c r="SE6" s="465">
        <v>0</v>
      </c>
      <c r="SF6" s="465">
        <v>0</v>
      </c>
      <c r="SG6" s="465">
        <v>0</v>
      </c>
      <c r="SH6" s="465">
        <v>0</v>
      </c>
      <c r="SI6" s="465">
        <v>0</v>
      </c>
      <c r="SJ6" s="465">
        <v>0</v>
      </c>
      <c r="SK6" s="465">
        <v>0</v>
      </c>
      <c r="SL6" s="465">
        <v>0</v>
      </c>
      <c r="SM6" s="465">
        <v>0</v>
      </c>
      <c r="SN6" s="465">
        <v>0</v>
      </c>
      <c r="SO6" s="465">
        <v>0</v>
      </c>
      <c r="SP6" s="465">
        <v>0</v>
      </c>
      <c r="SQ6" s="465">
        <v>0</v>
      </c>
      <c r="SR6" s="465">
        <v>0</v>
      </c>
      <c r="SS6" s="465">
        <v>0</v>
      </c>
      <c r="ST6" s="465">
        <v>0</v>
      </c>
      <c r="SU6" s="465">
        <v>0</v>
      </c>
      <c r="SV6" s="465">
        <v>319729</v>
      </c>
      <c r="SW6" s="465">
        <v>0</v>
      </c>
      <c r="SX6" s="465">
        <v>0</v>
      </c>
      <c r="SY6" s="465">
        <v>0</v>
      </c>
      <c r="SZ6" s="465">
        <v>0</v>
      </c>
      <c r="TA6" s="465">
        <v>0</v>
      </c>
      <c r="TB6" s="465">
        <v>0</v>
      </c>
      <c r="TC6" s="465">
        <v>0</v>
      </c>
      <c r="TD6" s="465">
        <v>0</v>
      </c>
      <c r="TE6" s="465">
        <v>378044529</v>
      </c>
      <c r="TF6" s="465">
        <v>-32378382</v>
      </c>
      <c r="TG6" s="465"/>
      <c r="TH6" s="465"/>
      <c r="TI6" s="465">
        <v>30863116</v>
      </c>
      <c r="TJ6" s="465">
        <v>-2603253</v>
      </c>
      <c r="TK6" s="465">
        <v>3635020</v>
      </c>
      <c r="TL6" s="465">
        <v>15946267</v>
      </c>
      <c r="TM6" s="465">
        <v>0</v>
      </c>
      <c r="TN6" s="465">
        <v>2772079</v>
      </c>
      <c r="TO6" s="465">
        <v>206604</v>
      </c>
      <c r="TP6" s="465">
        <v>0</v>
      </c>
      <c r="TQ6" s="465">
        <v>1335925</v>
      </c>
      <c r="TR6" s="465">
        <v>-19351867</v>
      </c>
      <c r="TS6" s="465">
        <v>0</v>
      </c>
      <c r="TT6" s="465">
        <v>57927</v>
      </c>
      <c r="TU6" s="465">
        <v>0</v>
      </c>
      <c r="TV6" s="465">
        <v>3180586</v>
      </c>
      <c r="TW6" s="465">
        <v>0</v>
      </c>
      <c r="TX6" s="465">
        <v>0</v>
      </c>
      <c r="TY6" s="465">
        <v>0</v>
      </c>
      <c r="TZ6" s="465">
        <v>0</v>
      </c>
      <c r="UA6" s="465">
        <v>0</v>
      </c>
      <c r="UB6" s="465">
        <v>0</v>
      </c>
      <c r="UC6" s="465">
        <v>0</v>
      </c>
      <c r="UD6" s="465">
        <v>0</v>
      </c>
      <c r="UE6" s="465">
        <v>1532948</v>
      </c>
      <c r="UF6" s="465">
        <v>0</v>
      </c>
      <c r="UG6" s="465">
        <v>0</v>
      </c>
      <c r="UH6" s="465">
        <v>0</v>
      </c>
      <c r="UI6" s="465">
        <v>0</v>
      </c>
      <c r="UJ6" s="465">
        <v>0</v>
      </c>
      <c r="UK6" s="465">
        <v>0</v>
      </c>
      <c r="UL6" s="465">
        <v>0</v>
      </c>
      <c r="UM6" s="465">
        <v>5663863253</v>
      </c>
      <c r="UN6" s="465">
        <v>3567637728</v>
      </c>
      <c r="UO6" s="465">
        <v>1242718341</v>
      </c>
      <c r="UP6" s="465">
        <v>482007838</v>
      </c>
      <c r="UQ6" s="465">
        <v>26962684</v>
      </c>
      <c r="UR6" s="465">
        <v>2011784833</v>
      </c>
      <c r="US6" s="465">
        <v>81066106</v>
      </c>
      <c r="UT6" s="465">
        <v>2151420</v>
      </c>
      <c r="UU6" s="465">
        <v>99924687</v>
      </c>
      <c r="UV6" s="465">
        <v>106957127</v>
      </c>
      <c r="UW6" s="465">
        <v>5396963</v>
      </c>
      <c r="UX6" s="465">
        <v>36039161</v>
      </c>
      <c r="UY6" s="465">
        <v>0</v>
      </c>
      <c r="UZ6" s="465">
        <v>0</v>
      </c>
      <c r="VA6" s="465"/>
      <c r="VB6" s="465"/>
      <c r="VC6" s="465" t="s">
        <v>1573</v>
      </c>
      <c r="VD6" s="465" t="s">
        <v>1574</v>
      </c>
      <c r="VE6" s="465" t="s">
        <v>1575</v>
      </c>
    </row>
    <row r="7" spans="1:577" s="331" customFormat="1" ht="30.6" thickBot="1">
      <c r="A7" s="325">
        <v>400</v>
      </c>
      <c r="B7" s="326" t="s">
        <v>20</v>
      </c>
      <c r="C7" s="327" t="s">
        <v>958</v>
      </c>
      <c r="D7" s="331" t="s">
        <v>428</v>
      </c>
      <c r="E7" s="466">
        <v>104952</v>
      </c>
      <c r="F7" s="464">
        <v>15582612460</v>
      </c>
      <c r="G7" s="329" t="s">
        <v>1572</v>
      </c>
      <c r="H7" s="331" t="s">
        <v>20</v>
      </c>
      <c r="M7" s="465">
        <v>379544163</v>
      </c>
      <c r="N7" s="465">
        <v>0</v>
      </c>
      <c r="O7" s="465">
        <v>0</v>
      </c>
      <c r="P7" s="465">
        <v>0</v>
      </c>
      <c r="Q7" s="465">
        <v>0</v>
      </c>
      <c r="R7" s="465">
        <v>0</v>
      </c>
      <c r="S7" s="465">
        <v>0</v>
      </c>
      <c r="T7" s="465">
        <v>0</v>
      </c>
      <c r="U7" s="465">
        <v>0</v>
      </c>
      <c r="V7" s="465">
        <v>29619</v>
      </c>
      <c r="W7" s="465">
        <v>0</v>
      </c>
      <c r="X7" s="465">
        <v>0</v>
      </c>
      <c r="Y7" s="465">
        <v>13062782</v>
      </c>
      <c r="Z7" s="465">
        <v>0</v>
      </c>
      <c r="AA7" s="465">
        <v>0</v>
      </c>
      <c r="AB7" s="465">
        <v>0</v>
      </c>
      <c r="AC7" s="465">
        <v>0</v>
      </c>
      <c r="AD7" s="465">
        <v>0</v>
      </c>
      <c r="AE7" s="465">
        <v>0</v>
      </c>
      <c r="AF7" s="465">
        <v>0</v>
      </c>
      <c r="AG7" s="465">
        <v>0</v>
      </c>
      <c r="AH7" s="465">
        <v>0</v>
      </c>
      <c r="AI7" s="465">
        <v>0</v>
      </c>
      <c r="AJ7" s="465">
        <v>0</v>
      </c>
      <c r="AK7" s="465">
        <v>0</v>
      </c>
      <c r="AL7" s="465">
        <v>0</v>
      </c>
      <c r="AM7" s="465">
        <v>0</v>
      </c>
      <c r="AN7" s="465">
        <v>0</v>
      </c>
      <c r="AO7" s="465">
        <v>0</v>
      </c>
      <c r="AP7" s="465">
        <v>0</v>
      </c>
      <c r="AQ7" s="465">
        <v>0</v>
      </c>
      <c r="AR7" s="465">
        <v>0</v>
      </c>
      <c r="AS7" s="465">
        <v>0</v>
      </c>
      <c r="AT7" s="465">
        <v>0</v>
      </c>
      <c r="AU7" s="465">
        <v>0</v>
      </c>
      <c r="AV7" s="465">
        <v>0</v>
      </c>
      <c r="AW7" s="465">
        <v>0</v>
      </c>
      <c r="AX7" s="465">
        <v>0</v>
      </c>
      <c r="AY7" s="465">
        <v>0</v>
      </c>
      <c r="AZ7" s="465">
        <v>0</v>
      </c>
      <c r="BA7" s="465">
        <v>0</v>
      </c>
      <c r="BB7" s="465">
        <v>0</v>
      </c>
      <c r="BC7" s="465">
        <v>0</v>
      </c>
      <c r="BD7" s="465">
        <v>0</v>
      </c>
      <c r="BE7" s="465">
        <v>0</v>
      </c>
      <c r="BF7" s="465">
        <v>-1250428</v>
      </c>
      <c r="BG7" s="465">
        <v>-6474</v>
      </c>
      <c r="BH7" s="465">
        <v>0</v>
      </c>
      <c r="BI7" s="465">
        <v>0</v>
      </c>
      <c r="BJ7" s="465">
        <v>0</v>
      </c>
      <c r="BK7" s="465">
        <v>0</v>
      </c>
      <c r="BL7" s="465">
        <v>0</v>
      </c>
      <c r="BM7" s="465">
        <v>0</v>
      </c>
      <c r="BN7" s="465">
        <v>0</v>
      </c>
      <c r="BO7" s="465">
        <v>0</v>
      </c>
      <c r="BP7" s="465">
        <v>0</v>
      </c>
      <c r="BQ7" s="465">
        <v>0</v>
      </c>
      <c r="BR7" s="465">
        <v>0</v>
      </c>
      <c r="BS7" s="465">
        <v>0</v>
      </c>
      <c r="BT7" s="465">
        <v>0</v>
      </c>
      <c r="BU7" s="465">
        <v>0</v>
      </c>
      <c r="BV7" s="465">
        <v>0</v>
      </c>
      <c r="BW7" s="465">
        <v>0</v>
      </c>
      <c r="BX7" s="465">
        <v>0</v>
      </c>
      <c r="BY7" s="465">
        <v>0</v>
      </c>
      <c r="BZ7" s="465">
        <v>0</v>
      </c>
      <c r="CA7" s="465">
        <v>0</v>
      </c>
      <c r="CB7" s="465">
        <v>0</v>
      </c>
      <c r="CC7" s="465">
        <v>0</v>
      </c>
      <c r="CD7" s="465">
        <v>0</v>
      </c>
      <c r="CE7" s="465">
        <v>0</v>
      </c>
      <c r="CF7" s="465">
        <v>0</v>
      </c>
      <c r="CG7" s="465">
        <v>0</v>
      </c>
      <c r="CH7" s="465">
        <v>0</v>
      </c>
      <c r="CI7" s="465">
        <v>0</v>
      </c>
      <c r="CJ7" s="465">
        <v>0</v>
      </c>
      <c r="CK7" s="465">
        <v>0</v>
      </c>
      <c r="CL7" s="465">
        <v>0</v>
      </c>
      <c r="CM7" s="465">
        <v>0</v>
      </c>
      <c r="CN7" s="465">
        <v>0</v>
      </c>
      <c r="CO7" s="465">
        <v>0</v>
      </c>
      <c r="CP7" s="465">
        <v>13557301</v>
      </c>
      <c r="CQ7" s="465">
        <v>27855326</v>
      </c>
      <c r="CR7" s="465">
        <v>0</v>
      </c>
      <c r="CS7" s="465">
        <v>0</v>
      </c>
      <c r="CT7" s="465">
        <v>0</v>
      </c>
      <c r="CU7" s="465">
        <v>0</v>
      </c>
      <c r="CV7" s="465">
        <v>0</v>
      </c>
      <c r="CW7" s="465">
        <v>0</v>
      </c>
      <c r="CX7" s="465">
        <v>0</v>
      </c>
      <c r="CY7" s="465">
        <v>0</v>
      </c>
      <c r="CZ7" s="465">
        <v>0</v>
      </c>
      <c r="DA7" s="465">
        <v>0</v>
      </c>
      <c r="DB7" s="465">
        <v>0</v>
      </c>
      <c r="DC7" s="465">
        <v>0</v>
      </c>
      <c r="DD7" s="465">
        <v>0</v>
      </c>
      <c r="DE7" s="465">
        <v>0</v>
      </c>
      <c r="DF7" s="465">
        <v>0</v>
      </c>
      <c r="DG7" s="465">
        <v>0</v>
      </c>
      <c r="DH7" s="465">
        <v>0</v>
      </c>
      <c r="DI7" s="465">
        <v>0</v>
      </c>
      <c r="DJ7" s="465">
        <v>0</v>
      </c>
      <c r="DK7" s="465">
        <v>0</v>
      </c>
      <c r="DL7" s="465">
        <v>0</v>
      </c>
      <c r="DM7" s="465">
        <v>0</v>
      </c>
      <c r="DN7" s="465">
        <v>0</v>
      </c>
      <c r="DO7" s="465">
        <v>0</v>
      </c>
      <c r="DP7" s="465">
        <v>0</v>
      </c>
      <c r="DQ7" s="465">
        <v>-229337</v>
      </c>
      <c r="DR7" s="465">
        <v>-641896</v>
      </c>
      <c r="DS7" s="465">
        <v>0</v>
      </c>
      <c r="DT7" s="465">
        <v>0</v>
      </c>
      <c r="DU7" s="465">
        <v>0</v>
      </c>
      <c r="DV7" s="465">
        <v>0</v>
      </c>
      <c r="DW7" s="465">
        <v>0</v>
      </c>
      <c r="DX7" s="465">
        <v>0</v>
      </c>
      <c r="DY7" s="465">
        <v>0</v>
      </c>
      <c r="DZ7" s="465">
        <v>0</v>
      </c>
      <c r="EA7" s="465">
        <v>0</v>
      </c>
      <c r="EB7" s="465">
        <v>0</v>
      </c>
      <c r="EC7" s="465">
        <v>0</v>
      </c>
      <c r="ED7" s="465">
        <v>0</v>
      </c>
      <c r="EE7" s="465">
        <v>0</v>
      </c>
      <c r="EF7" s="465">
        <v>0</v>
      </c>
      <c r="EG7" s="465">
        <v>0</v>
      </c>
      <c r="EH7" s="465">
        <v>0</v>
      </c>
      <c r="EI7" s="465">
        <v>-1733931</v>
      </c>
      <c r="EJ7" s="465">
        <v>-1692840</v>
      </c>
      <c r="EK7" s="465">
        <v>0</v>
      </c>
      <c r="EL7" s="465">
        <v>0</v>
      </c>
      <c r="EM7" s="465">
        <v>0</v>
      </c>
      <c r="EN7" s="465">
        <v>0</v>
      </c>
      <c r="EO7" s="465">
        <v>0</v>
      </c>
      <c r="EP7" s="465">
        <v>0</v>
      </c>
      <c r="EQ7" s="465">
        <v>0</v>
      </c>
      <c r="ER7" s="465">
        <v>0</v>
      </c>
      <c r="ES7" s="465">
        <v>0</v>
      </c>
      <c r="ET7" s="465">
        <v>0</v>
      </c>
      <c r="EU7" s="465">
        <v>0</v>
      </c>
      <c r="EV7" s="465">
        <v>0</v>
      </c>
      <c r="EW7" s="465">
        <v>0</v>
      </c>
      <c r="EX7" s="465">
        <v>0</v>
      </c>
      <c r="EY7" s="465">
        <v>0</v>
      </c>
      <c r="EZ7" s="465">
        <v>0</v>
      </c>
      <c r="FA7" s="465">
        <v>0</v>
      </c>
      <c r="FB7" s="465">
        <v>0</v>
      </c>
      <c r="FC7" s="465">
        <v>0</v>
      </c>
      <c r="FD7" s="465">
        <v>0</v>
      </c>
      <c r="FE7" s="465">
        <v>0</v>
      </c>
      <c r="FF7" s="465">
        <v>0</v>
      </c>
      <c r="FG7" s="465">
        <v>0</v>
      </c>
      <c r="FH7" s="465">
        <v>0</v>
      </c>
      <c r="FI7" s="465">
        <v>0</v>
      </c>
      <c r="FJ7" s="465">
        <v>0</v>
      </c>
      <c r="FK7" s="465">
        <v>0</v>
      </c>
      <c r="FL7" s="465">
        <v>0</v>
      </c>
      <c r="FM7" s="465">
        <v>0</v>
      </c>
      <c r="FN7" s="465">
        <v>0</v>
      </c>
      <c r="FO7" s="465">
        <v>0</v>
      </c>
      <c r="FP7" s="465">
        <v>0</v>
      </c>
      <c r="FQ7" s="465">
        <v>0</v>
      </c>
      <c r="FR7" s="465">
        <v>0</v>
      </c>
      <c r="FS7" s="465">
        <v>0</v>
      </c>
      <c r="FT7" s="465">
        <v>0</v>
      </c>
      <c r="FU7" s="465">
        <v>0</v>
      </c>
      <c r="FV7" s="465">
        <v>0</v>
      </c>
      <c r="FW7" s="465">
        <v>0</v>
      </c>
      <c r="FX7" s="465">
        <v>0</v>
      </c>
      <c r="FY7" s="465">
        <v>0</v>
      </c>
      <c r="FZ7" s="465">
        <v>0</v>
      </c>
      <c r="GA7" s="465">
        <v>0</v>
      </c>
      <c r="GB7" s="465">
        <v>3463674</v>
      </c>
      <c r="GC7" s="465">
        <v>10814376</v>
      </c>
      <c r="GD7" s="465">
        <v>812207</v>
      </c>
      <c r="GE7" s="465">
        <v>0</v>
      </c>
      <c r="GF7" s="465">
        <v>0</v>
      </c>
      <c r="GG7" s="465">
        <v>0</v>
      </c>
      <c r="GH7" s="465">
        <v>0</v>
      </c>
      <c r="GI7" s="465">
        <v>0</v>
      </c>
      <c r="GJ7" s="465">
        <v>0</v>
      </c>
      <c r="GK7" s="465">
        <v>0</v>
      </c>
      <c r="GL7" s="465">
        <v>0</v>
      </c>
      <c r="GM7" s="465">
        <v>0</v>
      </c>
      <c r="GN7" s="465">
        <v>0</v>
      </c>
      <c r="GO7" s="465">
        <v>0</v>
      </c>
      <c r="GP7" s="465">
        <v>0</v>
      </c>
      <c r="GQ7" s="465">
        <v>0</v>
      </c>
      <c r="GR7" s="465">
        <v>0</v>
      </c>
      <c r="GS7" s="465">
        <v>0</v>
      </c>
      <c r="GT7" s="465">
        <v>0</v>
      </c>
      <c r="GU7" s="465">
        <v>0</v>
      </c>
      <c r="GV7" s="465">
        <v>0</v>
      </c>
      <c r="GW7" s="465">
        <v>0</v>
      </c>
      <c r="GX7" s="465">
        <v>0</v>
      </c>
      <c r="GY7" s="465">
        <v>0</v>
      </c>
      <c r="GZ7" s="465">
        <v>0</v>
      </c>
      <c r="HA7" s="465">
        <v>0</v>
      </c>
      <c r="HB7" s="465">
        <v>0</v>
      </c>
      <c r="HC7" s="465">
        <v>0</v>
      </c>
      <c r="HD7" s="465">
        <v>0</v>
      </c>
      <c r="HE7" s="465">
        <v>0</v>
      </c>
      <c r="HF7" s="465">
        <v>0</v>
      </c>
      <c r="HG7" s="465">
        <v>0</v>
      </c>
      <c r="HH7" s="465">
        <v>0</v>
      </c>
      <c r="HI7" s="465">
        <v>0</v>
      </c>
      <c r="HJ7" s="465">
        <v>0</v>
      </c>
      <c r="HK7" s="465">
        <v>0</v>
      </c>
      <c r="HL7" s="465">
        <v>0</v>
      </c>
      <c r="HM7" s="465">
        <v>0</v>
      </c>
      <c r="HN7" s="465">
        <v>0</v>
      </c>
      <c r="HO7" s="465">
        <v>0</v>
      </c>
      <c r="HP7" s="465">
        <v>0</v>
      </c>
      <c r="HQ7" s="465">
        <v>0</v>
      </c>
      <c r="HR7" s="465">
        <v>0</v>
      </c>
      <c r="HS7" s="465">
        <v>0</v>
      </c>
      <c r="HT7" s="465">
        <v>0</v>
      </c>
      <c r="HU7" s="465">
        <v>-343188</v>
      </c>
      <c r="HV7" s="465">
        <v>-657217</v>
      </c>
      <c r="HW7" s="465">
        <v>-13048</v>
      </c>
      <c r="HX7" s="465">
        <v>0</v>
      </c>
      <c r="HY7" s="465">
        <v>0</v>
      </c>
      <c r="HZ7" s="465">
        <v>0</v>
      </c>
      <c r="IA7" s="465">
        <v>0</v>
      </c>
      <c r="IB7" s="465">
        <v>0</v>
      </c>
      <c r="IC7" s="465">
        <v>0</v>
      </c>
      <c r="ID7" s="465">
        <v>305060</v>
      </c>
      <c r="IE7" s="465">
        <v>52886270</v>
      </c>
      <c r="IF7" s="465">
        <v>0</v>
      </c>
      <c r="IG7" s="465">
        <v>118165667</v>
      </c>
      <c r="IH7" s="465">
        <v>0</v>
      </c>
      <c r="II7" s="465">
        <v>0</v>
      </c>
      <c r="IJ7" s="465">
        <v>7816762</v>
      </c>
      <c r="IK7" s="465">
        <v>0</v>
      </c>
      <c r="IL7" s="465">
        <v>0</v>
      </c>
      <c r="IM7" s="465">
        <v>0</v>
      </c>
      <c r="IN7" s="465">
        <v>256863176</v>
      </c>
      <c r="IO7" s="465">
        <v>0</v>
      </c>
      <c r="IP7" s="465">
        <v>0</v>
      </c>
      <c r="IQ7" s="465">
        <v>0</v>
      </c>
      <c r="IR7" s="465">
        <v>0</v>
      </c>
      <c r="IS7" s="465">
        <v>0</v>
      </c>
      <c r="IT7" s="465">
        <v>0</v>
      </c>
      <c r="IU7" s="465">
        <v>0</v>
      </c>
      <c r="IV7" s="465">
        <v>760562421</v>
      </c>
      <c r="IW7" s="465">
        <v>778167104</v>
      </c>
      <c r="IX7" s="465">
        <v>0</v>
      </c>
      <c r="IY7" s="465">
        <v>0</v>
      </c>
      <c r="IZ7" s="465">
        <v>0</v>
      </c>
      <c r="JA7" s="465">
        <v>0</v>
      </c>
      <c r="JB7" s="465">
        <v>0</v>
      </c>
      <c r="JC7" s="465">
        <v>0</v>
      </c>
      <c r="JD7" s="465">
        <v>0</v>
      </c>
      <c r="JE7" s="465">
        <v>2170551</v>
      </c>
      <c r="JF7" s="465">
        <v>36870193</v>
      </c>
      <c r="JG7" s="465">
        <v>0</v>
      </c>
      <c r="JH7" s="465">
        <v>29642139</v>
      </c>
      <c r="JI7" s="465">
        <v>27884</v>
      </c>
      <c r="JJ7" s="465">
        <v>1962194</v>
      </c>
      <c r="JK7" s="465">
        <v>0</v>
      </c>
      <c r="JL7" s="465">
        <v>0</v>
      </c>
      <c r="JM7" s="465">
        <v>0</v>
      </c>
      <c r="JN7" s="465">
        <v>15000</v>
      </c>
      <c r="JO7" s="465">
        <v>165723</v>
      </c>
      <c r="JP7" s="465">
        <v>0</v>
      </c>
      <c r="JQ7" s="465">
        <v>559607</v>
      </c>
      <c r="JR7" s="465">
        <v>0</v>
      </c>
      <c r="JS7" s="465">
        <v>0</v>
      </c>
      <c r="JT7" s="465">
        <v>0</v>
      </c>
      <c r="JU7" s="465">
        <v>0</v>
      </c>
      <c r="JV7" s="465">
        <v>0</v>
      </c>
      <c r="JW7" s="465">
        <v>1825153</v>
      </c>
      <c r="JX7" s="465">
        <v>41766957</v>
      </c>
      <c r="JY7" s="465">
        <v>367510</v>
      </c>
      <c r="JZ7" s="465">
        <v>31608379</v>
      </c>
      <c r="KA7" s="465">
        <v>0</v>
      </c>
      <c r="KB7" s="465">
        <v>0</v>
      </c>
      <c r="KC7" s="465">
        <v>53078635</v>
      </c>
      <c r="KD7" s="465">
        <v>0</v>
      </c>
      <c r="KE7" s="465">
        <v>0</v>
      </c>
      <c r="KF7" s="465">
        <v>0</v>
      </c>
      <c r="KG7" s="465">
        <v>1653066</v>
      </c>
      <c r="KH7" s="465">
        <v>0</v>
      </c>
      <c r="KI7" s="465">
        <v>10157703</v>
      </c>
      <c r="KJ7" s="465">
        <v>0</v>
      </c>
      <c r="KK7" s="465">
        <v>0</v>
      </c>
      <c r="KL7" s="465">
        <v>0</v>
      </c>
      <c r="KM7" s="465">
        <v>0</v>
      </c>
      <c r="KN7" s="465">
        <v>0</v>
      </c>
      <c r="KO7" s="465">
        <v>0</v>
      </c>
      <c r="KP7" s="465">
        <v>0</v>
      </c>
      <c r="KQ7" s="465">
        <v>13321025</v>
      </c>
      <c r="KR7" s="465">
        <v>0</v>
      </c>
      <c r="KS7" s="465">
        <v>0</v>
      </c>
      <c r="KT7" s="465">
        <v>0</v>
      </c>
      <c r="KU7" s="465">
        <v>0</v>
      </c>
      <c r="KV7" s="465">
        <v>0</v>
      </c>
      <c r="KW7" s="465">
        <v>0</v>
      </c>
      <c r="KX7" s="465">
        <v>73859632</v>
      </c>
      <c r="KY7" s="465">
        <v>39298223</v>
      </c>
      <c r="KZ7" s="465">
        <v>0</v>
      </c>
      <c r="LA7" s="465">
        <v>837991</v>
      </c>
      <c r="LB7" s="465">
        <v>209679</v>
      </c>
      <c r="LC7" s="465">
        <v>0</v>
      </c>
      <c r="LD7" s="465">
        <v>2088283</v>
      </c>
      <c r="LE7" s="465">
        <v>0</v>
      </c>
      <c r="LF7" s="465">
        <v>-2625399</v>
      </c>
      <c r="LG7" s="465">
        <v>88507871</v>
      </c>
      <c r="LH7" s="465">
        <v>326863007</v>
      </c>
      <c r="LI7" s="465">
        <v>0</v>
      </c>
      <c r="LJ7" s="465">
        <v>14723436</v>
      </c>
      <c r="LK7" s="465">
        <v>0</v>
      </c>
      <c r="LL7" s="465">
        <v>0</v>
      </c>
      <c r="LM7" s="465">
        <v>0</v>
      </c>
      <c r="LN7" s="465">
        <v>0</v>
      </c>
      <c r="LO7" s="465">
        <v>0</v>
      </c>
      <c r="LP7" s="465">
        <v>803370</v>
      </c>
      <c r="LQ7" s="465">
        <v>19275958</v>
      </c>
      <c r="LR7" s="465">
        <v>0</v>
      </c>
      <c r="LS7" s="465">
        <v>107847355</v>
      </c>
      <c r="LT7" s="465">
        <v>0</v>
      </c>
      <c r="LU7" s="465">
        <v>0</v>
      </c>
      <c r="LV7" s="465">
        <v>0</v>
      </c>
      <c r="LW7" s="465">
        <v>0</v>
      </c>
      <c r="LX7" s="465">
        <v>0</v>
      </c>
      <c r="LY7" s="465">
        <v>2855317</v>
      </c>
      <c r="LZ7" s="465">
        <v>2817128</v>
      </c>
      <c r="MA7" s="465">
        <v>0</v>
      </c>
      <c r="MB7" s="465">
        <v>17988802</v>
      </c>
      <c r="MC7" s="465">
        <v>0</v>
      </c>
      <c r="MD7" s="465">
        <v>0</v>
      </c>
      <c r="ME7" s="465">
        <v>0</v>
      </c>
      <c r="MF7" s="465">
        <v>0</v>
      </c>
      <c r="MG7" s="465">
        <v>0</v>
      </c>
      <c r="MH7" s="465">
        <v>787868911</v>
      </c>
      <c r="MI7" s="465">
        <v>812861825</v>
      </c>
      <c r="MJ7" s="465">
        <v>0</v>
      </c>
      <c r="MK7" s="465">
        <v>20145916</v>
      </c>
      <c r="ML7" s="465">
        <v>0</v>
      </c>
      <c r="MM7" s="465">
        <v>0</v>
      </c>
      <c r="MN7" s="465">
        <v>0</v>
      </c>
      <c r="MO7" s="465">
        <v>0</v>
      </c>
      <c r="MP7" s="465">
        <v>0</v>
      </c>
      <c r="MQ7" s="465">
        <v>21749978</v>
      </c>
      <c r="MR7" s="465">
        <v>16282349</v>
      </c>
      <c r="MS7" s="465">
        <v>0</v>
      </c>
      <c r="MT7" s="465">
        <v>2266599</v>
      </c>
      <c r="MU7" s="465">
        <v>0</v>
      </c>
      <c r="MV7" s="465">
        <v>0</v>
      </c>
      <c r="MW7" s="465">
        <v>0</v>
      </c>
      <c r="MX7" s="465">
        <v>0</v>
      </c>
      <c r="MY7" s="465">
        <v>0</v>
      </c>
      <c r="MZ7" s="465">
        <v>4679724</v>
      </c>
      <c r="NA7" s="465">
        <v>2070185</v>
      </c>
      <c r="NB7" s="465">
        <v>0</v>
      </c>
      <c r="NC7" s="465">
        <v>483794</v>
      </c>
      <c r="ND7" s="465">
        <v>4</v>
      </c>
      <c r="NE7" s="465">
        <v>0</v>
      </c>
      <c r="NF7" s="465">
        <v>0</v>
      </c>
      <c r="NG7" s="465">
        <v>0</v>
      </c>
      <c r="NH7" s="465">
        <v>0</v>
      </c>
      <c r="NI7" s="465">
        <v>82574104</v>
      </c>
      <c r="NJ7" s="465">
        <v>17301574</v>
      </c>
      <c r="NK7" s="465">
        <v>0</v>
      </c>
      <c r="NL7" s="465">
        <v>2966770</v>
      </c>
      <c r="NM7" s="465">
        <v>0</v>
      </c>
      <c r="NN7" s="465">
        <v>0</v>
      </c>
      <c r="NO7" s="465">
        <v>0</v>
      </c>
      <c r="NP7" s="465">
        <v>0</v>
      </c>
      <c r="NQ7" s="465">
        <v>0</v>
      </c>
      <c r="NR7" s="465">
        <v>35337047</v>
      </c>
      <c r="NS7" s="465">
        <v>12330538</v>
      </c>
      <c r="NT7" s="465">
        <v>0</v>
      </c>
      <c r="NU7" s="465">
        <v>4171831</v>
      </c>
      <c r="NV7" s="465">
        <v>0</v>
      </c>
      <c r="NW7" s="465">
        <v>0</v>
      </c>
      <c r="NX7" s="465">
        <v>16440522</v>
      </c>
      <c r="NY7" s="465">
        <v>0</v>
      </c>
      <c r="NZ7" s="465">
        <v>0</v>
      </c>
      <c r="OA7" s="465">
        <v>34942</v>
      </c>
      <c r="OB7" s="465">
        <v>3665665</v>
      </c>
      <c r="OC7" s="465">
        <v>0</v>
      </c>
      <c r="OD7" s="465">
        <v>7776998</v>
      </c>
      <c r="OE7" s="465">
        <v>0</v>
      </c>
      <c r="OF7" s="465">
        <v>0</v>
      </c>
      <c r="OG7" s="465">
        <v>0</v>
      </c>
      <c r="OH7" s="465">
        <v>0</v>
      </c>
      <c r="OI7" s="465">
        <v>0</v>
      </c>
      <c r="OJ7" s="465">
        <v>0</v>
      </c>
      <c r="OK7" s="465">
        <v>888218</v>
      </c>
      <c r="OL7" s="465">
        <v>9761136</v>
      </c>
      <c r="OM7" s="465">
        <v>143513</v>
      </c>
      <c r="ON7" s="465">
        <v>0</v>
      </c>
      <c r="OO7" s="465">
        <v>0</v>
      </c>
      <c r="OP7" s="465">
        <v>0</v>
      </c>
      <c r="OQ7" s="465">
        <v>0</v>
      </c>
      <c r="OR7" s="465">
        <v>0</v>
      </c>
      <c r="OS7" s="465">
        <v>722235</v>
      </c>
      <c r="OT7" s="465">
        <v>8596537</v>
      </c>
      <c r="OU7" s="465">
        <v>16960</v>
      </c>
      <c r="OV7" s="465">
        <v>5757014</v>
      </c>
      <c r="OW7" s="465">
        <v>0</v>
      </c>
      <c r="OX7" s="465">
        <v>0</v>
      </c>
      <c r="OY7" s="465">
        <v>0</v>
      </c>
      <c r="OZ7" s="465">
        <v>0</v>
      </c>
      <c r="PA7" s="465">
        <v>0</v>
      </c>
      <c r="PB7" s="465">
        <v>1144655</v>
      </c>
      <c r="PC7" s="465">
        <v>2929833</v>
      </c>
      <c r="PD7" s="465">
        <v>0</v>
      </c>
      <c r="PE7" s="465">
        <v>959</v>
      </c>
      <c r="PF7" s="465">
        <v>11345</v>
      </c>
      <c r="PG7" s="465">
        <v>0</v>
      </c>
      <c r="PH7" s="465">
        <v>0</v>
      </c>
      <c r="PI7" s="465">
        <v>0</v>
      </c>
      <c r="PJ7" s="465">
        <v>0</v>
      </c>
      <c r="PK7" s="465">
        <v>0</v>
      </c>
      <c r="PL7" s="465">
        <v>0</v>
      </c>
      <c r="PM7" s="465">
        <v>0</v>
      </c>
      <c r="PN7" s="465">
        <v>0</v>
      </c>
      <c r="PO7" s="465">
        <v>0</v>
      </c>
      <c r="PP7" s="465">
        <v>0</v>
      </c>
      <c r="PQ7" s="465">
        <v>-123650106</v>
      </c>
      <c r="PR7" s="465">
        <v>0</v>
      </c>
      <c r="PS7" s="465">
        <v>0</v>
      </c>
      <c r="PT7" s="465">
        <v>-142259564</v>
      </c>
      <c r="PU7" s="465">
        <v>44740132</v>
      </c>
      <c r="PV7" s="465">
        <v>0</v>
      </c>
      <c r="PW7" s="465">
        <v>-11043564</v>
      </c>
      <c r="PX7" s="465">
        <v>-34701</v>
      </c>
      <c r="PY7" s="465">
        <v>16896231</v>
      </c>
      <c r="PZ7" s="465">
        <v>66179881</v>
      </c>
      <c r="QA7" s="465">
        <v>0</v>
      </c>
      <c r="QB7" s="465">
        <v>26294851</v>
      </c>
      <c r="QC7" s="465">
        <v>0</v>
      </c>
      <c r="QD7" s="465">
        <v>0</v>
      </c>
      <c r="QE7" s="465">
        <v>0</v>
      </c>
      <c r="QF7" s="465">
        <v>0</v>
      </c>
      <c r="QG7" s="465">
        <v>0</v>
      </c>
      <c r="QH7" s="465">
        <v>0</v>
      </c>
      <c r="QI7" s="465">
        <v>40016429</v>
      </c>
      <c r="QJ7" s="465">
        <v>0</v>
      </c>
      <c r="QK7" s="465">
        <v>0</v>
      </c>
      <c r="QL7" s="465">
        <v>-83650292</v>
      </c>
      <c r="QM7" s="465">
        <v>-8076516</v>
      </c>
      <c r="QN7" s="465">
        <v>-1765417</v>
      </c>
      <c r="QO7" s="465">
        <v>0</v>
      </c>
      <c r="QP7" s="465">
        <v>0</v>
      </c>
      <c r="QQ7" s="465">
        <v>0</v>
      </c>
      <c r="QR7" s="465">
        <v>-10045172</v>
      </c>
      <c r="QS7" s="465">
        <v>0</v>
      </c>
      <c r="QT7" s="465">
        <v>0</v>
      </c>
      <c r="QU7" s="465">
        <v>0</v>
      </c>
      <c r="QV7" s="465">
        <v>-97856028</v>
      </c>
      <c r="QW7" s="465">
        <v>0</v>
      </c>
      <c r="QX7" s="465">
        <v>0</v>
      </c>
      <c r="QY7" s="465">
        <v>0</v>
      </c>
      <c r="QZ7" s="465">
        <v>-90832407</v>
      </c>
      <c r="RA7" s="465">
        <v>0</v>
      </c>
      <c r="RB7" s="465">
        <v>0</v>
      </c>
      <c r="RC7" s="465">
        <v>0</v>
      </c>
      <c r="RD7" s="465">
        <v>0</v>
      </c>
      <c r="RE7" s="465">
        <v>0</v>
      </c>
      <c r="RF7" s="465">
        <v>0</v>
      </c>
      <c r="RG7" s="465">
        <v>683519</v>
      </c>
      <c r="RH7" s="465">
        <v>0</v>
      </c>
      <c r="RI7" s="465">
        <v>9200490</v>
      </c>
      <c r="RJ7" s="465">
        <v>0</v>
      </c>
      <c r="RK7" s="465">
        <v>0</v>
      </c>
      <c r="RL7" s="465">
        <v>0</v>
      </c>
      <c r="RM7" s="465">
        <v>0</v>
      </c>
      <c r="RN7" s="465">
        <v>0</v>
      </c>
      <c r="RO7" s="465">
        <v>0</v>
      </c>
      <c r="RP7" s="465">
        <v>0</v>
      </c>
      <c r="RQ7" s="465">
        <v>0</v>
      </c>
      <c r="RR7" s="465">
        <v>0</v>
      </c>
      <c r="RS7" s="465">
        <v>0</v>
      </c>
      <c r="RT7" s="465">
        <v>0</v>
      </c>
      <c r="RU7" s="465">
        <v>-213137449</v>
      </c>
      <c r="RV7" s="465">
        <v>0</v>
      </c>
      <c r="RW7" s="465">
        <v>0</v>
      </c>
      <c r="RX7" s="465">
        <v>0</v>
      </c>
      <c r="RY7" s="465">
        <v>0</v>
      </c>
      <c r="RZ7" s="465">
        <v>0</v>
      </c>
      <c r="SA7" s="465">
        <v>0</v>
      </c>
      <c r="SB7" s="465">
        <v>0</v>
      </c>
      <c r="SC7" s="465">
        <v>0</v>
      </c>
      <c r="SD7" s="465">
        <v>0</v>
      </c>
      <c r="SE7" s="465">
        <v>0</v>
      </c>
      <c r="SF7" s="465">
        <v>0</v>
      </c>
      <c r="SG7" s="465">
        <v>0</v>
      </c>
      <c r="SH7" s="465">
        <v>0</v>
      </c>
      <c r="SI7" s="465">
        <v>0</v>
      </c>
      <c r="SJ7" s="465">
        <v>0</v>
      </c>
      <c r="SK7" s="465">
        <v>0</v>
      </c>
      <c r="SL7" s="465">
        <v>0</v>
      </c>
      <c r="SM7" s="465">
        <v>0</v>
      </c>
      <c r="SN7" s="465">
        <v>0</v>
      </c>
      <c r="SO7" s="465">
        <v>0</v>
      </c>
      <c r="SP7" s="465">
        <v>0</v>
      </c>
      <c r="SQ7" s="465">
        <v>0</v>
      </c>
      <c r="SR7" s="465">
        <v>0</v>
      </c>
      <c r="SS7" s="465">
        <v>0</v>
      </c>
      <c r="ST7" s="465">
        <v>0</v>
      </c>
      <c r="SU7" s="465">
        <v>0</v>
      </c>
      <c r="SV7" s="465">
        <v>0</v>
      </c>
      <c r="SW7" s="465">
        <v>0</v>
      </c>
      <c r="SX7" s="465">
        <v>0</v>
      </c>
      <c r="SY7" s="465">
        <v>0</v>
      </c>
      <c r="SZ7" s="465">
        <v>0</v>
      </c>
      <c r="TA7" s="465">
        <v>0</v>
      </c>
      <c r="TB7" s="465">
        <v>0</v>
      </c>
      <c r="TC7" s="465">
        <v>0</v>
      </c>
      <c r="TD7" s="465">
        <v>0</v>
      </c>
      <c r="TE7" s="465">
        <v>138742852</v>
      </c>
      <c r="TF7" s="465">
        <v>-144806177</v>
      </c>
      <c r="TG7" s="465">
        <v>0</v>
      </c>
      <c r="TH7" s="465">
        <v>0</v>
      </c>
      <c r="TI7" s="465">
        <v>56502884</v>
      </c>
      <c r="TJ7" s="465">
        <v>-5311457</v>
      </c>
      <c r="TK7" s="465">
        <v>1048384</v>
      </c>
      <c r="TL7" s="465">
        <v>5812551</v>
      </c>
      <c r="TM7" s="465">
        <v>50231</v>
      </c>
      <c r="TN7" s="465">
        <v>2829776</v>
      </c>
      <c r="TO7" s="465">
        <v>1065372</v>
      </c>
      <c r="TP7" s="465">
        <v>0</v>
      </c>
      <c r="TQ7" s="465">
        <v>382807</v>
      </c>
      <c r="TR7" s="465">
        <v>3393802</v>
      </c>
      <c r="TS7" s="465">
        <v>487650</v>
      </c>
      <c r="TT7" s="465">
        <v>22173</v>
      </c>
      <c r="TU7" s="465">
        <v>197617</v>
      </c>
      <c r="TV7" s="465">
        <v>2409797</v>
      </c>
      <c r="TW7" s="465">
        <v>28404</v>
      </c>
      <c r="TX7" s="465">
        <v>0</v>
      </c>
      <c r="TY7" s="465">
        <v>0</v>
      </c>
      <c r="TZ7" s="465">
        <v>0</v>
      </c>
      <c r="UA7" s="465">
        <v>0</v>
      </c>
      <c r="UB7" s="465">
        <v>0</v>
      </c>
      <c r="UC7" s="465">
        <v>0</v>
      </c>
      <c r="UD7" s="465">
        <v>890117</v>
      </c>
      <c r="UE7" s="465">
        <v>0</v>
      </c>
      <c r="UF7" s="465">
        <v>0</v>
      </c>
      <c r="UG7" s="465">
        <v>0</v>
      </c>
      <c r="UH7" s="465">
        <v>0</v>
      </c>
      <c r="UI7" s="465">
        <v>0</v>
      </c>
      <c r="UJ7" s="465">
        <v>0</v>
      </c>
      <c r="UK7" s="465">
        <v>0</v>
      </c>
      <c r="UL7" s="465">
        <v>0</v>
      </c>
      <c r="UM7" s="465">
        <v>4986741972</v>
      </c>
      <c r="UN7" s="465">
        <v>3448012447</v>
      </c>
      <c r="UO7" s="465">
        <v>430094314</v>
      </c>
      <c r="UP7" s="465">
        <v>127926683</v>
      </c>
      <c r="UQ7" s="465">
        <v>23661247</v>
      </c>
      <c r="UR7" s="465">
        <v>1620876652</v>
      </c>
      <c r="US7" s="465">
        <v>40298926</v>
      </c>
      <c r="UT7" s="465">
        <v>7233707</v>
      </c>
      <c r="UU7" s="465">
        <v>102842448</v>
      </c>
      <c r="UV7" s="465">
        <v>68279938</v>
      </c>
      <c r="UW7" s="465">
        <v>11477605</v>
      </c>
      <c r="UX7" s="465">
        <v>10792867</v>
      </c>
      <c r="UY7" s="465">
        <v>0</v>
      </c>
      <c r="UZ7" s="465">
        <v>0</v>
      </c>
      <c r="VA7" s="465">
        <v>0</v>
      </c>
      <c r="VB7" s="465">
        <v>0</v>
      </c>
      <c r="VC7" s="465" t="s">
        <v>1576</v>
      </c>
      <c r="VD7" s="465">
        <v>0</v>
      </c>
      <c r="VE7" s="465" t="s">
        <v>1577</v>
      </c>
    </row>
    <row r="8" spans="1:577" s="331" customFormat="1" ht="30.6" thickBot="1">
      <c r="A8" s="325">
        <v>410</v>
      </c>
      <c r="B8" s="326" t="s">
        <v>21</v>
      </c>
      <c r="C8" s="327" t="s">
        <v>952</v>
      </c>
      <c r="D8" s="331" t="s">
        <v>428</v>
      </c>
      <c r="E8" s="466">
        <v>11618</v>
      </c>
      <c r="F8" s="464">
        <v>6263964902</v>
      </c>
      <c r="G8" s="329" t="s">
        <v>1572</v>
      </c>
      <c r="H8" s="331" t="s">
        <v>21</v>
      </c>
      <c r="M8" s="465">
        <v>240771921</v>
      </c>
      <c r="N8" s="465">
        <v>0</v>
      </c>
      <c r="O8" s="465">
        <v>0</v>
      </c>
      <c r="P8" s="465">
        <v>0</v>
      </c>
      <c r="Q8" s="465">
        <v>0</v>
      </c>
      <c r="R8" s="465">
        <v>0</v>
      </c>
      <c r="S8" s="465">
        <v>0</v>
      </c>
      <c r="T8" s="465">
        <v>0</v>
      </c>
      <c r="U8" s="465">
        <v>0</v>
      </c>
      <c r="V8" s="465">
        <v>7990728</v>
      </c>
      <c r="W8" s="465">
        <v>768205</v>
      </c>
      <c r="X8" s="465">
        <v>0</v>
      </c>
      <c r="Y8" s="465">
        <v>10770468</v>
      </c>
      <c r="Z8" s="465">
        <v>0</v>
      </c>
      <c r="AA8" s="465">
        <v>0</v>
      </c>
      <c r="AB8" s="465">
        <v>0</v>
      </c>
      <c r="AC8" s="465">
        <v>0</v>
      </c>
      <c r="AD8" s="465">
        <v>0</v>
      </c>
      <c r="AE8" s="465">
        <v>0</v>
      </c>
      <c r="AF8" s="465">
        <v>0</v>
      </c>
      <c r="AG8" s="465">
        <v>0</v>
      </c>
      <c r="AH8" s="465">
        <v>0</v>
      </c>
      <c r="AI8" s="465">
        <v>0</v>
      </c>
      <c r="AJ8" s="465">
        <v>0</v>
      </c>
      <c r="AK8" s="465">
        <v>0</v>
      </c>
      <c r="AL8" s="465">
        <v>0</v>
      </c>
      <c r="AM8" s="465">
        <v>0</v>
      </c>
      <c r="AN8" s="465">
        <v>0</v>
      </c>
      <c r="AO8" s="465">
        <v>0</v>
      </c>
      <c r="AP8" s="465">
        <v>0</v>
      </c>
      <c r="AQ8" s="465">
        <v>0</v>
      </c>
      <c r="AR8" s="465">
        <v>0</v>
      </c>
      <c r="AS8" s="465">
        <v>0</v>
      </c>
      <c r="AT8" s="465">
        <v>0</v>
      </c>
      <c r="AU8" s="465">
        <v>0</v>
      </c>
      <c r="AV8" s="465">
        <v>0</v>
      </c>
      <c r="AW8" s="465">
        <v>0</v>
      </c>
      <c r="AX8" s="465">
        <v>0</v>
      </c>
      <c r="AY8" s="465">
        <v>0</v>
      </c>
      <c r="AZ8" s="465">
        <v>0</v>
      </c>
      <c r="BA8" s="465">
        <v>0</v>
      </c>
      <c r="BB8" s="465">
        <v>0</v>
      </c>
      <c r="BC8" s="465">
        <v>0</v>
      </c>
      <c r="BD8" s="465">
        <v>0</v>
      </c>
      <c r="BE8" s="465">
        <v>0</v>
      </c>
      <c r="BF8" s="465">
        <v>-6881844</v>
      </c>
      <c r="BG8" s="465">
        <v>-47720</v>
      </c>
      <c r="BH8" s="465">
        <v>0</v>
      </c>
      <c r="BI8" s="465">
        <v>0</v>
      </c>
      <c r="BJ8" s="465">
        <v>0</v>
      </c>
      <c r="BK8" s="465">
        <v>0</v>
      </c>
      <c r="BL8" s="465">
        <v>0</v>
      </c>
      <c r="BM8" s="465">
        <v>0</v>
      </c>
      <c r="BN8" s="465">
        <v>0</v>
      </c>
      <c r="BO8" s="465">
        <v>0</v>
      </c>
      <c r="BP8" s="465">
        <v>0</v>
      </c>
      <c r="BQ8" s="465">
        <v>0</v>
      </c>
      <c r="BR8" s="465">
        <v>0</v>
      </c>
      <c r="BS8" s="465">
        <v>0</v>
      </c>
      <c r="BT8" s="465">
        <v>0</v>
      </c>
      <c r="BU8" s="465">
        <v>0</v>
      </c>
      <c r="BV8" s="465">
        <v>0</v>
      </c>
      <c r="BW8" s="465">
        <v>0</v>
      </c>
      <c r="BX8" s="465">
        <v>0</v>
      </c>
      <c r="BY8" s="465">
        <v>0</v>
      </c>
      <c r="BZ8" s="465">
        <v>0</v>
      </c>
      <c r="CA8" s="465">
        <v>0</v>
      </c>
      <c r="CB8" s="465">
        <v>0</v>
      </c>
      <c r="CC8" s="465">
        <v>0</v>
      </c>
      <c r="CD8" s="465">
        <v>0</v>
      </c>
      <c r="CE8" s="465">
        <v>0</v>
      </c>
      <c r="CF8" s="465">
        <v>0</v>
      </c>
      <c r="CG8" s="465">
        <v>0</v>
      </c>
      <c r="CH8" s="465">
        <v>0</v>
      </c>
      <c r="CI8" s="465">
        <v>0</v>
      </c>
      <c r="CJ8" s="465">
        <v>0</v>
      </c>
      <c r="CK8" s="465">
        <v>0</v>
      </c>
      <c r="CL8" s="465">
        <v>0</v>
      </c>
      <c r="CM8" s="465">
        <v>0</v>
      </c>
      <c r="CN8" s="465">
        <v>0</v>
      </c>
      <c r="CO8" s="465">
        <v>0</v>
      </c>
      <c r="CP8" s="465">
        <v>27151440</v>
      </c>
      <c r="CQ8" s="465">
        <v>31623513</v>
      </c>
      <c r="CR8" s="465">
        <v>0</v>
      </c>
      <c r="CS8" s="465">
        <v>0</v>
      </c>
      <c r="CT8" s="465">
        <v>0</v>
      </c>
      <c r="CU8" s="465">
        <v>0</v>
      </c>
      <c r="CV8" s="465">
        <v>0</v>
      </c>
      <c r="CW8" s="465">
        <v>0</v>
      </c>
      <c r="CX8" s="465">
        <v>0</v>
      </c>
      <c r="CY8" s="465">
        <v>0</v>
      </c>
      <c r="CZ8" s="465">
        <v>0</v>
      </c>
      <c r="DA8" s="465">
        <v>0</v>
      </c>
      <c r="DB8" s="465">
        <v>0</v>
      </c>
      <c r="DC8" s="465">
        <v>0</v>
      </c>
      <c r="DD8" s="465">
        <v>0</v>
      </c>
      <c r="DE8" s="465">
        <v>0</v>
      </c>
      <c r="DF8" s="465">
        <v>0</v>
      </c>
      <c r="DG8" s="465">
        <v>0</v>
      </c>
      <c r="DH8" s="465">
        <v>0</v>
      </c>
      <c r="DI8" s="465">
        <v>0</v>
      </c>
      <c r="DJ8" s="465">
        <v>0</v>
      </c>
      <c r="DK8" s="465">
        <v>0</v>
      </c>
      <c r="DL8" s="465">
        <v>0</v>
      </c>
      <c r="DM8" s="465">
        <v>0</v>
      </c>
      <c r="DN8" s="465">
        <v>0</v>
      </c>
      <c r="DO8" s="465">
        <v>0</v>
      </c>
      <c r="DP8" s="465">
        <v>0</v>
      </c>
      <c r="DQ8" s="465">
        <v>-301504</v>
      </c>
      <c r="DR8" s="465">
        <v>-489140</v>
      </c>
      <c r="DS8" s="465">
        <v>0</v>
      </c>
      <c r="DT8" s="465">
        <v>0</v>
      </c>
      <c r="DU8" s="465">
        <v>0</v>
      </c>
      <c r="DV8" s="465">
        <v>0</v>
      </c>
      <c r="DW8" s="465">
        <v>0</v>
      </c>
      <c r="DX8" s="465">
        <v>0</v>
      </c>
      <c r="DY8" s="465">
        <v>0</v>
      </c>
      <c r="DZ8" s="465">
        <v>0</v>
      </c>
      <c r="EA8" s="465">
        <v>0</v>
      </c>
      <c r="EB8" s="465">
        <v>0</v>
      </c>
      <c r="EC8" s="465">
        <v>0</v>
      </c>
      <c r="ED8" s="465">
        <v>0</v>
      </c>
      <c r="EE8" s="465">
        <v>0</v>
      </c>
      <c r="EF8" s="465">
        <v>0</v>
      </c>
      <c r="EG8" s="465">
        <v>0</v>
      </c>
      <c r="EH8" s="465">
        <v>0</v>
      </c>
      <c r="EI8" s="465">
        <v>-363490</v>
      </c>
      <c r="EJ8" s="465">
        <v>-404171</v>
      </c>
      <c r="EK8" s="465">
        <v>0</v>
      </c>
      <c r="EL8" s="465">
        <v>0</v>
      </c>
      <c r="EM8" s="465">
        <v>0</v>
      </c>
      <c r="EN8" s="465">
        <v>0</v>
      </c>
      <c r="EO8" s="465">
        <v>0</v>
      </c>
      <c r="EP8" s="465">
        <v>0</v>
      </c>
      <c r="EQ8" s="465">
        <v>0</v>
      </c>
      <c r="ER8" s="465">
        <v>0</v>
      </c>
      <c r="ES8" s="465">
        <v>0</v>
      </c>
      <c r="ET8" s="465">
        <v>0</v>
      </c>
      <c r="EU8" s="465">
        <v>0</v>
      </c>
      <c r="EV8" s="465">
        <v>0</v>
      </c>
      <c r="EW8" s="465">
        <v>0</v>
      </c>
      <c r="EX8" s="465">
        <v>0</v>
      </c>
      <c r="EY8" s="465">
        <v>0</v>
      </c>
      <c r="EZ8" s="465">
        <v>0</v>
      </c>
      <c r="FA8" s="465">
        <v>0</v>
      </c>
      <c r="FB8" s="465">
        <v>0</v>
      </c>
      <c r="FC8" s="465">
        <v>0</v>
      </c>
      <c r="FD8" s="465">
        <v>0</v>
      </c>
      <c r="FE8" s="465">
        <v>0</v>
      </c>
      <c r="FF8" s="465">
        <v>0</v>
      </c>
      <c r="FG8" s="465">
        <v>0</v>
      </c>
      <c r="FH8" s="465">
        <v>0</v>
      </c>
      <c r="FI8" s="465">
        <v>0</v>
      </c>
      <c r="FJ8" s="465">
        <v>0</v>
      </c>
      <c r="FK8" s="465">
        <v>0</v>
      </c>
      <c r="FL8" s="465">
        <v>0</v>
      </c>
      <c r="FM8" s="465">
        <v>0</v>
      </c>
      <c r="FN8" s="465">
        <v>0</v>
      </c>
      <c r="FO8" s="465">
        <v>0</v>
      </c>
      <c r="FP8" s="465">
        <v>0</v>
      </c>
      <c r="FQ8" s="465">
        <v>0</v>
      </c>
      <c r="FR8" s="465">
        <v>0</v>
      </c>
      <c r="FS8" s="465">
        <v>0</v>
      </c>
      <c r="FT8" s="465">
        <v>0</v>
      </c>
      <c r="FU8" s="465">
        <v>0</v>
      </c>
      <c r="FV8" s="465">
        <v>0</v>
      </c>
      <c r="FW8" s="465">
        <v>0</v>
      </c>
      <c r="FX8" s="465">
        <v>0</v>
      </c>
      <c r="FY8" s="465">
        <v>0</v>
      </c>
      <c r="FZ8" s="465">
        <v>0</v>
      </c>
      <c r="GA8" s="465">
        <v>0</v>
      </c>
      <c r="GB8" s="465">
        <v>169664</v>
      </c>
      <c r="GC8" s="465">
        <v>12198846</v>
      </c>
      <c r="GD8" s="465">
        <v>2492563</v>
      </c>
      <c r="GE8" s="465">
        <v>0</v>
      </c>
      <c r="GF8" s="465">
        <v>0</v>
      </c>
      <c r="GG8" s="465">
        <v>0</v>
      </c>
      <c r="GH8" s="465">
        <v>0</v>
      </c>
      <c r="GI8" s="465">
        <v>0</v>
      </c>
      <c r="GJ8" s="465">
        <v>0</v>
      </c>
      <c r="GK8" s="465">
        <v>0</v>
      </c>
      <c r="GL8" s="465">
        <v>0</v>
      </c>
      <c r="GM8" s="465">
        <v>0</v>
      </c>
      <c r="GN8" s="465">
        <v>0</v>
      </c>
      <c r="GO8" s="465">
        <v>0</v>
      </c>
      <c r="GP8" s="465">
        <v>0</v>
      </c>
      <c r="GQ8" s="465">
        <v>0</v>
      </c>
      <c r="GR8" s="465">
        <v>0</v>
      </c>
      <c r="GS8" s="465">
        <v>0</v>
      </c>
      <c r="GT8" s="465">
        <v>0</v>
      </c>
      <c r="GU8" s="465">
        <v>0</v>
      </c>
      <c r="GV8" s="465">
        <v>0</v>
      </c>
      <c r="GW8" s="465">
        <v>0</v>
      </c>
      <c r="GX8" s="465">
        <v>0</v>
      </c>
      <c r="GY8" s="465">
        <v>0</v>
      </c>
      <c r="GZ8" s="465">
        <v>0</v>
      </c>
      <c r="HA8" s="465">
        <v>0</v>
      </c>
      <c r="HB8" s="465">
        <v>0</v>
      </c>
      <c r="HC8" s="465">
        <v>0</v>
      </c>
      <c r="HD8" s="465">
        <v>-220692</v>
      </c>
      <c r="HE8" s="465">
        <v>-40078</v>
      </c>
      <c r="HF8" s="465">
        <v>0</v>
      </c>
      <c r="HG8" s="465">
        <v>0</v>
      </c>
      <c r="HH8" s="465">
        <v>0</v>
      </c>
      <c r="HI8" s="465">
        <v>0</v>
      </c>
      <c r="HJ8" s="465">
        <v>0</v>
      </c>
      <c r="HK8" s="465">
        <v>0</v>
      </c>
      <c r="HL8" s="465">
        <v>0</v>
      </c>
      <c r="HM8" s="465">
        <v>0</v>
      </c>
      <c r="HN8" s="465">
        <v>0</v>
      </c>
      <c r="HO8" s="465">
        <v>0</v>
      </c>
      <c r="HP8" s="465">
        <v>0</v>
      </c>
      <c r="HQ8" s="465">
        <v>0</v>
      </c>
      <c r="HR8" s="465">
        <v>0</v>
      </c>
      <c r="HS8" s="465">
        <v>0</v>
      </c>
      <c r="HT8" s="465">
        <v>0</v>
      </c>
      <c r="HU8" s="465">
        <v>0</v>
      </c>
      <c r="HV8" s="465">
        <v>0</v>
      </c>
      <c r="HW8" s="465">
        <v>-20579</v>
      </c>
      <c r="HX8" s="465">
        <v>0</v>
      </c>
      <c r="HY8" s="465">
        <v>0</v>
      </c>
      <c r="HZ8" s="465">
        <v>0</v>
      </c>
      <c r="IA8" s="465">
        <v>0</v>
      </c>
      <c r="IB8" s="465">
        <v>0</v>
      </c>
      <c r="IC8" s="465">
        <v>0</v>
      </c>
      <c r="ID8" s="465">
        <v>0</v>
      </c>
      <c r="IE8" s="465">
        <v>64550252</v>
      </c>
      <c r="IF8" s="465">
        <v>0</v>
      </c>
      <c r="IG8" s="465">
        <v>184674116</v>
      </c>
      <c r="IH8" s="465">
        <v>0</v>
      </c>
      <c r="II8" s="465">
        <v>0</v>
      </c>
      <c r="IJ8" s="465">
        <v>0</v>
      </c>
      <c r="IK8" s="465">
        <v>0</v>
      </c>
      <c r="IL8" s="465">
        <v>0</v>
      </c>
      <c r="IM8" s="465">
        <v>0</v>
      </c>
      <c r="IN8" s="465">
        <v>456328123</v>
      </c>
      <c r="IO8" s="465">
        <v>0</v>
      </c>
      <c r="IP8" s="465">
        <v>0</v>
      </c>
      <c r="IQ8" s="465">
        <v>0</v>
      </c>
      <c r="IR8" s="465">
        <v>0</v>
      </c>
      <c r="IS8" s="465">
        <v>0</v>
      </c>
      <c r="IT8" s="465">
        <v>0</v>
      </c>
      <c r="IU8" s="465">
        <v>0</v>
      </c>
      <c r="IV8" s="465">
        <v>65848333</v>
      </c>
      <c r="IW8" s="465">
        <v>30989328</v>
      </c>
      <c r="IX8" s="465">
        <v>0</v>
      </c>
      <c r="IY8" s="465">
        <v>0</v>
      </c>
      <c r="IZ8" s="465">
        <v>0</v>
      </c>
      <c r="JA8" s="465">
        <v>0</v>
      </c>
      <c r="JB8" s="465">
        <v>0</v>
      </c>
      <c r="JC8" s="465">
        <v>0</v>
      </c>
      <c r="JD8" s="465">
        <v>0</v>
      </c>
      <c r="JE8" s="465">
        <v>2474331</v>
      </c>
      <c r="JF8" s="465">
        <v>44024315</v>
      </c>
      <c r="JG8" s="465">
        <v>1553241</v>
      </c>
      <c r="JH8" s="465">
        <v>33017782</v>
      </c>
      <c r="JI8" s="465">
        <v>130768</v>
      </c>
      <c r="JJ8" s="465">
        <v>2105069</v>
      </c>
      <c r="JK8" s="465">
        <v>854583</v>
      </c>
      <c r="JL8" s="465">
        <v>0</v>
      </c>
      <c r="JM8" s="465">
        <v>0</v>
      </c>
      <c r="JN8" s="465">
        <v>0</v>
      </c>
      <c r="JO8" s="465">
        <v>615378277</v>
      </c>
      <c r="JP8" s="465">
        <v>0</v>
      </c>
      <c r="JQ8" s="465">
        <v>18128930</v>
      </c>
      <c r="JR8" s="465">
        <v>0</v>
      </c>
      <c r="JS8" s="465">
        <v>0</v>
      </c>
      <c r="JT8" s="465">
        <v>0</v>
      </c>
      <c r="JU8" s="465">
        <v>0</v>
      </c>
      <c r="JV8" s="465">
        <v>0</v>
      </c>
      <c r="JW8" s="465">
        <v>0</v>
      </c>
      <c r="JX8" s="465">
        <v>99555139</v>
      </c>
      <c r="JY8" s="465">
        <v>0</v>
      </c>
      <c r="JZ8" s="465">
        <v>99272158</v>
      </c>
      <c r="KA8" s="465">
        <v>0</v>
      </c>
      <c r="KB8" s="465">
        <v>0</v>
      </c>
      <c r="KC8" s="465">
        <v>0</v>
      </c>
      <c r="KD8" s="465">
        <v>0</v>
      </c>
      <c r="KE8" s="465">
        <v>0</v>
      </c>
      <c r="KF8" s="465">
        <v>5662350</v>
      </c>
      <c r="KG8" s="465">
        <v>15735801</v>
      </c>
      <c r="KH8" s="465">
        <v>0</v>
      </c>
      <c r="KI8" s="465">
        <v>19676888</v>
      </c>
      <c r="KJ8" s="465">
        <v>0</v>
      </c>
      <c r="KK8" s="465">
        <v>0</v>
      </c>
      <c r="KL8" s="465">
        <v>0</v>
      </c>
      <c r="KM8" s="465">
        <v>0</v>
      </c>
      <c r="KN8" s="465">
        <v>0</v>
      </c>
      <c r="KO8" s="465">
        <v>0</v>
      </c>
      <c r="KP8" s="465">
        <v>0</v>
      </c>
      <c r="KQ8" s="465">
        <v>20906789</v>
      </c>
      <c r="KR8" s="465">
        <v>0</v>
      </c>
      <c r="KS8" s="465">
        <v>0</v>
      </c>
      <c r="KT8" s="465">
        <v>0</v>
      </c>
      <c r="KU8" s="465">
        <v>0</v>
      </c>
      <c r="KV8" s="465">
        <v>0</v>
      </c>
      <c r="KW8" s="465">
        <v>0</v>
      </c>
      <c r="KX8" s="465">
        <v>5247104</v>
      </c>
      <c r="KY8" s="465">
        <v>103499027</v>
      </c>
      <c r="KZ8" s="465">
        <v>0</v>
      </c>
      <c r="LA8" s="465">
        <v>863658</v>
      </c>
      <c r="LB8" s="465">
        <v>69525</v>
      </c>
      <c r="LC8" s="465">
        <v>0</v>
      </c>
      <c r="LD8" s="465">
        <v>0</v>
      </c>
      <c r="LE8" s="465">
        <v>0</v>
      </c>
      <c r="LF8" s="465">
        <v>-418149</v>
      </c>
      <c r="LG8" s="465">
        <v>115279335</v>
      </c>
      <c r="LH8" s="465">
        <v>795202246</v>
      </c>
      <c r="LI8" s="465">
        <v>0</v>
      </c>
      <c r="LJ8" s="465">
        <v>10408435</v>
      </c>
      <c r="LK8" s="465">
        <v>0</v>
      </c>
      <c r="LL8" s="465">
        <v>0</v>
      </c>
      <c r="LM8" s="465">
        <v>0</v>
      </c>
      <c r="LN8" s="465">
        <v>0</v>
      </c>
      <c r="LO8" s="465">
        <v>0</v>
      </c>
      <c r="LP8" s="465">
        <v>27975970</v>
      </c>
      <c r="LQ8" s="465">
        <v>30987037</v>
      </c>
      <c r="LR8" s="465">
        <v>0</v>
      </c>
      <c r="LS8" s="465">
        <v>191639647</v>
      </c>
      <c r="LT8" s="465">
        <v>0</v>
      </c>
      <c r="LU8" s="465">
        <v>0</v>
      </c>
      <c r="LV8" s="465">
        <v>0</v>
      </c>
      <c r="LW8" s="465">
        <v>0</v>
      </c>
      <c r="LX8" s="465">
        <v>0</v>
      </c>
      <c r="LY8" s="465">
        <v>5474835</v>
      </c>
      <c r="LZ8" s="465">
        <v>5824197</v>
      </c>
      <c r="MA8" s="465">
        <v>0</v>
      </c>
      <c r="MB8" s="465">
        <v>49469787</v>
      </c>
      <c r="MC8" s="465">
        <v>0</v>
      </c>
      <c r="MD8" s="465">
        <v>0</v>
      </c>
      <c r="ME8" s="465">
        <v>0</v>
      </c>
      <c r="MF8" s="465">
        <v>0</v>
      </c>
      <c r="MG8" s="465">
        <v>0</v>
      </c>
      <c r="MH8" s="465">
        <v>83057104</v>
      </c>
      <c r="MI8" s="465">
        <v>387221213</v>
      </c>
      <c r="MJ8" s="465">
        <v>0</v>
      </c>
      <c r="MK8" s="465">
        <v>71095443</v>
      </c>
      <c r="ML8" s="465">
        <v>0</v>
      </c>
      <c r="MM8" s="465">
        <v>0</v>
      </c>
      <c r="MN8" s="465">
        <v>0</v>
      </c>
      <c r="MO8" s="465">
        <v>0</v>
      </c>
      <c r="MP8" s="465">
        <v>0</v>
      </c>
      <c r="MQ8" s="465">
        <v>31120162</v>
      </c>
      <c r="MR8" s="465">
        <v>30269467</v>
      </c>
      <c r="MS8" s="465">
        <v>0</v>
      </c>
      <c r="MT8" s="465">
        <v>5951230</v>
      </c>
      <c r="MU8" s="465">
        <v>0</v>
      </c>
      <c r="MV8" s="465">
        <v>0</v>
      </c>
      <c r="MW8" s="465">
        <v>0</v>
      </c>
      <c r="MX8" s="465">
        <v>0</v>
      </c>
      <c r="MY8" s="465">
        <v>0</v>
      </c>
      <c r="MZ8" s="465">
        <v>2922371</v>
      </c>
      <c r="NA8" s="465">
        <v>7592363</v>
      </c>
      <c r="NB8" s="465">
        <v>0</v>
      </c>
      <c r="NC8" s="465">
        <v>2542220</v>
      </c>
      <c r="ND8" s="465">
        <v>93316</v>
      </c>
      <c r="NE8" s="465">
        <v>0</v>
      </c>
      <c r="NF8" s="465">
        <v>0</v>
      </c>
      <c r="NG8" s="465">
        <v>0</v>
      </c>
      <c r="NH8" s="465">
        <v>0</v>
      </c>
      <c r="NI8" s="465">
        <v>46767228</v>
      </c>
      <c r="NJ8" s="465">
        <v>40048082</v>
      </c>
      <c r="NK8" s="465">
        <v>0</v>
      </c>
      <c r="NL8" s="465">
        <v>2030709</v>
      </c>
      <c r="NM8" s="465">
        <v>0</v>
      </c>
      <c r="NN8" s="465">
        <v>0</v>
      </c>
      <c r="NO8" s="465">
        <v>0</v>
      </c>
      <c r="NP8" s="465">
        <v>0</v>
      </c>
      <c r="NQ8" s="465">
        <v>0</v>
      </c>
      <c r="NR8" s="465">
        <v>29682185</v>
      </c>
      <c r="NS8" s="465">
        <v>7756353</v>
      </c>
      <c r="NT8" s="465">
        <v>0</v>
      </c>
      <c r="NU8" s="465">
        <v>79487</v>
      </c>
      <c r="NV8" s="465">
        <v>0</v>
      </c>
      <c r="NW8" s="465">
        <v>0</v>
      </c>
      <c r="NX8" s="465">
        <v>2671071</v>
      </c>
      <c r="NY8" s="465">
        <v>0</v>
      </c>
      <c r="NZ8" s="465">
        <v>0</v>
      </c>
      <c r="OA8" s="465">
        <v>121033</v>
      </c>
      <c r="OB8" s="465">
        <v>3737776</v>
      </c>
      <c r="OC8" s="465">
        <v>0</v>
      </c>
      <c r="OD8" s="465">
        <v>9599300</v>
      </c>
      <c r="OE8" s="465">
        <v>0</v>
      </c>
      <c r="OF8" s="465">
        <v>0</v>
      </c>
      <c r="OG8" s="465">
        <v>0</v>
      </c>
      <c r="OH8" s="465">
        <v>0</v>
      </c>
      <c r="OI8" s="465">
        <v>0</v>
      </c>
      <c r="OJ8" s="465">
        <v>0</v>
      </c>
      <c r="OK8" s="465">
        <v>0</v>
      </c>
      <c r="OL8" s="465">
        <v>15658968</v>
      </c>
      <c r="OM8" s="465">
        <v>0</v>
      </c>
      <c r="ON8" s="465">
        <v>0</v>
      </c>
      <c r="OO8" s="465">
        <v>0</v>
      </c>
      <c r="OP8" s="465">
        <v>0</v>
      </c>
      <c r="OQ8" s="465">
        <v>0</v>
      </c>
      <c r="OR8" s="465">
        <v>0</v>
      </c>
      <c r="OS8" s="465">
        <v>461388</v>
      </c>
      <c r="OT8" s="465">
        <v>9429979</v>
      </c>
      <c r="OU8" s="465">
        <v>342364</v>
      </c>
      <c r="OV8" s="465">
        <v>7620760</v>
      </c>
      <c r="OW8" s="465">
        <v>0</v>
      </c>
      <c r="OX8" s="465">
        <v>0</v>
      </c>
      <c r="OY8" s="465">
        <v>0</v>
      </c>
      <c r="OZ8" s="465">
        <v>0</v>
      </c>
      <c r="PA8" s="465">
        <v>0</v>
      </c>
      <c r="PB8" s="465">
        <v>208</v>
      </c>
      <c r="PC8" s="465">
        <v>1558577</v>
      </c>
      <c r="PD8" s="465">
        <v>380233</v>
      </c>
      <c r="PE8" s="465">
        <v>6003</v>
      </c>
      <c r="PF8" s="465">
        <v>536747</v>
      </c>
      <c r="PG8" s="465">
        <v>0</v>
      </c>
      <c r="PH8" s="465">
        <v>0</v>
      </c>
      <c r="PI8" s="465">
        <v>0</v>
      </c>
      <c r="PJ8" s="465">
        <v>0</v>
      </c>
      <c r="PK8" s="465">
        <v>0</v>
      </c>
      <c r="PL8" s="465">
        <v>0</v>
      </c>
      <c r="PM8" s="465">
        <v>0</v>
      </c>
      <c r="PN8" s="465">
        <v>0</v>
      </c>
      <c r="PO8" s="465">
        <v>0</v>
      </c>
      <c r="PP8" s="465">
        <v>0</v>
      </c>
      <c r="PQ8" s="465">
        <v>-34540001</v>
      </c>
      <c r="PR8" s="465">
        <v>0</v>
      </c>
      <c r="PS8" s="465">
        <v>0</v>
      </c>
      <c r="PT8" s="465">
        <v>-1321405</v>
      </c>
      <c r="PU8" s="465">
        <v>-132918637</v>
      </c>
      <c r="PV8" s="465">
        <v>7400913</v>
      </c>
      <c r="PW8" s="465">
        <v>-8146137</v>
      </c>
      <c r="PX8" s="465">
        <v>-85571</v>
      </c>
      <c r="PY8" s="465">
        <v>96165752</v>
      </c>
      <c r="PZ8" s="465">
        <v>18259473</v>
      </c>
      <c r="QA8" s="465">
        <v>0</v>
      </c>
      <c r="QB8" s="465">
        <v>23648990</v>
      </c>
      <c r="QC8" s="465">
        <v>0</v>
      </c>
      <c r="QD8" s="465">
        <v>0</v>
      </c>
      <c r="QE8" s="465">
        <v>0</v>
      </c>
      <c r="QF8" s="465">
        <v>0</v>
      </c>
      <c r="QG8" s="465">
        <v>0</v>
      </c>
      <c r="QH8" s="465">
        <v>0</v>
      </c>
      <c r="QI8" s="465">
        <v>8991780</v>
      </c>
      <c r="QJ8" s="465">
        <v>0</v>
      </c>
      <c r="QK8" s="465">
        <v>0</v>
      </c>
      <c r="QL8" s="465">
        <v>-18749450</v>
      </c>
      <c r="QM8" s="465">
        <v>-11414381</v>
      </c>
      <c r="QN8" s="465">
        <v>-4955223</v>
      </c>
      <c r="QO8" s="465">
        <v>0</v>
      </c>
      <c r="QP8" s="465">
        <v>0</v>
      </c>
      <c r="QQ8" s="465">
        <v>0</v>
      </c>
      <c r="QR8" s="465">
        <v>0</v>
      </c>
      <c r="QS8" s="465">
        <v>0</v>
      </c>
      <c r="QT8" s="465">
        <v>0</v>
      </c>
      <c r="QU8" s="465">
        <v>0</v>
      </c>
      <c r="QV8" s="465">
        <v>-101440882</v>
      </c>
      <c r="QW8" s="465">
        <v>0</v>
      </c>
      <c r="QX8" s="465">
        <v>-1</v>
      </c>
      <c r="QY8" s="465">
        <v>0</v>
      </c>
      <c r="QZ8" s="465">
        <v>-98653840</v>
      </c>
      <c r="RA8" s="465">
        <v>0</v>
      </c>
      <c r="RB8" s="465">
        <v>0</v>
      </c>
      <c r="RC8" s="465">
        <v>0</v>
      </c>
      <c r="RD8" s="465">
        <v>0</v>
      </c>
      <c r="RE8" s="465">
        <v>0</v>
      </c>
      <c r="RF8" s="465">
        <v>0</v>
      </c>
      <c r="RG8" s="465">
        <v>0</v>
      </c>
      <c r="RH8" s="465">
        <v>0</v>
      </c>
      <c r="RI8" s="465">
        <v>46142799</v>
      </c>
      <c r="RJ8" s="465">
        <v>0</v>
      </c>
      <c r="RK8" s="465">
        <v>0</v>
      </c>
      <c r="RL8" s="465">
        <v>0</v>
      </c>
      <c r="RM8" s="465">
        <v>0</v>
      </c>
      <c r="RN8" s="465">
        <v>0</v>
      </c>
      <c r="RO8" s="465">
        <v>0</v>
      </c>
      <c r="RP8" s="465">
        <v>0</v>
      </c>
      <c r="RQ8" s="465">
        <v>0</v>
      </c>
      <c r="RR8" s="465">
        <v>0</v>
      </c>
      <c r="RS8" s="465">
        <v>0</v>
      </c>
      <c r="RT8" s="465">
        <v>0</v>
      </c>
      <c r="RU8" s="465">
        <v>-102585352</v>
      </c>
      <c r="RV8" s="465">
        <v>0</v>
      </c>
      <c r="RW8" s="465">
        <v>0</v>
      </c>
      <c r="RX8" s="465">
        <v>0</v>
      </c>
      <c r="RY8" s="465">
        <v>0</v>
      </c>
      <c r="RZ8" s="465">
        <v>0</v>
      </c>
      <c r="SA8" s="465">
        <v>0</v>
      </c>
      <c r="SB8" s="465">
        <v>0</v>
      </c>
      <c r="SC8" s="465">
        <v>0</v>
      </c>
      <c r="SD8" s="465">
        <v>0</v>
      </c>
      <c r="SE8" s="465">
        <v>0</v>
      </c>
      <c r="SF8" s="465">
        <v>0</v>
      </c>
      <c r="SG8" s="465">
        <v>0</v>
      </c>
      <c r="SH8" s="465">
        <v>0</v>
      </c>
      <c r="SI8" s="465">
        <v>0</v>
      </c>
      <c r="SJ8" s="465">
        <v>0</v>
      </c>
      <c r="SK8" s="465">
        <v>0</v>
      </c>
      <c r="SL8" s="465">
        <v>0</v>
      </c>
      <c r="SM8" s="465">
        <v>0</v>
      </c>
      <c r="SN8" s="465">
        <v>0</v>
      </c>
      <c r="SO8" s="465">
        <v>0</v>
      </c>
      <c r="SP8" s="465">
        <v>0</v>
      </c>
      <c r="SQ8" s="465">
        <v>0</v>
      </c>
      <c r="SR8" s="465">
        <v>0</v>
      </c>
      <c r="SS8" s="465">
        <v>0</v>
      </c>
      <c r="ST8" s="465">
        <v>0</v>
      </c>
      <c r="SU8" s="465">
        <v>0</v>
      </c>
      <c r="SV8" s="465">
        <v>0</v>
      </c>
      <c r="SW8" s="465">
        <v>0</v>
      </c>
      <c r="SX8" s="465">
        <v>0</v>
      </c>
      <c r="SY8" s="465">
        <v>0</v>
      </c>
      <c r="SZ8" s="465">
        <v>0</v>
      </c>
      <c r="TA8" s="465">
        <v>0</v>
      </c>
      <c r="TB8" s="465">
        <v>0</v>
      </c>
      <c r="TC8" s="465">
        <v>0</v>
      </c>
      <c r="TD8" s="465">
        <v>0</v>
      </c>
      <c r="TE8" s="465">
        <v>52394492</v>
      </c>
      <c r="TF8" s="465">
        <v>-72196078</v>
      </c>
      <c r="TG8" s="465">
        <v>0</v>
      </c>
      <c r="TH8" s="465">
        <v>0</v>
      </c>
      <c r="TI8" s="465">
        <v>73636026</v>
      </c>
      <c r="TJ8" s="465">
        <v>-1839654</v>
      </c>
      <c r="TK8" s="465">
        <v>1781475</v>
      </c>
      <c r="TL8" s="465">
        <v>6887548</v>
      </c>
      <c r="TM8" s="465">
        <v>1614873</v>
      </c>
      <c r="TN8" s="465">
        <v>4732804</v>
      </c>
      <c r="TO8" s="465">
        <v>550071</v>
      </c>
      <c r="TP8" s="465">
        <v>36477</v>
      </c>
      <c r="TQ8" s="465">
        <v>1826572</v>
      </c>
      <c r="TR8" s="465">
        <v>82307</v>
      </c>
      <c r="TS8" s="465">
        <v>0</v>
      </c>
      <c r="TT8" s="465">
        <v>342364</v>
      </c>
      <c r="TU8" s="465">
        <v>637108</v>
      </c>
      <c r="TV8" s="465">
        <v>5684707</v>
      </c>
      <c r="TW8" s="465">
        <v>2770312</v>
      </c>
      <c r="TX8" s="465">
        <v>0</v>
      </c>
      <c r="TY8" s="465">
        <v>0</v>
      </c>
      <c r="TZ8" s="465">
        <v>0</v>
      </c>
      <c r="UA8" s="465">
        <v>0</v>
      </c>
      <c r="UB8" s="465">
        <v>0</v>
      </c>
      <c r="UC8" s="465">
        <v>0</v>
      </c>
      <c r="UD8" s="465">
        <v>14283</v>
      </c>
      <c r="UE8" s="465">
        <v>303622</v>
      </c>
      <c r="UF8" s="465">
        <v>0</v>
      </c>
      <c r="UG8" s="465">
        <v>0</v>
      </c>
      <c r="UH8" s="465">
        <v>0</v>
      </c>
      <c r="UI8" s="465">
        <v>0</v>
      </c>
      <c r="UJ8" s="465">
        <v>0</v>
      </c>
      <c r="UK8" s="465">
        <v>0</v>
      </c>
      <c r="UL8" s="465">
        <v>0</v>
      </c>
      <c r="UM8" s="465">
        <v>167771771</v>
      </c>
      <c r="UN8" s="465">
        <v>70934110</v>
      </c>
      <c r="UO8" s="465">
        <v>920890016</v>
      </c>
      <c r="UP8" s="465">
        <v>250602654</v>
      </c>
      <c r="UQ8" s="465">
        <v>60768819</v>
      </c>
      <c r="UR8" s="465">
        <v>541373760</v>
      </c>
      <c r="US8" s="465">
        <v>67340859</v>
      </c>
      <c r="UT8" s="465">
        <v>13150270</v>
      </c>
      <c r="UU8" s="465">
        <v>88846019</v>
      </c>
      <c r="UV8" s="465">
        <v>40189096</v>
      </c>
      <c r="UW8" s="465">
        <v>13458109</v>
      </c>
      <c r="UX8" s="465">
        <v>15658968</v>
      </c>
      <c r="UY8" s="465">
        <v>0</v>
      </c>
      <c r="UZ8" s="465">
        <v>0</v>
      </c>
      <c r="VA8" s="465">
        <v>0</v>
      </c>
      <c r="VB8" s="465">
        <v>0</v>
      </c>
      <c r="VC8" s="465" t="s">
        <v>1578</v>
      </c>
      <c r="VD8" s="465" t="s">
        <v>1579</v>
      </c>
      <c r="VE8" s="465" t="s">
        <v>1580</v>
      </c>
    </row>
    <row r="9" spans="1:577" s="331" customFormat="1" ht="30.6" thickBot="1">
      <c r="A9" s="325">
        <v>420</v>
      </c>
      <c r="B9" s="326" t="s">
        <v>22</v>
      </c>
      <c r="C9" s="327" t="s">
        <v>940</v>
      </c>
      <c r="D9" s="331" t="s">
        <v>428</v>
      </c>
      <c r="E9" s="466">
        <v>40</v>
      </c>
      <c r="F9" s="464">
        <v>3390552233</v>
      </c>
      <c r="G9" s="329" t="s">
        <v>1572</v>
      </c>
      <c r="H9" s="331" t="s">
        <v>22</v>
      </c>
      <c r="M9" s="465">
        <v>183996390</v>
      </c>
      <c r="N9" s="465">
        <v>0</v>
      </c>
      <c r="O9" s="465">
        <v>0</v>
      </c>
      <c r="P9" s="465">
        <v>0</v>
      </c>
      <c r="Q9" s="465">
        <v>0</v>
      </c>
      <c r="R9" s="465">
        <v>0</v>
      </c>
      <c r="S9" s="465">
        <v>0</v>
      </c>
      <c r="T9" s="465">
        <v>0</v>
      </c>
      <c r="U9" s="465">
        <v>0</v>
      </c>
      <c r="V9" s="465">
        <v>4527251</v>
      </c>
      <c r="W9" s="465">
        <v>1802627</v>
      </c>
      <c r="X9" s="465">
        <v>0</v>
      </c>
      <c r="Y9" s="465">
        <v>12340839</v>
      </c>
      <c r="Z9" s="465">
        <v>0</v>
      </c>
      <c r="AA9" s="465">
        <v>0</v>
      </c>
      <c r="AB9" s="465">
        <v>0</v>
      </c>
      <c r="AC9" s="465">
        <v>0</v>
      </c>
      <c r="AD9" s="465">
        <v>0</v>
      </c>
      <c r="AE9" s="465">
        <v>0</v>
      </c>
      <c r="AF9" s="465">
        <v>0</v>
      </c>
      <c r="AG9" s="465">
        <v>0</v>
      </c>
      <c r="AH9" s="465">
        <v>0</v>
      </c>
      <c r="AI9" s="465">
        <v>0</v>
      </c>
      <c r="AJ9" s="465">
        <v>0</v>
      </c>
      <c r="AK9" s="465">
        <v>0</v>
      </c>
      <c r="AL9" s="465">
        <v>0</v>
      </c>
      <c r="AM9" s="465">
        <v>0</v>
      </c>
      <c r="AN9" s="465">
        <v>0</v>
      </c>
      <c r="AO9" s="465">
        <v>0</v>
      </c>
      <c r="AP9" s="465">
        <v>0</v>
      </c>
      <c r="AQ9" s="465">
        <v>0</v>
      </c>
      <c r="AR9" s="465">
        <v>0</v>
      </c>
      <c r="AS9" s="465">
        <v>0</v>
      </c>
      <c r="AT9" s="465">
        <v>0</v>
      </c>
      <c r="AU9" s="465">
        <v>0</v>
      </c>
      <c r="AV9" s="465">
        <v>0</v>
      </c>
      <c r="AW9" s="465">
        <v>0</v>
      </c>
      <c r="AX9" s="465">
        <v>0</v>
      </c>
      <c r="AY9" s="465">
        <v>0</v>
      </c>
      <c r="AZ9" s="465">
        <v>0</v>
      </c>
      <c r="BA9" s="465">
        <v>0</v>
      </c>
      <c r="BB9" s="465">
        <v>0</v>
      </c>
      <c r="BC9" s="465">
        <v>0</v>
      </c>
      <c r="BD9" s="465">
        <v>0</v>
      </c>
      <c r="BE9" s="465">
        <v>0</v>
      </c>
      <c r="BF9" s="465">
        <v>-3430208</v>
      </c>
      <c r="BG9" s="465">
        <v>0</v>
      </c>
      <c r="BH9" s="465">
        <v>0</v>
      </c>
      <c r="BI9" s="465">
        <v>0</v>
      </c>
      <c r="BJ9" s="465">
        <v>0</v>
      </c>
      <c r="BK9" s="465">
        <v>0</v>
      </c>
      <c r="BL9" s="465">
        <v>0</v>
      </c>
      <c r="BM9" s="465">
        <v>0</v>
      </c>
      <c r="BN9" s="465">
        <v>0</v>
      </c>
      <c r="BO9" s="465">
        <v>0</v>
      </c>
      <c r="BP9" s="465">
        <v>0</v>
      </c>
      <c r="BQ9" s="465">
        <v>0</v>
      </c>
      <c r="BR9" s="465">
        <v>0</v>
      </c>
      <c r="BS9" s="465">
        <v>0</v>
      </c>
      <c r="BT9" s="465">
        <v>0</v>
      </c>
      <c r="BU9" s="465">
        <v>0</v>
      </c>
      <c r="BV9" s="465">
        <v>0</v>
      </c>
      <c r="BW9" s="465">
        <v>0</v>
      </c>
      <c r="BX9" s="465">
        <v>0</v>
      </c>
      <c r="BY9" s="465">
        <v>0</v>
      </c>
      <c r="BZ9" s="465">
        <v>0</v>
      </c>
      <c r="CA9" s="465">
        <v>0</v>
      </c>
      <c r="CB9" s="465">
        <v>0</v>
      </c>
      <c r="CC9" s="465">
        <v>0</v>
      </c>
      <c r="CD9" s="465">
        <v>0</v>
      </c>
      <c r="CE9" s="465">
        <v>0</v>
      </c>
      <c r="CF9" s="465">
        <v>0</v>
      </c>
      <c r="CG9" s="465">
        <v>0</v>
      </c>
      <c r="CH9" s="465">
        <v>0</v>
      </c>
      <c r="CI9" s="465">
        <v>0</v>
      </c>
      <c r="CJ9" s="465">
        <v>0</v>
      </c>
      <c r="CK9" s="465">
        <v>0</v>
      </c>
      <c r="CL9" s="465">
        <v>0</v>
      </c>
      <c r="CM9" s="465">
        <v>0</v>
      </c>
      <c r="CN9" s="465">
        <v>0</v>
      </c>
      <c r="CO9" s="465">
        <v>0</v>
      </c>
      <c r="CP9" s="465">
        <v>17546077</v>
      </c>
      <c r="CQ9" s="465">
        <v>38469051</v>
      </c>
      <c r="CR9" s="465">
        <v>0</v>
      </c>
      <c r="CS9" s="465">
        <v>0</v>
      </c>
      <c r="CT9" s="465">
        <v>0</v>
      </c>
      <c r="CU9" s="465">
        <v>0</v>
      </c>
      <c r="CV9" s="465">
        <v>0</v>
      </c>
      <c r="CW9" s="465">
        <v>0</v>
      </c>
      <c r="CX9" s="465">
        <v>0</v>
      </c>
      <c r="CY9" s="465">
        <v>0</v>
      </c>
      <c r="CZ9" s="465">
        <v>0</v>
      </c>
      <c r="DA9" s="465">
        <v>0</v>
      </c>
      <c r="DB9" s="465">
        <v>0</v>
      </c>
      <c r="DC9" s="465">
        <v>0</v>
      </c>
      <c r="DD9" s="465">
        <v>0</v>
      </c>
      <c r="DE9" s="465">
        <v>0</v>
      </c>
      <c r="DF9" s="465">
        <v>0</v>
      </c>
      <c r="DG9" s="465">
        <v>0</v>
      </c>
      <c r="DH9" s="465">
        <v>0</v>
      </c>
      <c r="DI9" s="465">
        <v>0</v>
      </c>
      <c r="DJ9" s="465">
        <v>0</v>
      </c>
      <c r="DK9" s="465">
        <v>0</v>
      </c>
      <c r="DL9" s="465">
        <v>0</v>
      </c>
      <c r="DM9" s="465">
        <v>0</v>
      </c>
      <c r="DN9" s="465">
        <v>0</v>
      </c>
      <c r="DO9" s="465">
        <v>0</v>
      </c>
      <c r="DP9" s="465">
        <v>0</v>
      </c>
      <c r="DQ9" s="465">
        <v>-1437643</v>
      </c>
      <c r="DR9" s="465">
        <v>0</v>
      </c>
      <c r="DS9" s="465">
        <v>0</v>
      </c>
      <c r="DT9" s="465">
        <v>0</v>
      </c>
      <c r="DU9" s="465">
        <v>0</v>
      </c>
      <c r="DV9" s="465">
        <v>0</v>
      </c>
      <c r="DW9" s="465">
        <v>0</v>
      </c>
      <c r="DX9" s="465">
        <v>0</v>
      </c>
      <c r="DY9" s="465">
        <v>0</v>
      </c>
      <c r="DZ9" s="465">
        <v>0</v>
      </c>
      <c r="EA9" s="465">
        <v>0</v>
      </c>
      <c r="EB9" s="465">
        <v>0</v>
      </c>
      <c r="EC9" s="465">
        <v>0</v>
      </c>
      <c r="ED9" s="465">
        <v>0</v>
      </c>
      <c r="EE9" s="465">
        <v>0</v>
      </c>
      <c r="EF9" s="465">
        <v>0</v>
      </c>
      <c r="EG9" s="465">
        <v>0</v>
      </c>
      <c r="EH9" s="465">
        <v>0</v>
      </c>
      <c r="EI9" s="465">
        <v>-1691463</v>
      </c>
      <c r="EJ9" s="465">
        <v>0</v>
      </c>
      <c r="EK9" s="465">
        <v>0</v>
      </c>
      <c r="EL9" s="465">
        <v>0</v>
      </c>
      <c r="EM9" s="465">
        <v>0</v>
      </c>
      <c r="EN9" s="465">
        <v>0</v>
      </c>
      <c r="EO9" s="465">
        <v>0</v>
      </c>
      <c r="EP9" s="465">
        <v>0</v>
      </c>
      <c r="EQ9" s="465">
        <v>0</v>
      </c>
      <c r="ER9" s="465">
        <v>0</v>
      </c>
      <c r="ES9" s="465">
        <v>0</v>
      </c>
      <c r="ET9" s="465">
        <v>0</v>
      </c>
      <c r="EU9" s="465">
        <v>0</v>
      </c>
      <c r="EV9" s="465">
        <v>0</v>
      </c>
      <c r="EW9" s="465">
        <v>0</v>
      </c>
      <c r="EX9" s="465">
        <v>0</v>
      </c>
      <c r="EY9" s="465">
        <v>0</v>
      </c>
      <c r="EZ9" s="465">
        <v>0</v>
      </c>
      <c r="FA9" s="465">
        <v>0</v>
      </c>
      <c r="FB9" s="465">
        <v>0</v>
      </c>
      <c r="FC9" s="465">
        <v>0</v>
      </c>
      <c r="FD9" s="465">
        <v>0</v>
      </c>
      <c r="FE9" s="465">
        <v>0</v>
      </c>
      <c r="FF9" s="465">
        <v>0</v>
      </c>
      <c r="FG9" s="465">
        <v>0</v>
      </c>
      <c r="FH9" s="465">
        <v>0</v>
      </c>
      <c r="FI9" s="465">
        <v>0</v>
      </c>
      <c r="FJ9" s="465">
        <v>0</v>
      </c>
      <c r="FK9" s="465">
        <v>0</v>
      </c>
      <c r="FL9" s="465">
        <v>0</v>
      </c>
      <c r="FM9" s="465">
        <v>0</v>
      </c>
      <c r="FN9" s="465">
        <v>0</v>
      </c>
      <c r="FO9" s="465">
        <v>0</v>
      </c>
      <c r="FP9" s="465">
        <v>0</v>
      </c>
      <c r="FQ9" s="465">
        <v>0</v>
      </c>
      <c r="FR9" s="465">
        <v>0</v>
      </c>
      <c r="FS9" s="465">
        <v>0</v>
      </c>
      <c r="FT9" s="465">
        <v>0</v>
      </c>
      <c r="FU9" s="465">
        <v>0</v>
      </c>
      <c r="FV9" s="465">
        <v>0</v>
      </c>
      <c r="FW9" s="465">
        <v>0</v>
      </c>
      <c r="FX9" s="465">
        <v>0</v>
      </c>
      <c r="FY9" s="465">
        <v>0</v>
      </c>
      <c r="FZ9" s="465">
        <v>0</v>
      </c>
      <c r="GA9" s="465">
        <v>0</v>
      </c>
      <c r="GB9" s="465">
        <v>0</v>
      </c>
      <c r="GC9" s="465">
        <v>0</v>
      </c>
      <c r="GD9" s="465">
        <v>3100750</v>
      </c>
      <c r="GE9" s="465">
        <v>0</v>
      </c>
      <c r="GF9" s="465">
        <v>0</v>
      </c>
      <c r="GG9" s="465">
        <v>0</v>
      </c>
      <c r="GH9" s="465">
        <v>0</v>
      </c>
      <c r="GI9" s="465">
        <v>0</v>
      </c>
      <c r="GJ9" s="465">
        <v>0</v>
      </c>
      <c r="GK9" s="465">
        <v>0</v>
      </c>
      <c r="GL9" s="465">
        <v>0</v>
      </c>
      <c r="GM9" s="465">
        <v>0</v>
      </c>
      <c r="GN9" s="465">
        <v>0</v>
      </c>
      <c r="GO9" s="465">
        <v>0</v>
      </c>
      <c r="GP9" s="465">
        <v>0</v>
      </c>
      <c r="GQ9" s="465">
        <v>0</v>
      </c>
      <c r="GR9" s="465">
        <v>0</v>
      </c>
      <c r="GS9" s="465">
        <v>0</v>
      </c>
      <c r="GT9" s="465">
        <v>0</v>
      </c>
      <c r="GU9" s="465">
        <v>0</v>
      </c>
      <c r="GV9" s="465">
        <v>0</v>
      </c>
      <c r="GW9" s="465">
        <v>0</v>
      </c>
      <c r="GX9" s="465">
        <v>0</v>
      </c>
      <c r="GY9" s="465">
        <v>0</v>
      </c>
      <c r="GZ9" s="465">
        <v>0</v>
      </c>
      <c r="HA9" s="465">
        <v>0</v>
      </c>
      <c r="HB9" s="465">
        <v>0</v>
      </c>
      <c r="HC9" s="465">
        <v>-159738</v>
      </c>
      <c r="HD9" s="465">
        <v>0</v>
      </c>
      <c r="HE9" s="465">
        <v>0</v>
      </c>
      <c r="HF9" s="465">
        <v>0</v>
      </c>
      <c r="HG9" s="465">
        <v>0</v>
      </c>
      <c r="HH9" s="465">
        <v>0</v>
      </c>
      <c r="HI9" s="465">
        <v>0</v>
      </c>
      <c r="HJ9" s="465">
        <v>0</v>
      </c>
      <c r="HK9" s="465">
        <v>0</v>
      </c>
      <c r="HL9" s="465">
        <v>0</v>
      </c>
      <c r="HM9" s="465">
        <v>0</v>
      </c>
      <c r="HN9" s="465">
        <v>0</v>
      </c>
      <c r="HO9" s="465">
        <v>0</v>
      </c>
      <c r="HP9" s="465">
        <v>0</v>
      </c>
      <c r="HQ9" s="465">
        <v>0</v>
      </c>
      <c r="HR9" s="465">
        <v>0</v>
      </c>
      <c r="HS9" s="465">
        <v>0</v>
      </c>
      <c r="HT9" s="465">
        <v>0</v>
      </c>
      <c r="HU9" s="465">
        <v>-187940</v>
      </c>
      <c r="HV9" s="465">
        <v>0</v>
      </c>
      <c r="HW9" s="465">
        <v>0</v>
      </c>
      <c r="HX9" s="465">
        <v>0</v>
      </c>
      <c r="HY9" s="465">
        <v>0</v>
      </c>
      <c r="HZ9" s="465">
        <v>0</v>
      </c>
      <c r="IA9" s="465">
        <v>0</v>
      </c>
      <c r="IB9" s="465">
        <v>0</v>
      </c>
      <c r="IC9" s="465">
        <v>0</v>
      </c>
      <c r="ID9" s="465">
        <v>0</v>
      </c>
      <c r="IE9" s="465">
        <v>52619580</v>
      </c>
      <c r="IF9" s="465">
        <v>0</v>
      </c>
      <c r="IG9" s="465">
        <v>155376901</v>
      </c>
      <c r="IH9" s="465">
        <v>0</v>
      </c>
      <c r="II9" s="465">
        <v>0</v>
      </c>
      <c r="IJ9" s="465">
        <v>0</v>
      </c>
      <c r="IK9" s="465">
        <v>0</v>
      </c>
      <c r="IL9" s="465">
        <v>0</v>
      </c>
      <c r="IM9" s="465">
        <v>0</v>
      </c>
      <c r="IN9" s="465">
        <v>332331158</v>
      </c>
      <c r="IO9" s="465">
        <v>0</v>
      </c>
      <c r="IP9" s="465">
        <v>0</v>
      </c>
      <c r="IQ9" s="465">
        <v>0</v>
      </c>
      <c r="IR9" s="465">
        <v>0</v>
      </c>
      <c r="IS9" s="465">
        <v>0</v>
      </c>
      <c r="IT9" s="465">
        <v>0</v>
      </c>
      <c r="IU9" s="465">
        <v>0</v>
      </c>
      <c r="IV9" s="465">
        <v>0</v>
      </c>
      <c r="IW9" s="465">
        <v>0</v>
      </c>
      <c r="IX9" s="465">
        <v>0</v>
      </c>
      <c r="IY9" s="465">
        <v>0</v>
      </c>
      <c r="IZ9" s="465">
        <v>0</v>
      </c>
      <c r="JA9" s="465">
        <v>0</v>
      </c>
      <c r="JB9" s="465">
        <v>0</v>
      </c>
      <c r="JC9" s="465">
        <v>0</v>
      </c>
      <c r="JD9" s="465">
        <v>0</v>
      </c>
      <c r="JE9" s="465">
        <v>28347</v>
      </c>
      <c r="JF9" s="465">
        <v>37343454</v>
      </c>
      <c r="JG9" s="465">
        <v>97699</v>
      </c>
      <c r="JH9" s="465">
        <v>17909125</v>
      </c>
      <c r="JI9" s="465">
        <v>12363</v>
      </c>
      <c r="JJ9" s="465">
        <v>305441</v>
      </c>
      <c r="JK9" s="465">
        <v>0</v>
      </c>
      <c r="JL9" s="465">
        <v>0</v>
      </c>
      <c r="JM9" s="465">
        <v>0</v>
      </c>
      <c r="JN9" s="465">
        <v>0</v>
      </c>
      <c r="JO9" s="465">
        <v>213532485</v>
      </c>
      <c r="JP9" s="465">
        <v>0</v>
      </c>
      <c r="JQ9" s="465">
        <v>3280341</v>
      </c>
      <c r="JR9" s="465">
        <v>0</v>
      </c>
      <c r="JS9" s="465">
        <v>0</v>
      </c>
      <c r="JT9" s="465">
        <v>0</v>
      </c>
      <c r="JU9" s="465">
        <v>0</v>
      </c>
      <c r="JV9" s="465">
        <v>0</v>
      </c>
      <c r="JW9" s="465">
        <v>0</v>
      </c>
      <c r="JX9" s="465">
        <v>3944247</v>
      </c>
      <c r="JY9" s="465">
        <v>0</v>
      </c>
      <c r="JZ9" s="465">
        <v>43881194</v>
      </c>
      <c r="KA9" s="465">
        <v>0</v>
      </c>
      <c r="KB9" s="465">
        <v>0</v>
      </c>
      <c r="KC9" s="465">
        <v>0</v>
      </c>
      <c r="KD9" s="465">
        <v>0</v>
      </c>
      <c r="KE9" s="465">
        <v>0</v>
      </c>
      <c r="KF9" s="465">
        <v>5752806</v>
      </c>
      <c r="KG9" s="465">
        <v>15590904</v>
      </c>
      <c r="KH9" s="465">
        <v>0</v>
      </c>
      <c r="KI9" s="465">
        <v>32549027</v>
      </c>
      <c r="KJ9" s="465">
        <v>0</v>
      </c>
      <c r="KK9" s="465">
        <v>0</v>
      </c>
      <c r="KL9" s="465">
        <v>0</v>
      </c>
      <c r="KM9" s="465">
        <v>0</v>
      </c>
      <c r="KN9" s="465">
        <v>0</v>
      </c>
      <c r="KO9" s="465">
        <v>0</v>
      </c>
      <c r="KP9" s="465">
        <v>0</v>
      </c>
      <c r="KQ9" s="465">
        <v>5080625</v>
      </c>
      <c r="KR9" s="465">
        <v>0</v>
      </c>
      <c r="KS9" s="465">
        <v>0</v>
      </c>
      <c r="KT9" s="465">
        <v>0</v>
      </c>
      <c r="KU9" s="465">
        <v>0</v>
      </c>
      <c r="KV9" s="465">
        <v>0</v>
      </c>
      <c r="KW9" s="465">
        <v>0</v>
      </c>
      <c r="KX9" s="465">
        <v>0</v>
      </c>
      <c r="KY9" s="465">
        <v>42457937</v>
      </c>
      <c r="KZ9" s="465">
        <v>0</v>
      </c>
      <c r="LA9" s="465">
        <v>2662776</v>
      </c>
      <c r="LB9" s="465">
        <v>49212</v>
      </c>
      <c r="LC9" s="465">
        <v>0</v>
      </c>
      <c r="LD9" s="465">
        <v>0</v>
      </c>
      <c r="LE9" s="465">
        <v>0</v>
      </c>
      <c r="LF9" s="465">
        <v>-56604</v>
      </c>
      <c r="LG9" s="465">
        <v>108802290</v>
      </c>
      <c r="LH9" s="465">
        <v>325162391</v>
      </c>
      <c r="LI9" s="465">
        <v>0</v>
      </c>
      <c r="LJ9" s="465">
        <v>13332358</v>
      </c>
      <c r="LK9" s="465">
        <v>0</v>
      </c>
      <c r="LL9" s="465">
        <v>0</v>
      </c>
      <c r="LM9" s="465">
        <v>0</v>
      </c>
      <c r="LN9" s="465">
        <v>0</v>
      </c>
      <c r="LO9" s="465">
        <v>0</v>
      </c>
      <c r="LP9" s="465">
        <v>18551253</v>
      </c>
      <c r="LQ9" s="465">
        <v>24605145</v>
      </c>
      <c r="LR9" s="465">
        <v>0</v>
      </c>
      <c r="LS9" s="465">
        <v>125933748</v>
      </c>
      <c r="LT9" s="465">
        <v>0</v>
      </c>
      <c r="LU9" s="465">
        <v>0</v>
      </c>
      <c r="LV9" s="465">
        <v>0</v>
      </c>
      <c r="LW9" s="465">
        <v>0</v>
      </c>
      <c r="LX9" s="465">
        <v>0</v>
      </c>
      <c r="LY9" s="465">
        <v>4318488</v>
      </c>
      <c r="LZ9" s="465">
        <v>1841486</v>
      </c>
      <c r="MA9" s="465">
        <v>0</v>
      </c>
      <c r="MB9" s="465">
        <v>95019855</v>
      </c>
      <c r="MC9" s="465">
        <v>0</v>
      </c>
      <c r="MD9" s="465">
        <v>0</v>
      </c>
      <c r="ME9" s="465">
        <v>0</v>
      </c>
      <c r="MF9" s="465">
        <v>0</v>
      </c>
      <c r="MG9" s="465">
        <v>0</v>
      </c>
      <c r="MH9" s="465">
        <v>0</v>
      </c>
      <c r="MI9" s="465">
        <v>207378571</v>
      </c>
      <c r="MJ9" s="465">
        <v>0</v>
      </c>
      <c r="MK9" s="465">
        <v>0</v>
      </c>
      <c r="ML9" s="465">
        <v>0</v>
      </c>
      <c r="MM9" s="465">
        <v>0</v>
      </c>
      <c r="MN9" s="465">
        <v>0</v>
      </c>
      <c r="MO9" s="465">
        <v>0</v>
      </c>
      <c r="MP9" s="465">
        <v>0</v>
      </c>
      <c r="MQ9" s="465">
        <v>36638963</v>
      </c>
      <c r="MR9" s="465">
        <v>15446898</v>
      </c>
      <c r="MS9" s="465">
        <v>0</v>
      </c>
      <c r="MT9" s="465">
        <v>1836423</v>
      </c>
      <c r="MU9" s="465">
        <v>0</v>
      </c>
      <c r="MV9" s="465">
        <v>0</v>
      </c>
      <c r="MW9" s="465">
        <v>0</v>
      </c>
      <c r="MX9" s="465">
        <v>0</v>
      </c>
      <c r="MY9" s="465">
        <v>0</v>
      </c>
      <c r="MZ9" s="465">
        <v>2248620</v>
      </c>
      <c r="NA9" s="465">
        <v>334248</v>
      </c>
      <c r="NB9" s="465">
        <v>0</v>
      </c>
      <c r="NC9" s="465">
        <v>3107</v>
      </c>
      <c r="ND9" s="465">
        <v>242045</v>
      </c>
      <c r="NE9" s="465">
        <v>0</v>
      </c>
      <c r="NF9" s="465">
        <v>0</v>
      </c>
      <c r="NG9" s="465">
        <v>0</v>
      </c>
      <c r="NH9" s="465">
        <v>0</v>
      </c>
      <c r="NI9" s="465">
        <v>36959374</v>
      </c>
      <c r="NJ9" s="465">
        <v>26210259</v>
      </c>
      <c r="NK9" s="465">
        <v>0</v>
      </c>
      <c r="NL9" s="465">
        <v>542044</v>
      </c>
      <c r="NM9" s="465">
        <v>0</v>
      </c>
      <c r="NN9" s="465">
        <v>0</v>
      </c>
      <c r="NO9" s="465">
        <v>0</v>
      </c>
      <c r="NP9" s="465">
        <v>0</v>
      </c>
      <c r="NQ9" s="465">
        <v>0</v>
      </c>
      <c r="NR9" s="465">
        <v>15250710</v>
      </c>
      <c r="NS9" s="465">
        <v>30114810</v>
      </c>
      <c r="NT9" s="465">
        <v>0</v>
      </c>
      <c r="NU9" s="465">
        <v>190519</v>
      </c>
      <c r="NV9" s="465">
        <v>0</v>
      </c>
      <c r="NW9" s="465">
        <v>0</v>
      </c>
      <c r="NX9" s="465">
        <v>1536515</v>
      </c>
      <c r="NY9" s="465">
        <v>0</v>
      </c>
      <c r="NZ9" s="465">
        <v>0</v>
      </c>
      <c r="OA9" s="465">
        <v>1803514</v>
      </c>
      <c r="OB9" s="465">
        <v>3466194</v>
      </c>
      <c r="OC9" s="465">
        <v>0</v>
      </c>
      <c r="OD9" s="465">
        <v>7591579</v>
      </c>
      <c r="OE9" s="465">
        <v>0</v>
      </c>
      <c r="OF9" s="465">
        <v>0</v>
      </c>
      <c r="OG9" s="465">
        <v>0</v>
      </c>
      <c r="OH9" s="465">
        <v>0</v>
      </c>
      <c r="OI9" s="465">
        <v>0</v>
      </c>
      <c r="OJ9" s="465">
        <v>0</v>
      </c>
      <c r="OK9" s="465">
        <v>0</v>
      </c>
      <c r="OL9" s="465">
        <v>5170202</v>
      </c>
      <c r="OM9" s="465">
        <v>0</v>
      </c>
      <c r="ON9" s="465">
        <v>0</v>
      </c>
      <c r="OO9" s="465">
        <v>0</v>
      </c>
      <c r="OP9" s="465">
        <v>0</v>
      </c>
      <c r="OQ9" s="465">
        <v>0</v>
      </c>
      <c r="OR9" s="465">
        <v>0</v>
      </c>
      <c r="OS9" s="465">
        <v>994022</v>
      </c>
      <c r="OT9" s="465">
        <v>11545041</v>
      </c>
      <c r="OU9" s="465">
        <v>425351</v>
      </c>
      <c r="OV9" s="465">
        <v>4800903</v>
      </c>
      <c r="OW9" s="465">
        <v>0</v>
      </c>
      <c r="OX9" s="465">
        <v>0</v>
      </c>
      <c r="OY9" s="465">
        <v>0</v>
      </c>
      <c r="OZ9" s="465">
        <v>0</v>
      </c>
      <c r="PA9" s="465">
        <v>0</v>
      </c>
      <c r="PB9" s="465">
        <v>0</v>
      </c>
      <c r="PC9" s="465">
        <v>748225</v>
      </c>
      <c r="PD9" s="465">
        <v>0</v>
      </c>
      <c r="PE9" s="465">
        <v>3531</v>
      </c>
      <c r="PF9" s="465">
        <v>0</v>
      </c>
      <c r="PG9" s="465">
        <v>0</v>
      </c>
      <c r="PH9" s="465">
        <v>0</v>
      </c>
      <c r="PI9" s="465">
        <v>0</v>
      </c>
      <c r="PJ9" s="465">
        <v>0</v>
      </c>
      <c r="PK9" s="465">
        <v>0</v>
      </c>
      <c r="PL9" s="465">
        <v>0</v>
      </c>
      <c r="PM9" s="465">
        <v>0</v>
      </c>
      <c r="PN9" s="465">
        <v>0</v>
      </c>
      <c r="PO9" s="465">
        <v>0</v>
      </c>
      <c r="PP9" s="465">
        <v>0</v>
      </c>
      <c r="PQ9" s="465">
        <v>-124934051</v>
      </c>
      <c r="PR9" s="465">
        <v>0</v>
      </c>
      <c r="PS9" s="465">
        <v>0</v>
      </c>
      <c r="PT9" s="465">
        <v>25915030</v>
      </c>
      <c r="PU9" s="465">
        <v>-36126447</v>
      </c>
      <c r="PV9" s="465">
        <v>-51900</v>
      </c>
      <c r="PW9" s="465">
        <v>-10319227</v>
      </c>
      <c r="PX9" s="465">
        <v>3512</v>
      </c>
      <c r="PY9" s="465">
        <v>6169679</v>
      </c>
      <c r="PZ9" s="465">
        <v>12806758</v>
      </c>
      <c r="QA9" s="465">
        <v>0</v>
      </c>
      <c r="QB9" s="465">
        <v>-4169523</v>
      </c>
      <c r="QC9" s="465">
        <v>0</v>
      </c>
      <c r="QD9" s="465">
        <v>0</v>
      </c>
      <c r="QE9" s="465">
        <v>0</v>
      </c>
      <c r="QF9" s="465">
        <v>0</v>
      </c>
      <c r="QG9" s="465">
        <v>0</v>
      </c>
      <c r="QH9" s="465">
        <v>0</v>
      </c>
      <c r="QI9" s="465">
        <v>88553289</v>
      </c>
      <c r="QJ9" s="465">
        <v>0</v>
      </c>
      <c r="QK9" s="465">
        <v>0</v>
      </c>
      <c r="QL9" s="465">
        <v>-15896200</v>
      </c>
      <c r="QM9" s="465">
        <v>-5522546</v>
      </c>
      <c r="QN9" s="465">
        <v>-227944</v>
      </c>
      <c r="QO9" s="465">
        <v>0</v>
      </c>
      <c r="QP9" s="465">
        <v>0</v>
      </c>
      <c r="QQ9" s="465">
        <v>0</v>
      </c>
      <c r="QR9" s="465">
        <v>0</v>
      </c>
      <c r="QS9" s="465">
        <v>0</v>
      </c>
      <c r="QT9" s="465">
        <v>0</v>
      </c>
      <c r="QU9" s="465">
        <v>0</v>
      </c>
      <c r="QV9" s="465">
        <v>-43442137</v>
      </c>
      <c r="QW9" s="465">
        <v>0</v>
      </c>
      <c r="QX9" s="465">
        <v>-10073400</v>
      </c>
      <c r="QY9" s="465">
        <v>-195589</v>
      </c>
      <c r="QZ9" s="465">
        <v>-84867337</v>
      </c>
      <c r="RA9" s="465">
        <v>0</v>
      </c>
      <c r="RB9" s="465">
        <v>0</v>
      </c>
      <c r="RC9" s="465">
        <v>0</v>
      </c>
      <c r="RD9" s="465">
        <v>0</v>
      </c>
      <c r="RE9" s="465">
        <v>0</v>
      </c>
      <c r="RF9" s="465">
        <v>0</v>
      </c>
      <c r="RG9" s="465">
        <v>249528</v>
      </c>
      <c r="RH9" s="465">
        <v>0</v>
      </c>
      <c r="RI9" s="465">
        <v>6417112</v>
      </c>
      <c r="RJ9" s="465">
        <v>0</v>
      </c>
      <c r="RK9" s="465">
        <v>0</v>
      </c>
      <c r="RL9" s="465">
        <v>0</v>
      </c>
      <c r="RM9" s="465">
        <v>0</v>
      </c>
      <c r="RN9" s="465">
        <v>0</v>
      </c>
      <c r="RO9" s="465">
        <v>0</v>
      </c>
      <c r="RP9" s="465">
        <v>0</v>
      </c>
      <c r="RQ9" s="465">
        <v>0</v>
      </c>
      <c r="RR9" s="465">
        <v>0</v>
      </c>
      <c r="RS9" s="465">
        <v>0</v>
      </c>
      <c r="RT9" s="465">
        <v>0</v>
      </c>
      <c r="RU9" s="465">
        <v>-67461322</v>
      </c>
      <c r="RV9" s="465">
        <v>0</v>
      </c>
      <c r="RW9" s="465">
        <v>0</v>
      </c>
      <c r="RX9" s="465">
        <v>0</v>
      </c>
      <c r="RY9" s="465">
        <v>0</v>
      </c>
      <c r="RZ9" s="465">
        <v>0</v>
      </c>
      <c r="SA9" s="465">
        <v>0</v>
      </c>
      <c r="SB9" s="465">
        <v>0</v>
      </c>
      <c r="SC9" s="465">
        <v>0</v>
      </c>
      <c r="SD9" s="465">
        <v>0</v>
      </c>
      <c r="SE9" s="465">
        <v>0</v>
      </c>
      <c r="SF9" s="465">
        <v>0</v>
      </c>
      <c r="SG9" s="465">
        <v>0</v>
      </c>
      <c r="SH9" s="465">
        <v>0</v>
      </c>
      <c r="SI9" s="465">
        <v>0</v>
      </c>
      <c r="SJ9" s="465">
        <v>0</v>
      </c>
      <c r="SK9" s="465">
        <v>0</v>
      </c>
      <c r="SL9" s="465">
        <v>0</v>
      </c>
      <c r="SM9" s="465">
        <v>0</v>
      </c>
      <c r="SN9" s="465">
        <v>0</v>
      </c>
      <c r="SO9" s="465">
        <v>0</v>
      </c>
      <c r="SP9" s="465">
        <v>0</v>
      </c>
      <c r="SQ9" s="465">
        <v>0</v>
      </c>
      <c r="SR9" s="465">
        <v>0</v>
      </c>
      <c r="SS9" s="465">
        <v>0</v>
      </c>
      <c r="ST9" s="465">
        <v>0</v>
      </c>
      <c r="SU9" s="465">
        <v>0</v>
      </c>
      <c r="SV9" s="465">
        <v>0</v>
      </c>
      <c r="SW9" s="465">
        <v>0</v>
      </c>
      <c r="SX9" s="465">
        <v>0</v>
      </c>
      <c r="SY9" s="465">
        <v>0</v>
      </c>
      <c r="SZ9" s="465">
        <v>0</v>
      </c>
      <c r="TA9" s="465">
        <v>0</v>
      </c>
      <c r="TB9" s="465">
        <v>0</v>
      </c>
      <c r="TC9" s="465">
        <v>0</v>
      </c>
      <c r="TD9" s="465">
        <v>0</v>
      </c>
      <c r="TE9" s="465">
        <v>142699367</v>
      </c>
      <c r="TF9" s="465">
        <v>-26466811</v>
      </c>
      <c r="TG9" s="465">
        <v>0</v>
      </c>
      <c r="TH9" s="465">
        <v>0</v>
      </c>
      <c r="TI9" s="465">
        <v>59115878</v>
      </c>
      <c r="TJ9" s="465">
        <v>-3476784</v>
      </c>
      <c r="TK9" s="465">
        <v>2268560</v>
      </c>
      <c r="TL9" s="465">
        <v>9471052</v>
      </c>
      <c r="TM9" s="465">
        <v>745330</v>
      </c>
      <c r="TN9" s="465">
        <v>932721</v>
      </c>
      <c r="TO9" s="465">
        <v>1923979</v>
      </c>
      <c r="TP9" s="465">
        <v>0</v>
      </c>
      <c r="TQ9" s="465">
        <v>92743</v>
      </c>
      <c r="TR9" s="465">
        <v>1705581</v>
      </c>
      <c r="TS9" s="465">
        <v>200000</v>
      </c>
      <c r="TT9" s="465">
        <v>425351</v>
      </c>
      <c r="TU9" s="465">
        <v>0</v>
      </c>
      <c r="TV9" s="465">
        <v>0</v>
      </c>
      <c r="TW9" s="465">
        <v>4712756</v>
      </c>
      <c r="TX9" s="465">
        <v>0</v>
      </c>
      <c r="TY9" s="465">
        <v>0</v>
      </c>
      <c r="TZ9" s="465">
        <v>0</v>
      </c>
      <c r="UA9" s="465">
        <v>0</v>
      </c>
      <c r="UB9" s="465">
        <v>0</v>
      </c>
      <c r="UC9" s="465">
        <v>0</v>
      </c>
      <c r="UD9" s="465">
        <v>0</v>
      </c>
      <c r="UE9" s="465">
        <v>0</v>
      </c>
      <c r="UF9" s="465">
        <v>169883</v>
      </c>
      <c r="UG9" s="465">
        <v>0</v>
      </c>
      <c r="UH9" s="465">
        <v>0</v>
      </c>
      <c r="UI9" s="465">
        <v>0</v>
      </c>
      <c r="UJ9" s="465">
        <v>0</v>
      </c>
      <c r="UK9" s="465">
        <v>0</v>
      </c>
      <c r="UL9" s="465">
        <v>0</v>
      </c>
      <c r="UM9" s="465">
        <v>0</v>
      </c>
      <c r="UN9" s="465">
        <v>0</v>
      </c>
      <c r="UO9" s="465">
        <v>447297039</v>
      </c>
      <c r="UP9" s="465">
        <v>169090146</v>
      </c>
      <c r="UQ9" s="465">
        <v>101179829</v>
      </c>
      <c r="UR9" s="465">
        <v>207378571</v>
      </c>
      <c r="US9" s="465">
        <v>53922284</v>
      </c>
      <c r="UT9" s="465">
        <v>2828020</v>
      </c>
      <c r="UU9" s="465">
        <v>63711677</v>
      </c>
      <c r="UV9" s="465">
        <v>47092554</v>
      </c>
      <c r="UW9" s="465">
        <v>12861287</v>
      </c>
      <c r="UX9" s="465">
        <v>5170202</v>
      </c>
      <c r="UY9" s="465">
        <v>0</v>
      </c>
      <c r="UZ9" s="465">
        <v>0</v>
      </c>
      <c r="VA9" s="465">
        <v>0</v>
      </c>
      <c r="VB9" s="465">
        <v>0</v>
      </c>
      <c r="VC9" s="465" t="s">
        <v>1581</v>
      </c>
      <c r="VD9" s="465" t="s">
        <v>1582</v>
      </c>
      <c r="VE9" s="465" t="s">
        <v>1583</v>
      </c>
    </row>
    <row r="10" spans="1:577" s="331" customFormat="1" ht="30.6" thickBot="1">
      <c r="A10" s="325">
        <v>430</v>
      </c>
      <c r="B10" s="326" t="s">
        <v>23</v>
      </c>
      <c r="C10" s="327" t="s">
        <v>954</v>
      </c>
      <c r="D10" s="331" t="s">
        <v>428</v>
      </c>
      <c r="E10" s="466">
        <v>25554</v>
      </c>
      <c r="F10" s="464">
        <v>31944391641</v>
      </c>
      <c r="G10" s="329" t="s">
        <v>1572</v>
      </c>
      <c r="H10" s="331" t="s">
        <v>23</v>
      </c>
      <c r="M10" s="465">
        <v>222277361</v>
      </c>
      <c r="N10" s="465">
        <v>0</v>
      </c>
      <c r="O10" s="465">
        <v>0</v>
      </c>
      <c r="P10" s="465">
        <v>0</v>
      </c>
      <c r="Q10" s="465">
        <v>0</v>
      </c>
      <c r="R10" s="465">
        <v>0</v>
      </c>
      <c r="S10" s="465">
        <v>0</v>
      </c>
      <c r="T10" s="465">
        <v>0</v>
      </c>
      <c r="U10" s="465">
        <v>0</v>
      </c>
      <c r="V10" s="465">
        <v>54310</v>
      </c>
      <c r="W10" s="465">
        <v>1807482</v>
      </c>
      <c r="X10" s="465">
        <v>0</v>
      </c>
      <c r="Y10" s="465">
        <v>37505912</v>
      </c>
      <c r="Z10" s="465">
        <v>0</v>
      </c>
      <c r="AA10" s="465">
        <v>0</v>
      </c>
      <c r="AB10" s="465">
        <v>0</v>
      </c>
      <c r="AC10" s="465">
        <v>0</v>
      </c>
      <c r="AD10" s="465">
        <v>0</v>
      </c>
      <c r="AE10" s="465">
        <v>0</v>
      </c>
      <c r="AF10" s="465">
        <v>0</v>
      </c>
      <c r="AG10" s="465">
        <v>0</v>
      </c>
      <c r="AH10" s="465">
        <v>0</v>
      </c>
      <c r="AI10" s="465">
        <v>0</v>
      </c>
      <c r="AJ10" s="465">
        <v>0</v>
      </c>
      <c r="AK10" s="465">
        <v>0</v>
      </c>
      <c r="AL10" s="465">
        <v>0</v>
      </c>
      <c r="AM10" s="465">
        <v>0</v>
      </c>
      <c r="AN10" s="465">
        <v>0</v>
      </c>
      <c r="AO10" s="465">
        <v>0</v>
      </c>
      <c r="AP10" s="465">
        <v>0</v>
      </c>
      <c r="AQ10" s="465">
        <v>0</v>
      </c>
      <c r="AR10" s="465">
        <v>0</v>
      </c>
      <c r="AS10" s="465">
        <v>0</v>
      </c>
      <c r="AT10" s="465">
        <v>0</v>
      </c>
      <c r="AU10" s="465">
        <v>0</v>
      </c>
      <c r="AV10" s="465">
        <v>0</v>
      </c>
      <c r="AW10" s="465">
        <v>0</v>
      </c>
      <c r="AX10" s="465">
        <v>0</v>
      </c>
      <c r="AY10" s="465">
        <v>0</v>
      </c>
      <c r="AZ10" s="465">
        <v>0</v>
      </c>
      <c r="BA10" s="465">
        <v>0</v>
      </c>
      <c r="BB10" s="465">
        <v>0</v>
      </c>
      <c r="BC10" s="465">
        <v>0</v>
      </c>
      <c r="BD10" s="465">
        <v>0</v>
      </c>
      <c r="BE10" s="465">
        <v>0</v>
      </c>
      <c r="BF10" s="465">
        <v>-245732</v>
      </c>
      <c r="BG10" s="465">
        <v>0</v>
      </c>
      <c r="BH10" s="465">
        <v>0</v>
      </c>
      <c r="BI10" s="465">
        <v>0</v>
      </c>
      <c r="BJ10" s="465">
        <v>0</v>
      </c>
      <c r="BK10" s="465">
        <v>0</v>
      </c>
      <c r="BL10" s="465">
        <v>0</v>
      </c>
      <c r="BM10" s="465">
        <v>0</v>
      </c>
      <c r="BN10" s="465">
        <v>0</v>
      </c>
      <c r="BO10" s="465">
        <v>0</v>
      </c>
      <c r="BP10" s="465">
        <v>0</v>
      </c>
      <c r="BQ10" s="465">
        <v>0</v>
      </c>
      <c r="BR10" s="465">
        <v>0</v>
      </c>
      <c r="BS10" s="465">
        <v>0</v>
      </c>
      <c r="BT10" s="465">
        <v>0</v>
      </c>
      <c r="BU10" s="465">
        <v>0</v>
      </c>
      <c r="BV10" s="465">
        <v>0</v>
      </c>
      <c r="BW10" s="465">
        <v>0</v>
      </c>
      <c r="BX10" s="465">
        <v>0</v>
      </c>
      <c r="BY10" s="465">
        <v>0</v>
      </c>
      <c r="BZ10" s="465">
        <v>0</v>
      </c>
      <c r="CA10" s="465">
        <v>0</v>
      </c>
      <c r="CB10" s="465">
        <v>0</v>
      </c>
      <c r="CC10" s="465">
        <v>0</v>
      </c>
      <c r="CD10" s="465">
        <v>0</v>
      </c>
      <c r="CE10" s="465">
        <v>0</v>
      </c>
      <c r="CF10" s="465">
        <v>0</v>
      </c>
      <c r="CG10" s="465">
        <v>0</v>
      </c>
      <c r="CH10" s="465">
        <v>0</v>
      </c>
      <c r="CI10" s="465">
        <v>0</v>
      </c>
      <c r="CJ10" s="465">
        <v>0</v>
      </c>
      <c r="CK10" s="465">
        <v>0</v>
      </c>
      <c r="CL10" s="465">
        <v>0</v>
      </c>
      <c r="CM10" s="465">
        <v>0</v>
      </c>
      <c r="CN10" s="465">
        <v>0</v>
      </c>
      <c r="CO10" s="465">
        <v>0</v>
      </c>
      <c r="CP10" s="465">
        <v>770232</v>
      </c>
      <c r="CQ10" s="465">
        <v>720714</v>
      </c>
      <c r="CR10" s="465">
        <v>0</v>
      </c>
      <c r="CS10" s="465">
        <v>0</v>
      </c>
      <c r="CT10" s="465">
        <v>0</v>
      </c>
      <c r="CU10" s="465">
        <v>0</v>
      </c>
      <c r="CV10" s="465">
        <v>0</v>
      </c>
      <c r="CW10" s="465">
        <v>0</v>
      </c>
      <c r="CX10" s="465">
        <v>0</v>
      </c>
      <c r="CY10" s="465">
        <v>0</v>
      </c>
      <c r="CZ10" s="465">
        <v>0</v>
      </c>
      <c r="DA10" s="465">
        <v>0</v>
      </c>
      <c r="DB10" s="465">
        <v>0</v>
      </c>
      <c r="DC10" s="465">
        <v>0</v>
      </c>
      <c r="DD10" s="465">
        <v>0</v>
      </c>
      <c r="DE10" s="465">
        <v>0</v>
      </c>
      <c r="DF10" s="465">
        <v>0</v>
      </c>
      <c r="DG10" s="465">
        <v>0</v>
      </c>
      <c r="DH10" s="465">
        <v>0</v>
      </c>
      <c r="DI10" s="465">
        <v>0</v>
      </c>
      <c r="DJ10" s="465">
        <v>0</v>
      </c>
      <c r="DK10" s="465">
        <v>0</v>
      </c>
      <c r="DL10" s="465">
        <v>0</v>
      </c>
      <c r="DM10" s="465">
        <v>0</v>
      </c>
      <c r="DN10" s="465">
        <v>0</v>
      </c>
      <c r="DO10" s="465">
        <v>0</v>
      </c>
      <c r="DP10" s="465">
        <v>0</v>
      </c>
      <c r="DQ10" s="465">
        <v>-1200</v>
      </c>
      <c r="DR10" s="465">
        <v>0</v>
      </c>
      <c r="DS10" s="465">
        <v>0</v>
      </c>
      <c r="DT10" s="465">
        <v>0</v>
      </c>
      <c r="DU10" s="465">
        <v>0</v>
      </c>
      <c r="DV10" s="465">
        <v>0</v>
      </c>
      <c r="DW10" s="465">
        <v>0</v>
      </c>
      <c r="DX10" s="465">
        <v>0</v>
      </c>
      <c r="DY10" s="465">
        <v>0</v>
      </c>
      <c r="DZ10" s="465">
        <v>0</v>
      </c>
      <c r="EA10" s="465">
        <v>-1507</v>
      </c>
      <c r="EB10" s="465">
        <v>0</v>
      </c>
      <c r="EC10" s="465">
        <v>0</v>
      </c>
      <c r="ED10" s="465">
        <v>0</v>
      </c>
      <c r="EE10" s="465">
        <v>0</v>
      </c>
      <c r="EF10" s="465">
        <v>0</v>
      </c>
      <c r="EG10" s="465">
        <v>0</v>
      </c>
      <c r="EH10" s="465">
        <v>0</v>
      </c>
      <c r="EI10" s="465">
        <v>0</v>
      </c>
      <c r="EJ10" s="465">
        <v>0</v>
      </c>
      <c r="EK10" s="465">
        <v>0</v>
      </c>
      <c r="EL10" s="465">
        <v>0</v>
      </c>
      <c r="EM10" s="465">
        <v>0</v>
      </c>
      <c r="EN10" s="465">
        <v>0</v>
      </c>
      <c r="EO10" s="465">
        <v>0</v>
      </c>
      <c r="EP10" s="465">
        <v>0</v>
      </c>
      <c r="EQ10" s="465">
        <v>0</v>
      </c>
      <c r="ER10" s="465">
        <v>0</v>
      </c>
      <c r="ES10" s="465">
        <v>0</v>
      </c>
      <c r="ET10" s="465">
        <v>0</v>
      </c>
      <c r="EU10" s="465">
        <v>0</v>
      </c>
      <c r="EV10" s="465">
        <v>0</v>
      </c>
      <c r="EW10" s="465">
        <v>0</v>
      </c>
      <c r="EX10" s="465">
        <v>0</v>
      </c>
      <c r="EY10" s="465">
        <v>0</v>
      </c>
      <c r="EZ10" s="465">
        <v>0</v>
      </c>
      <c r="FA10" s="465">
        <v>0</v>
      </c>
      <c r="FB10" s="465">
        <v>0</v>
      </c>
      <c r="FC10" s="465">
        <v>0</v>
      </c>
      <c r="FD10" s="465">
        <v>0</v>
      </c>
      <c r="FE10" s="465">
        <v>0</v>
      </c>
      <c r="FF10" s="465">
        <v>0</v>
      </c>
      <c r="FG10" s="465">
        <v>0</v>
      </c>
      <c r="FH10" s="465">
        <v>0</v>
      </c>
      <c r="FI10" s="465">
        <v>0</v>
      </c>
      <c r="FJ10" s="465">
        <v>0</v>
      </c>
      <c r="FK10" s="465">
        <v>0</v>
      </c>
      <c r="FL10" s="465">
        <v>0</v>
      </c>
      <c r="FM10" s="465">
        <v>0</v>
      </c>
      <c r="FN10" s="465">
        <v>0</v>
      </c>
      <c r="FO10" s="465">
        <v>0</v>
      </c>
      <c r="FP10" s="465">
        <v>0</v>
      </c>
      <c r="FQ10" s="465">
        <v>0</v>
      </c>
      <c r="FR10" s="465">
        <v>0</v>
      </c>
      <c r="FS10" s="465">
        <v>0</v>
      </c>
      <c r="FT10" s="465">
        <v>0</v>
      </c>
      <c r="FU10" s="465">
        <v>0</v>
      </c>
      <c r="FV10" s="465">
        <v>0</v>
      </c>
      <c r="FW10" s="465">
        <v>0</v>
      </c>
      <c r="FX10" s="465">
        <v>0</v>
      </c>
      <c r="FY10" s="465">
        <v>0</v>
      </c>
      <c r="FZ10" s="465">
        <v>0</v>
      </c>
      <c r="GA10" s="465">
        <v>0</v>
      </c>
      <c r="GB10" s="465">
        <v>0</v>
      </c>
      <c r="GC10" s="465">
        <v>346459</v>
      </c>
      <c r="GD10" s="465">
        <v>0</v>
      </c>
      <c r="GE10" s="465">
        <v>0</v>
      </c>
      <c r="GF10" s="465">
        <v>0</v>
      </c>
      <c r="GG10" s="465">
        <v>0</v>
      </c>
      <c r="GH10" s="465">
        <v>0</v>
      </c>
      <c r="GI10" s="465">
        <v>0</v>
      </c>
      <c r="GJ10" s="465">
        <v>0</v>
      </c>
      <c r="GK10" s="465">
        <v>0</v>
      </c>
      <c r="GL10" s="465">
        <v>0</v>
      </c>
      <c r="GM10" s="465">
        <v>0</v>
      </c>
      <c r="GN10" s="465">
        <v>0</v>
      </c>
      <c r="GO10" s="465">
        <v>0</v>
      </c>
      <c r="GP10" s="465">
        <v>0</v>
      </c>
      <c r="GQ10" s="465">
        <v>0</v>
      </c>
      <c r="GR10" s="465">
        <v>0</v>
      </c>
      <c r="GS10" s="465">
        <v>0</v>
      </c>
      <c r="GT10" s="465">
        <v>0</v>
      </c>
      <c r="GU10" s="465">
        <v>0</v>
      </c>
      <c r="GV10" s="465">
        <v>0</v>
      </c>
      <c r="GW10" s="465">
        <v>0</v>
      </c>
      <c r="GX10" s="465">
        <v>0</v>
      </c>
      <c r="GY10" s="465">
        <v>0</v>
      </c>
      <c r="GZ10" s="465">
        <v>0</v>
      </c>
      <c r="HA10" s="465">
        <v>0</v>
      </c>
      <c r="HB10" s="465">
        <v>0</v>
      </c>
      <c r="HC10" s="465">
        <v>0</v>
      </c>
      <c r="HD10" s="465">
        <v>0</v>
      </c>
      <c r="HE10" s="465">
        <v>0</v>
      </c>
      <c r="HF10" s="465">
        <v>0</v>
      </c>
      <c r="HG10" s="465">
        <v>0</v>
      </c>
      <c r="HH10" s="465">
        <v>0</v>
      </c>
      <c r="HI10" s="465">
        <v>0</v>
      </c>
      <c r="HJ10" s="465">
        <v>0</v>
      </c>
      <c r="HK10" s="465">
        <v>0</v>
      </c>
      <c r="HL10" s="465">
        <v>0</v>
      </c>
      <c r="HM10" s="465">
        <v>-838</v>
      </c>
      <c r="HN10" s="465">
        <v>0</v>
      </c>
      <c r="HO10" s="465">
        <v>0</v>
      </c>
      <c r="HP10" s="465">
        <v>0</v>
      </c>
      <c r="HQ10" s="465">
        <v>0</v>
      </c>
      <c r="HR10" s="465">
        <v>0</v>
      </c>
      <c r="HS10" s="465">
        <v>0</v>
      </c>
      <c r="HT10" s="465">
        <v>0</v>
      </c>
      <c r="HU10" s="465">
        <v>0</v>
      </c>
      <c r="HV10" s="465">
        <v>0</v>
      </c>
      <c r="HW10" s="465">
        <v>0</v>
      </c>
      <c r="HX10" s="465">
        <v>0</v>
      </c>
      <c r="HY10" s="465">
        <v>0</v>
      </c>
      <c r="HZ10" s="465">
        <v>0</v>
      </c>
      <c r="IA10" s="465">
        <v>0</v>
      </c>
      <c r="IB10" s="465">
        <v>0</v>
      </c>
      <c r="IC10" s="465">
        <v>0</v>
      </c>
      <c r="ID10" s="465">
        <v>468024</v>
      </c>
      <c r="IE10" s="465">
        <v>110405429</v>
      </c>
      <c r="IF10" s="465">
        <v>0</v>
      </c>
      <c r="IG10" s="465">
        <v>196031648</v>
      </c>
      <c r="IH10" s="465">
        <v>0</v>
      </c>
      <c r="II10" s="465">
        <v>0</v>
      </c>
      <c r="IJ10" s="465">
        <v>0</v>
      </c>
      <c r="IK10" s="465">
        <v>0</v>
      </c>
      <c r="IL10" s="465">
        <v>0</v>
      </c>
      <c r="IM10" s="465">
        <v>0</v>
      </c>
      <c r="IN10" s="465">
        <v>446606991</v>
      </c>
      <c r="IO10" s="465">
        <v>0</v>
      </c>
      <c r="IP10" s="465">
        <v>0</v>
      </c>
      <c r="IQ10" s="465">
        <v>0</v>
      </c>
      <c r="IR10" s="465">
        <v>0</v>
      </c>
      <c r="IS10" s="465">
        <v>0</v>
      </c>
      <c r="IT10" s="465">
        <v>0</v>
      </c>
      <c r="IU10" s="465">
        <v>0</v>
      </c>
      <c r="IV10" s="465">
        <v>4849724589</v>
      </c>
      <c r="IW10" s="465">
        <v>0</v>
      </c>
      <c r="IX10" s="465">
        <v>0</v>
      </c>
      <c r="IY10" s="465">
        <v>0</v>
      </c>
      <c r="IZ10" s="465">
        <v>0</v>
      </c>
      <c r="JA10" s="465">
        <v>0</v>
      </c>
      <c r="JB10" s="465">
        <v>0</v>
      </c>
      <c r="JC10" s="465">
        <v>0</v>
      </c>
      <c r="JD10" s="465">
        <v>0</v>
      </c>
      <c r="JE10" s="465">
        <v>212999362</v>
      </c>
      <c r="JF10" s="465">
        <v>208236935</v>
      </c>
      <c r="JG10" s="465">
        <v>0</v>
      </c>
      <c r="JH10" s="465">
        <v>38610893</v>
      </c>
      <c r="JI10" s="465">
        <v>0</v>
      </c>
      <c r="JJ10" s="465">
        <v>119888</v>
      </c>
      <c r="JK10" s="465">
        <v>0</v>
      </c>
      <c r="JL10" s="465">
        <v>0</v>
      </c>
      <c r="JM10" s="465">
        <v>0</v>
      </c>
      <c r="JN10" s="465">
        <v>0</v>
      </c>
      <c r="JO10" s="465">
        <v>0</v>
      </c>
      <c r="JP10" s="465">
        <v>0</v>
      </c>
      <c r="JQ10" s="465">
        <v>0</v>
      </c>
      <c r="JR10" s="465">
        <v>0</v>
      </c>
      <c r="JS10" s="465">
        <v>0</v>
      </c>
      <c r="JT10" s="465">
        <v>0</v>
      </c>
      <c r="JU10" s="465">
        <v>0</v>
      </c>
      <c r="JV10" s="465">
        <v>0</v>
      </c>
      <c r="JW10" s="465">
        <v>0</v>
      </c>
      <c r="JX10" s="465">
        <v>85023716</v>
      </c>
      <c r="JY10" s="465">
        <v>0</v>
      </c>
      <c r="JZ10" s="465">
        <v>287350140</v>
      </c>
      <c r="KA10" s="465">
        <v>0</v>
      </c>
      <c r="KB10" s="465">
        <v>0</v>
      </c>
      <c r="KC10" s="465">
        <v>0</v>
      </c>
      <c r="KD10" s="465">
        <v>0</v>
      </c>
      <c r="KE10" s="465">
        <v>0</v>
      </c>
      <c r="KF10" s="465">
        <v>0</v>
      </c>
      <c r="KG10" s="465">
        <v>1604852</v>
      </c>
      <c r="KH10" s="465">
        <v>0</v>
      </c>
      <c r="KI10" s="465">
        <v>0</v>
      </c>
      <c r="KJ10" s="465">
        <v>0</v>
      </c>
      <c r="KK10" s="465">
        <v>0</v>
      </c>
      <c r="KL10" s="465">
        <v>0</v>
      </c>
      <c r="KM10" s="465">
        <v>0</v>
      </c>
      <c r="KN10" s="465">
        <v>0</v>
      </c>
      <c r="KO10" s="465">
        <v>0</v>
      </c>
      <c r="KP10" s="465">
        <v>0</v>
      </c>
      <c r="KQ10" s="465">
        <v>34980243</v>
      </c>
      <c r="KR10" s="465">
        <v>0</v>
      </c>
      <c r="KS10" s="465">
        <v>0</v>
      </c>
      <c r="KT10" s="465">
        <v>0</v>
      </c>
      <c r="KU10" s="465">
        <v>0</v>
      </c>
      <c r="KV10" s="465">
        <v>0</v>
      </c>
      <c r="KW10" s="465">
        <v>0</v>
      </c>
      <c r="KX10" s="465">
        <v>20558776</v>
      </c>
      <c r="KY10" s="465">
        <v>113158367</v>
      </c>
      <c r="KZ10" s="465">
        <v>0</v>
      </c>
      <c r="LA10" s="465">
        <v>3377024</v>
      </c>
      <c r="LB10" s="465">
        <v>0</v>
      </c>
      <c r="LC10" s="465">
        <v>0</v>
      </c>
      <c r="LD10" s="465">
        <v>0</v>
      </c>
      <c r="LE10" s="465">
        <v>0</v>
      </c>
      <c r="LF10" s="465">
        <v>1053616</v>
      </c>
      <c r="LG10" s="465">
        <v>95643594</v>
      </c>
      <c r="LH10" s="465">
        <v>2299006</v>
      </c>
      <c r="LI10" s="465">
        <v>0</v>
      </c>
      <c r="LJ10" s="465">
        <v>2001489</v>
      </c>
      <c r="LK10" s="465">
        <v>0</v>
      </c>
      <c r="LL10" s="465">
        <v>0</v>
      </c>
      <c r="LM10" s="465">
        <v>0</v>
      </c>
      <c r="LN10" s="465">
        <v>0</v>
      </c>
      <c r="LO10" s="465">
        <v>0</v>
      </c>
      <c r="LP10" s="465">
        <v>262748909</v>
      </c>
      <c r="LQ10" s="465">
        <v>129508549</v>
      </c>
      <c r="LR10" s="465">
        <v>0</v>
      </c>
      <c r="LS10" s="465">
        <v>551578944</v>
      </c>
      <c r="LT10" s="465">
        <v>0</v>
      </c>
      <c r="LU10" s="465">
        <v>0</v>
      </c>
      <c r="LV10" s="465">
        <v>0</v>
      </c>
      <c r="LW10" s="465">
        <v>0</v>
      </c>
      <c r="LX10" s="465">
        <v>0</v>
      </c>
      <c r="LY10" s="465">
        <v>10294879</v>
      </c>
      <c r="LZ10" s="465">
        <v>6443825</v>
      </c>
      <c r="MA10" s="465">
        <v>0</v>
      </c>
      <c r="MB10" s="465">
        <v>5685287</v>
      </c>
      <c r="MC10" s="465">
        <v>0</v>
      </c>
      <c r="MD10" s="465">
        <v>0</v>
      </c>
      <c r="ME10" s="465">
        <v>0</v>
      </c>
      <c r="MF10" s="465">
        <v>0</v>
      </c>
      <c r="MG10" s="465">
        <v>0</v>
      </c>
      <c r="MH10" s="465">
        <v>3163335472</v>
      </c>
      <c r="MI10" s="465">
        <v>597048095</v>
      </c>
      <c r="MJ10" s="465">
        <v>0</v>
      </c>
      <c r="MK10" s="465">
        <v>4100321</v>
      </c>
      <c r="ML10" s="465">
        <v>0</v>
      </c>
      <c r="MM10" s="465">
        <v>0</v>
      </c>
      <c r="MN10" s="465">
        <v>0</v>
      </c>
      <c r="MO10" s="465">
        <v>0</v>
      </c>
      <c r="MP10" s="465">
        <v>0</v>
      </c>
      <c r="MQ10" s="465">
        <v>199484889</v>
      </c>
      <c r="MR10" s="465">
        <v>1893284</v>
      </c>
      <c r="MS10" s="465">
        <v>0</v>
      </c>
      <c r="MT10" s="465">
        <v>319123</v>
      </c>
      <c r="MU10" s="465">
        <v>0</v>
      </c>
      <c r="MV10" s="465">
        <v>0</v>
      </c>
      <c r="MW10" s="465">
        <v>0</v>
      </c>
      <c r="MX10" s="465">
        <v>0</v>
      </c>
      <c r="MY10" s="465">
        <v>0</v>
      </c>
      <c r="MZ10" s="465">
        <v>842888</v>
      </c>
      <c r="NA10" s="465">
        <v>0</v>
      </c>
      <c r="NB10" s="465">
        <v>0</v>
      </c>
      <c r="NC10" s="465">
        <v>2592231</v>
      </c>
      <c r="ND10" s="465">
        <v>0</v>
      </c>
      <c r="NE10" s="465">
        <v>0</v>
      </c>
      <c r="NF10" s="465">
        <v>0</v>
      </c>
      <c r="NG10" s="465">
        <v>0</v>
      </c>
      <c r="NH10" s="465">
        <v>0</v>
      </c>
      <c r="NI10" s="465">
        <v>167318035</v>
      </c>
      <c r="NJ10" s="465">
        <v>22780144</v>
      </c>
      <c r="NK10" s="465">
        <v>0</v>
      </c>
      <c r="NL10" s="465">
        <v>3975590</v>
      </c>
      <c r="NM10" s="465">
        <v>0</v>
      </c>
      <c r="NN10" s="465">
        <v>0</v>
      </c>
      <c r="NO10" s="465">
        <v>0</v>
      </c>
      <c r="NP10" s="465">
        <v>0</v>
      </c>
      <c r="NQ10" s="465">
        <v>0</v>
      </c>
      <c r="NR10" s="465">
        <v>230348290</v>
      </c>
      <c r="NS10" s="465">
        <v>320532</v>
      </c>
      <c r="NT10" s="465">
        <v>0</v>
      </c>
      <c r="NU10" s="465">
        <v>32716</v>
      </c>
      <c r="NV10" s="465">
        <v>0</v>
      </c>
      <c r="NW10" s="465">
        <v>0</v>
      </c>
      <c r="NX10" s="465">
        <v>0</v>
      </c>
      <c r="NY10" s="465">
        <v>0</v>
      </c>
      <c r="NZ10" s="465">
        <v>0</v>
      </c>
      <c r="OA10" s="465">
        <v>54310</v>
      </c>
      <c r="OB10" s="465">
        <v>947372</v>
      </c>
      <c r="OC10" s="465">
        <v>0</v>
      </c>
      <c r="OD10" s="465">
        <v>1718838</v>
      </c>
      <c r="OE10" s="465">
        <v>0</v>
      </c>
      <c r="OF10" s="465">
        <v>0</v>
      </c>
      <c r="OG10" s="465">
        <v>0</v>
      </c>
      <c r="OH10" s="465">
        <v>0</v>
      </c>
      <c r="OI10" s="465">
        <v>0</v>
      </c>
      <c r="OJ10" s="465">
        <v>0</v>
      </c>
      <c r="OK10" s="465">
        <v>0</v>
      </c>
      <c r="OL10" s="465">
        <v>18756979</v>
      </c>
      <c r="OM10" s="465">
        <v>0</v>
      </c>
      <c r="ON10" s="465">
        <v>0</v>
      </c>
      <c r="OO10" s="465">
        <v>0</v>
      </c>
      <c r="OP10" s="465">
        <v>0</v>
      </c>
      <c r="OQ10" s="465">
        <v>0</v>
      </c>
      <c r="OR10" s="465">
        <v>0</v>
      </c>
      <c r="OS10" s="465">
        <v>69900490</v>
      </c>
      <c r="OT10" s="465">
        <v>13219847</v>
      </c>
      <c r="OU10" s="465">
        <v>60619</v>
      </c>
      <c r="OV10" s="465">
        <v>5358750</v>
      </c>
      <c r="OW10" s="465">
        <v>0</v>
      </c>
      <c r="OX10" s="465">
        <v>0</v>
      </c>
      <c r="OY10" s="465">
        <v>0</v>
      </c>
      <c r="OZ10" s="465">
        <v>0</v>
      </c>
      <c r="PA10" s="465">
        <v>0</v>
      </c>
      <c r="PB10" s="465">
        <v>2036838</v>
      </c>
      <c r="PC10" s="465">
        <v>142970</v>
      </c>
      <c r="PD10" s="465">
        <v>0</v>
      </c>
      <c r="PE10" s="465">
        <v>121</v>
      </c>
      <c r="PF10" s="465">
        <v>0</v>
      </c>
      <c r="PG10" s="465">
        <v>0</v>
      </c>
      <c r="PH10" s="465">
        <v>0</v>
      </c>
      <c r="PI10" s="465">
        <v>0</v>
      </c>
      <c r="PJ10" s="465">
        <v>0</v>
      </c>
      <c r="PK10" s="465">
        <v>0</v>
      </c>
      <c r="PL10" s="465">
        <v>0</v>
      </c>
      <c r="PM10" s="465">
        <v>0</v>
      </c>
      <c r="PN10" s="465">
        <v>0</v>
      </c>
      <c r="PO10" s="465">
        <v>0</v>
      </c>
      <c r="PP10" s="465">
        <v>0</v>
      </c>
      <c r="PQ10" s="465">
        <v>-230791528</v>
      </c>
      <c r="PR10" s="465">
        <v>0</v>
      </c>
      <c r="PS10" s="465">
        <v>0</v>
      </c>
      <c r="PT10" s="465">
        <v>-650935488</v>
      </c>
      <c r="PU10" s="465">
        <v>-8280647</v>
      </c>
      <c r="PV10" s="465">
        <v>-32984</v>
      </c>
      <c r="PW10" s="465">
        <v>812940</v>
      </c>
      <c r="PX10" s="465">
        <v>0</v>
      </c>
      <c r="PY10" s="465">
        <v>8521448</v>
      </c>
      <c r="PZ10" s="465">
        <v>652761186</v>
      </c>
      <c r="QA10" s="465">
        <v>0</v>
      </c>
      <c r="QB10" s="465">
        <v>23979651</v>
      </c>
      <c r="QC10" s="465">
        <v>0</v>
      </c>
      <c r="QD10" s="465">
        <v>0</v>
      </c>
      <c r="QE10" s="465">
        <v>0</v>
      </c>
      <c r="QF10" s="465">
        <v>0</v>
      </c>
      <c r="QG10" s="465">
        <v>0</v>
      </c>
      <c r="QH10" s="465">
        <v>0</v>
      </c>
      <c r="QI10" s="465">
        <v>13354003</v>
      </c>
      <c r="QJ10" s="465">
        <v>0</v>
      </c>
      <c r="QK10" s="465">
        <v>0</v>
      </c>
      <c r="QL10" s="465">
        <v>-142106572</v>
      </c>
      <c r="QM10" s="465">
        <v>0</v>
      </c>
      <c r="QN10" s="465">
        <v>-8309479</v>
      </c>
      <c r="QO10" s="465">
        <v>0</v>
      </c>
      <c r="QP10" s="465">
        <v>0</v>
      </c>
      <c r="QQ10" s="465">
        <v>0</v>
      </c>
      <c r="QR10" s="465">
        <v>0</v>
      </c>
      <c r="QS10" s="465">
        <v>0</v>
      </c>
      <c r="QT10" s="465">
        <v>0</v>
      </c>
      <c r="QU10" s="465">
        <v>-767463283</v>
      </c>
      <c r="QV10" s="465">
        <v>-187465697</v>
      </c>
      <c r="QW10" s="465">
        <v>0</v>
      </c>
      <c r="QX10" s="465">
        <v>0</v>
      </c>
      <c r="QY10" s="465">
        <v>0</v>
      </c>
      <c r="QZ10" s="465">
        <v>-194242703</v>
      </c>
      <c r="RA10" s="465">
        <v>0</v>
      </c>
      <c r="RB10" s="465">
        <v>0</v>
      </c>
      <c r="RC10" s="465">
        <v>0</v>
      </c>
      <c r="RD10" s="465">
        <v>0</v>
      </c>
      <c r="RE10" s="465">
        <v>0</v>
      </c>
      <c r="RF10" s="465">
        <v>0</v>
      </c>
      <c r="RG10" s="465">
        <v>-586811</v>
      </c>
      <c r="RH10" s="465">
        <v>0</v>
      </c>
      <c r="RI10" s="465">
        <v>19892460</v>
      </c>
      <c r="RJ10" s="465">
        <v>0</v>
      </c>
      <c r="RK10" s="465">
        <v>0</v>
      </c>
      <c r="RL10" s="465">
        <v>0</v>
      </c>
      <c r="RM10" s="465">
        <v>-367129</v>
      </c>
      <c r="RN10" s="465">
        <v>0</v>
      </c>
      <c r="RO10" s="465">
        <v>0</v>
      </c>
      <c r="RP10" s="465">
        <v>0</v>
      </c>
      <c r="RQ10" s="465">
        <v>0</v>
      </c>
      <c r="RR10" s="465">
        <v>0</v>
      </c>
      <c r="RS10" s="465">
        <v>0</v>
      </c>
      <c r="RT10" s="465">
        <v>0</v>
      </c>
      <c r="RU10" s="465">
        <v>-371948473</v>
      </c>
      <c r="RV10" s="465">
        <v>0</v>
      </c>
      <c r="RW10" s="465">
        <v>0</v>
      </c>
      <c r="RX10" s="465">
        <v>0</v>
      </c>
      <c r="RY10" s="465">
        <v>0</v>
      </c>
      <c r="RZ10" s="465">
        <v>0</v>
      </c>
      <c r="SA10" s="465">
        <v>0</v>
      </c>
      <c r="SB10" s="465">
        <v>0</v>
      </c>
      <c r="SC10" s="465">
        <v>0</v>
      </c>
      <c r="SD10" s="465">
        <v>0</v>
      </c>
      <c r="SE10" s="465">
        <v>0</v>
      </c>
      <c r="SF10" s="465">
        <v>0</v>
      </c>
      <c r="SG10" s="465">
        <v>0</v>
      </c>
      <c r="SH10" s="465">
        <v>0</v>
      </c>
      <c r="SI10" s="465">
        <v>0</v>
      </c>
      <c r="SJ10" s="465">
        <v>0</v>
      </c>
      <c r="SK10" s="465">
        <v>0</v>
      </c>
      <c r="SL10" s="465">
        <v>0</v>
      </c>
      <c r="SM10" s="465">
        <v>0</v>
      </c>
      <c r="SN10" s="465">
        <v>0</v>
      </c>
      <c r="SO10" s="465">
        <v>0</v>
      </c>
      <c r="SP10" s="465">
        <v>0</v>
      </c>
      <c r="SQ10" s="465">
        <v>0</v>
      </c>
      <c r="SR10" s="465">
        <v>0</v>
      </c>
      <c r="SS10" s="465">
        <v>0</v>
      </c>
      <c r="ST10" s="465">
        <v>0</v>
      </c>
      <c r="SU10" s="465">
        <v>0</v>
      </c>
      <c r="SV10" s="465">
        <v>38738</v>
      </c>
      <c r="SW10" s="465">
        <v>0</v>
      </c>
      <c r="SX10" s="465">
        <v>0</v>
      </c>
      <c r="SY10" s="465">
        <v>0</v>
      </c>
      <c r="SZ10" s="465">
        <v>0</v>
      </c>
      <c r="TA10" s="465">
        <v>0</v>
      </c>
      <c r="TB10" s="465">
        <v>0</v>
      </c>
      <c r="TC10" s="465">
        <v>0</v>
      </c>
      <c r="TD10" s="465">
        <v>0</v>
      </c>
      <c r="TE10" s="465">
        <v>319331235</v>
      </c>
      <c r="TF10" s="465">
        <v>-222842941</v>
      </c>
      <c r="TG10" s="465">
        <v>0</v>
      </c>
      <c r="TH10" s="465">
        <v>0</v>
      </c>
      <c r="TI10" s="465">
        <v>1837405</v>
      </c>
      <c r="TJ10" s="465">
        <v>-3545</v>
      </c>
      <c r="TK10" s="465">
        <v>484641</v>
      </c>
      <c r="TL10" s="465">
        <v>22831058</v>
      </c>
      <c r="TM10" s="465">
        <v>0</v>
      </c>
      <c r="TN10" s="465">
        <v>46675818</v>
      </c>
      <c r="TO10" s="465">
        <v>0</v>
      </c>
      <c r="TP10" s="465">
        <v>169365</v>
      </c>
      <c r="TQ10" s="465">
        <v>17456239</v>
      </c>
      <c r="TR10" s="465">
        <v>749456</v>
      </c>
      <c r="TS10" s="465">
        <v>112510</v>
      </c>
      <c r="TT10" s="465">
        <v>60619</v>
      </c>
      <c r="TU10" s="465">
        <v>0</v>
      </c>
      <c r="TV10" s="465">
        <v>4902178</v>
      </c>
      <c r="TW10" s="465">
        <v>0</v>
      </c>
      <c r="TX10" s="465">
        <v>0</v>
      </c>
      <c r="TY10" s="465">
        <v>0</v>
      </c>
      <c r="TZ10" s="465">
        <v>0</v>
      </c>
      <c r="UA10" s="465">
        <v>0</v>
      </c>
      <c r="UB10" s="465">
        <v>0</v>
      </c>
      <c r="UC10" s="465">
        <v>0</v>
      </c>
      <c r="UD10" s="465">
        <v>0</v>
      </c>
      <c r="UE10" s="465">
        <v>1816573</v>
      </c>
      <c r="UF10" s="465">
        <v>0</v>
      </c>
      <c r="UG10" s="465">
        <v>0</v>
      </c>
      <c r="UH10" s="465">
        <v>0</v>
      </c>
      <c r="UI10" s="465">
        <v>0</v>
      </c>
      <c r="UJ10" s="465">
        <v>0</v>
      </c>
      <c r="UK10" s="465">
        <v>0</v>
      </c>
      <c r="UL10" s="465">
        <v>0</v>
      </c>
      <c r="UM10" s="465">
        <v>10257634965</v>
      </c>
      <c r="UN10" s="465">
        <v>5407910376</v>
      </c>
      <c r="UO10" s="465">
        <v>99944089</v>
      </c>
      <c r="UP10" s="465">
        <v>943836402</v>
      </c>
      <c r="UQ10" s="465">
        <v>22423991</v>
      </c>
      <c r="UR10" s="465">
        <v>3764483888</v>
      </c>
      <c r="US10" s="465">
        <v>201697296</v>
      </c>
      <c r="UT10" s="465">
        <v>3435119</v>
      </c>
      <c r="UU10" s="465">
        <v>194073769</v>
      </c>
      <c r="UV10" s="465">
        <v>230701538</v>
      </c>
      <c r="UW10" s="465">
        <v>2720520</v>
      </c>
      <c r="UX10" s="465">
        <v>18756979</v>
      </c>
      <c r="UY10" s="465">
        <v>0</v>
      </c>
      <c r="UZ10" s="465">
        <v>0</v>
      </c>
      <c r="VA10" s="465">
        <v>0</v>
      </c>
      <c r="VB10" s="465">
        <v>0</v>
      </c>
      <c r="VC10" s="465" t="s">
        <v>1584</v>
      </c>
      <c r="VD10" s="465" t="s">
        <v>1585</v>
      </c>
      <c r="VE10" s="465" t="s">
        <v>1586</v>
      </c>
    </row>
    <row r="11" spans="1:577" s="331" customFormat="1" ht="30.6" thickBot="1">
      <c r="A11" s="325">
        <v>440</v>
      </c>
      <c r="B11" s="326" t="s">
        <v>24</v>
      </c>
      <c r="C11" s="327" t="s">
        <v>1587</v>
      </c>
      <c r="D11" s="331" t="s">
        <v>428</v>
      </c>
      <c r="E11" s="466">
        <v>42439</v>
      </c>
      <c r="F11" s="464">
        <v>1963231991</v>
      </c>
      <c r="G11" s="329" t="s">
        <v>1572</v>
      </c>
      <c r="H11" s="331" t="s">
        <v>24</v>
      </c>
      <c r="M11" s="465">
        <v>55239453</v>
      </c>
      <c r="N11" s="465">
        <v>0</v>
      </c>
      <c r="O11" s="465">
        <v>0</v>
      </c>
      <c r="P11" s="465">
        <v>0</v>
      </c>
      <c r="Q11" s="465">
        <v>0</v>
      </c>
      <c r="R11" s="465">
        <v>0</v>
      </c>
      <c r="S11" s="465">
        <v>0</v>
      </c>
      <c r="T11" s="465">
        <v>0</v>
      </c>
      <c r="U11" s="465">
        <v>0</v>
      </c>
      <c r="V11" s="465">
        <v>0</v>
      </c>
      <c r="W11" s="465">
        <v>80176</v>
      </c>
      <c r="X11" s="465">
        <v>0</v>
      </c>
      <c r="Y11" s="465">
        <v>6465306</v>
      </c>
      <c r="Z11" s="465">
        <v>0</v>
      </c>
      <c r="AA11" s="465">
        <v>0</v>
      </c>
      <c r="AB11" s="465">
        <v>0</v>
      </c>
      <c r="AC11" s="465">
        <v>0</v>
      </c>
      <c r="AD11" s="465">
        <v>0</v>
      </c>
      <c r="AE11" s="465">
        <v>0</v>
      </c>
      <c r="AF11" s="465">
        <v>0</v>
      </c>
      <c r="AG11" s="465">
        <v>0</v>
      </c>
      <c r="AH11" s="465">
        <v>0</v>
      </c>
      <c r="AI11" s="465">
        <v>0</v>
      </c>
      <c r="AJ11" s="465">
        <v>0</v>
      </c>
      <c r="AK11" s="465">
        <v>0</v>
      </c>
      <c r="AL11" s="465">
        <v>0</v>
      </c>
      <c r="AM11" s="465">
        <v>0</v>
      </c>
      <c r="AN11" s="465">
        <v>0</v>
      </c>
      <c r="AO11" s="465">
        <v>0</v>
      </c>
      <c r="AP11" s="465">
        <v>0</v>
      </c>
      <c r="AQ11" s="465">
        <v>0</v>
      </c>
      <c r="AR11" s="465">
        <v>0</v>
      </c>
      <c r="AS11" s="465">
        <v>0</v>
      </c>
      <c r="AT11" s="465">
        <v>0</v>
      </c>
      <c r="AU11" s="465">
        <v>0</v>
      </c>
      <c r="AV11" s="465">
        <v>0</v>
      </c>
      <c r="AW11" s="465">
        <v>0</v>
      </c>
      <c r="AX11" s="465">
        <v>0</v>
      </c>
      <c r="AY11" s="465">
        <v>0</v>
      </c>
      <c r="AZ11" s="465">
        <v>0</v>
      </c>
      <c r="BA11" s="465">
        <v>0</v>
      </c>
      <c r="BB11" s="465">
        <v>0</v>
      </c>
      <c r="BC11" s="465">
        <v>0</v>
      </c>
      <c r="BD11" s="465">
        <v>0</v>
      </c>
      <c r="BE11" s="465">
        <v>0</v>
      </c>
      <c r="BF11" s="465">
        <v>0</v>
      </c>
      <c r="BG11" s="465">
        <v>0</v>
      </c>
      <c r="BH11" s="465">
        <v>0</v>
      </c>
      <c r="BI11" s="465">
        <v>0</v>
      </c>
      <c r="BJ11" s="465">
        <v>0</v>
      </c>
      <c r="BK11" s="465">
        <v>0</v>
      </c>
      <c r="BL11" s="465">
        <v>0</v>
      </c>
      <c r="BM11" s="465">
        <v>0</v>
      </c>
      <c r="BN11" s="465">
        <v>0</v>
      </c>
      <c r="BO11" s="465">
        <v>0</v>
      </c>
      <c r="BP11" s="465">
        <v>0</v>
      </c>
      <c r="BQ11" s="465">
        <v>0</v>
      </c>
      <c r="BR11" s="465">
        <v>0</v>
      </c>
      <c r="BS11" s="465">
        <v>0</v>
      </c>
      <c r="BT11" s="465">
        <v>0</v>
      </c>
      <c r="BU11" s="465">
        <v>0</v>
      </c>
      <c r="BV11" s="465">
        <v>0</v>
      </c>
      <c r="BW11" s="465">
        <v>0</v>
      </c>
      <c r="BX11" s="465">
        <v>0</v>
      </c>
      <c r="BY11" s="465">
        <v>0</v>
      </c>
      <c r="BZ11" s="465">
        <v>0</v>
      </c>
      <c r="CA11" s="465">
        <v>0</v>
      </c>
      <c r="CB11" s="465">
        <v>0</v>
      </c>
      <c r="CC11" s="465">
        <v>0</v>
      </c>
      <c r="CD11" s="465">
        <v>0</v>
      </c>
      <c r="CE11" s="465">
        <v>0</v>
      </c>
      <c r="CF11" s="465">
        <v>0</v>
      </c>
      <c r="CG11" s="465">
        <v>0</v>
      </c>
      <c r="CH11" s="465">
        <v>0</v>
      </c>
      <c r="CI11" s="465">
        <v>0</v>
      </c>
      <c r="CJ11" s="465">
        <v>0</v>
      </c>
      <c r="CK11" s="465">
        <v>0</v>
      </c>
      <c r="CL11" s="465">
        <v>0</v>
      </c>
      <c r="CM11" s="465">
        <v>0</v>
      </c>
      <c r="CN11" s="465">
        <v>0</v>
      </c>
      <c r="CO11" s="465">
        <v>0</v>
      </c>
      <c r="CP11" s="465">
        <v>236720</v>
      </c>
      <c r="CQ11" s="465">
        <v>311490</v>
      </c>
      <c r="CR11" s="465">
        <v>0</v>
      </c>
      <c r="CS11" s="465">
        <v>0</v>
      </c>
      <c r="CT11" s="465">
        <v>0</v>
      </c>
      <c r="CU11" s="465">
        <v>0</v>
      </c>
      <c r="CV11" s="465">
        <v>0</v>
      </c>
      <c r="CW11" s="465">
        <v>0</v>
      </c>
      <c r="CX11" s="465">
        <v>0</v>
      </c>
      <c r="CY11" s="465">
        <v>0</v>
      </c>
      <c r="CZ11" s="465">
        <v>0</v>
      </c>
      <c r="DA11" s="465">
        <v>0</v>
      </c>
      <c r="DB11" s="465">
        <v>0</v>
      </c>
      <c r="DC11" s="465">
        <v>0</v>
      </c>
      <c r="DD11" s="465">
        <v>0</v>
      </c>
      <c r="DE11" s="465">
        <v>0</v>
      </c>
      <c r="DF11" s="465">
        <v>0</v>
      </c>
      <c r="DG11" s="465">
        <v>0</v>
      </c>
      <c r="DH11" s="465">
        <v>0</v>
      </c>
      <c r="DI11" s="465">
        <v>0</v>
      </c>
      <c r="DJ11" s="465">
        <v>0</v>
      </c>
      <c r="DK11" s="465">
        <v>0</v>
      </c>
      <c r="DL11" s="465">
        <v>0</v>
      </c>
      <c r="DM11" s="465">
        <v>0</v>
      </c>
      <c r="DN11" s="465">
        <v>0</v>
      </c>
      <c r="DO11" s="465">
        <v>0</v>
      </c>
      <c r="DP11" s="465">
        <v>0</v>
      </c>
      <c r="DQ11" s="465">
        <v>0</v>
      </c>
      <c r="DR11" s="465">
        <v>0</v>
      </c>
      <c r="DS11" s="465">
        <v>0</v>
      </c>
      <c r="DT11" s="465">
        <v>0</v>
      </c>
      <c r="DU11" s="465">
        <v>0</v>
      </c>
      <c r="DV11" s="465">
        <v>0</v>
      </c>
      <c r="DW11" s="465">
        <v>0</v>
      </c>
      <c r="DX11" s="465">
        <v>0</v>
      </c>
      <c r="DY11" s="465">
        <v>0</v>
      </c>
      <c r="DZ11" s="465">
        <v>0</v>
      </c>
      <c r="EA11" s="465">
        <v>0</v>
      </c>
      <c r="EB11" s="465">
        <v>0</v>
      </c>
      <c r="EC11" s="465">
        <v>0</v>
      </c>
      <c r="ED11" s="465">
        <v>0</v>
      </c>
      <c r="EE11" s="465">
        <v>0</v>
      </c>
      <c r="EF11" s="465">
        <v>0</v>
      </c>
      <c r="EG11" s="465">
        <v>0</v>
      </c>
      <c r="EH11" s="465">
        <v>0</v>
      </c>
      <c r="EI11" s="465">
        <v>0</v>
      </c>
      <c r="EJ11" s="465">
        <v>0</v>
      </c>
      <c r="EK11" s="465">
        <v>0</v>
      </c>
      <c r="EL11" s="465">
        <v>0</v>
      </c>
      <c r="EM11" s="465">
        <v>0</v>
      </c>
      <c r="EN11" s="465">
        <v>0</v>
      </c>
      <c r="EO11" s="465">
        <v>0</v>
      </c>
      <c r="EP11" s="465">
        <v>0</v>
      </c>
      <c r="EQ11" s="465">
        <v>0</v>
      </c>
      <c r="ER11" s="465">
        <v>0</v>
      </c>
      <c r="ES11" s="465">
        <v>0</v>
      </c>
      <c r="ET11" s="465">
        <v>0</v>
      </c>
      <c r="EU11" s="465">
        <v>0</v>
      </c>
      <c r="EV11" s="465">
        <v>0</v>
      </c>
      <c r="EW11" s="465">
        <v>0</v>
      </c>
      <c r="EX11" s="465">
        <v>0</v>
      </c>
      <c r="EY11" s="465">
        <v>0</v>
      </c>
      <c r="EZ11" s="465">
        <v>0</v>
      </c>
      <c r="FA11" s="465">
        <v>0</v>
      </c>
      <c r="FB11" s="465">
        <v>0</v>
      </c>
      <c r="FC11" s="465">
        <v>0</v>
      </c>
      <c r="FD11" s="465">
        <v>0</v>
      </c>
      <c r="FE11" s="465">
        <v>0</v>
      </c>
      <c r="FF11" s="465">
        <v>0</v>
      </c>
      <c r="FG11" s="465">
        <v>0</v>
      </c>
      <c r="FH11" s="465">
        <v>0</v>
      </c>
      <c r="FI11" s="465">
        <v>0</v>
      </c>
      <c r="FJ11" s="465">
        <v>0</v>
      </c>
      <c r="FK11" s="465">
        <v>0</v>
      </c>
      <c r="FL11" s="465">
        <v>0</v>
      </c>
      <c r="FM11" s="465">
        <v>0</v>
      </c>
      <c r="FN11" s="465">
        <v>0</v>
      </c>
      <c r="FO11" s="465">
        <v>0</v>
      </c>
      <c r="FP11" s="465">
        <v>0</v>
      </c>
      <c r="FQ11" s="465">
        <v>0</v>
      </c>
      <c r="FR11" s="465">
        <v>0</v>
      </c>
      <c r="FS11" s="465">
        <v>0</v>
      </c>
      <c r="FT11" s="465">
        <v>0</v>
      </c>
      <c r="FU11" s="465">
        <v>0</v>
      </c>
      <c r="FV11" s="465">
        <v>0</v>
      </c>
      <c r="FW11" s="465">
        <v>0</v>
      </c>
      <c r="FX11" s="465">
        <v>0</v>
      </c>
      <c r="FY11" s="465">
        <v>0</v>
      </c>
      <c r="FZ11" s="465">
        <v>0</v>
      </c>
      <c r="GA11" s="465">
        <v>0</v>
      </c>
      <c r="GB11" s="465">
        <v>1350</v>
      </c>
      <c r="GC11" s="465">
        <v>95752</v>
      </c>
      <c r="GD11" s="465">
        <v>0</v>
      </c>
      <c r="GE11" s="465">
        <v>0</v>
      </c>
      <c r="GF11" s="465">
        <v>0</v>
      </c>
      <c r="GG11" s="465">
        <v>0</v>
      </c>
      <c r="GH11" s="465">
        <v>0</v>
      </c>
      <c r="GI11" s="465">
        <v>0</v>
      </c>
      <c r="GJ11" s="465">
        <v>0</v>
      </c>
      <c r="GK11" s="465">
        <v>0</v>
      </c>
      <c r="GL11" s="465">
        <v>0</v>
      </c>
      <c r="GM11" s="465">
        <v>0</v>
      </c>
      <c r="GN11" s="465">
        <v>0</v>
      </c>
      <c r="GO11" s="465">
        <v>0</v>
      </c>
      <c r="GP11" s="465">
        <v>0</v>
      </c>
      <c r="GQ11" s="465">
        <v>0</v>
      </c>
      <c r="GR11" s="465">
        <v>0</v>
      </c>
      <c r="GS11" s="465">
        <v>0</v>
      </c>
      <c r="GT11" s="465">
        <v>0</v>
      </c>
      <c r="GU11" s="465">
        <v>0</v>
      </c>
      <c r="GV11" s="465">
        <v>0</v>
      </c>
      <c r="GW11" s="465">
        <v>0</v>
      </c>
      <c r="GX11" s="465">
        <v>0</v>
      </c>
      <c r="GY11" s="465">
        <v>0</v>
      </c>
      <c r="GZ11" s="465">
        <v>0</v>
      </c>
      <c r="HA11" s="465">
        <v>0</v>
      </c>
      <c r="HB11" s="465">
        <v>0</v>
      </c>
      <c r="HC11" s="465">
        <v>0</v>
      </c>
      <c r="HD11" s="465">
        <v>0</v>
      </c>
      <c r="HE11" s="465">
        <v>0</v>
      </c>
      <c r="HF11" s="465">
        <v>0</v>
      </c>
      <c r="HG11" s="465">
        <v>0</v>
      </c>
      <c r="HH11" s="465">
        <v>0</v>
      </c>
      <c r="HI11" s="465">
        <v>0</v>
      </c>
      <c r="HJ11" s="465">
        <v>0</v>
      </c>
      <c r="HK11" s="465">
        <v>0</v>
      </c>
      <c r="HL11" s="465">
        <v>0</v>
      </c>
      <c r="HM11" s="465">
        <v>0</v>
      </c>
      <c r="HN11" s="465">
        <v>0</v>
      </c>
      <c r="HO11" s="465">
        <v>0</v>
      </c>
      <c r="HP11" s="465">
        <v>0</v>
      </c>
      <c r="HQ11" s="465">
        <v>0</v>
      </c>
      <c r="HR11" s="465">
        <v>0</v>
      </c>
      <c r="HS11" s="465">
        <v>0</v>
      </c>
      <c r="HT11" s="465">
        <v>0</v>
      </c>
      <c r="HU11" s="465">
        <v>0</v>
      </c>
      <c r="HV11" s="465">
        <v>0</v>
      </c>
      <c r="HW11" s="465">
        <v>0</v>
      </c>
      <c r="HX11" s="465">
        <v>0</v>
      </c>
      <c r="HY11" s="465">
        <v>0</v>
      </c>
      <c r="HZ11" s="465">
        <v>0</v>
      </c>
      <c r="IA11" s="465">
        <v>0</v>
      </c>
      <c r="IB11" s="465">
        <v>0</v>
      </c>
      <c r="IC11" s="465">
        <v>0</v>
      </c>
      <c r="ID11" s="465">
        <v>0</v>
      </c>
      <c r="IE11" s="465">
        <v>3005076</v>
      </c>
      <c r="IF11" s="465">
        <v>0</v>
      </c>
      <c r="IG11" s="465">
        <v>18485420</v>
      </c>
      <c r="IH11" s="465">
        <v>0</v>
      </c>
      <c r="II11" s="465">
        <v>0</v>
      </c>
      <c r="IJ11" s="465">
        <v>0</v>
      </c>
      <c r="IK11" s="465">
        <v>0</v>
      </c>
      <c r="IL11" s="465">
        <v>0</v>
      </c>
      <c r="IM11" s="465">
        <v>0</v>
      </c>
      <c r="IN11" s="465">
        <v>19660488</v>
      </c>
      <c r="IO11" s="465">
        <v>0</v>
      </c>
      <c r="IP11" s="465">
        <v>0</v>
      </c>
      <c r="IQ11" s="465">
        <v>0</v>
      </c>
      <c r="IR11" s="465">
        <v>0</v>
      </c>
      <c r="IS11" s="465">
        <v>0</v>
      </c>
      <c r="IT11" s="465">
        <v>0</v>
      </c>
      <c r="IU11" s="465">
        <v>0</v>
      </c>
      <c r="IV11" s="465">
        <v>154142258</v>
      </c>
      <c r="IW11" s="465">
        <v>0</v>
      </c>
      <c r="IX11" s="465">
        <v>0</v>
      </c>
      <c r="IY11" s="465">
        <v>0</v>
      </c>
      <c r="IZ11" s="465">
        <v>0</v>
      </c>
      <c r="JA11" s="465">
        <v>0</v>
      </c>
      <c r="JB11" s="465">
        <v>0</v>
      </c>
      <c r="JC11" s="465">
        <v>0</v>
      </c>
      <c r="JD11" s="465">
        <v>0</v>
      </c>
      <c r="JE11" s="465">
        <v>58673</v>
      </c>
      <c r="JF11" s="465">
        <v>3160485</v>
      </c>
      <c r="JG11" s="465">
        <v>0</v>
      </c>
      <c r="JH11" s="465">
        <v>1111130</v>
      </c>
      <c r="JI11" s="465">
        <v>0</v>
      </c>
      <c r="JJ11" s="465">
        <v>2079</v>
      </c>
      <c r="JK11" s="465">
        <v>0</v>
      </c>
      <c r="JL11" s="465">
        <v>0</v>
      </c>
      <c r="JM11" s="465">
        <v>0</v>
      </c>
      <c r="JN11" s="465">
        <v>0</v>
      </c>
      <c r="JO11" s="465">
        <v>0</v>
      </c>
      <c r="JP11" s="465">
        <v>0</v>
      </c>
      <c r="JQ11" s="465">
        <v>0</v>
      </c>
      <c r="JR11" s="465">
        <v>0</v>
      </c>
      <c r="JS11" s="465">
        <v>0</v>
      </c>
      <c r="JT11" s="465">
        <v>0</v>
      </c>
      <c r="JU11" s="465">
        <v>0</v>
      </c>
      <c r="JV11" s="465">
        <v>0</v>
      </c>
      <c r="JW11" s="465">
        <v>478065</v>
      </c>
      <c r="JX11" s="465">
        <v>62487499</v>
      </c>
      <c r="JY11" s="465">
        <v>0</v>
      </c>
      <c r="JZ11" s="465">
        <v>13246550</v>
      </c>
      <c r="KA11" s="465">
        <v>0</v>
      </c>
      <c r="KB11" s="465">
        <v>0</v>
      </c>
      <c r="KC11" s="465">
        <v>-9856</v>
      </c>
      <c r="KD11" s="465">
        <v>0</v>
      </c>
      <c r="KE11" s="465">
        <v>0</v>
      </c>
      <c r="KF11" s="465">
        <v>3505273</v>
      </c>
      <c r="KG11" s="465">
        <v>3802618</v>
      </c>
      <c r="KH11" s="465">
        <v>0</v>
      </c>
      <c r="KI11" s="465">
        <v>2500</v>
      </c>
      <c r="KJ11" s="465">
        <v>0</v>
      </c>
      <c r="KK11" s="465">
        <v>0</v>
      </c>
      <c r="KL11" s="465">
        <v>0</v>
      </c>
      <c r="KM11" s="465">
        <v>0</v>
      </c>
      <c r="KN11" s="465">
        <v>0</v>
      </c>
      <c r="KO11" s="465">
        <v>0</v>
      </c>
      <c r="KP11" s="465">
        <v>0</v>
      </c>
      <c r="KQ11" s="465">
        <v>136714</v>
      </c>
      <c r="KR11" s="465">
        <v>0</v>
      </c>
      <c r="KS11" s="465">
        <v>0</v>
      </c>
      <c r="KT11" s="465">
        <v>0</v>
      </c>
      <c r="KU11" s="465">
        <v>0</v>
      </c>
      <c r="KV11" s="465">
        <v>0</v>
      </c>
      <c r="KW11" s="465">
        <v>0</v>
      </c>
      <c r="KX11" s="465">
        <v>1575382</v>
      </c>
      <c r="KY11" s="465">
        <v>15955704</v>
      </c>
      <c r="KZ11" s="465">
        <v>0</v>
      </c>
      <c r="LA11" s="465">
        <v>27120</v>
      </c>
      <c r="LB11" s="465">
        <v>0</v>
      </c>
      <c r="LC11" s="465">
        <v>0</v>
      </c>
      <c r="LD11" s="465">
        <v>0</v>
      </c>
      <c r="LE11" s="465">
        <v>0</v>
      </c>
      <c r="LF11" s="465">
        <v>-39283</v>
      </c>
      <c r="LG11" s="465">
        <v>13035152</v>
      </c>
      <c r="LH11" s="465">
        <v>57546142</v>
      </c>
      <c r="LI11" s="465">
        <v>0</v>
      </c>
      <c r="LJ11" s="465">
        <v>9521172</v>
      </c>
      <c r="LK11" s="465">
        <v>0</v>
      </c>
      <c r="LL11" s="465">
        <v>0</v>
      </c>
      <c r="LM11" s="465">
        <v>0</v>
      </c>
      <c r="LN11" s="465">
        <v>0</v>
      </c>
      <c r="LO11" s="465">
        <v>0</v>
      </c>
      <c r="LP11" s="465">
        <v>8530132</v>
      </c>
      <c r="LQ11" s="465">
        <v>2177832</v>
      </c>
      <c r="LR11" s="465">
        <v>0</v>
      </c>
      <c r="LS11" s="465">
        <v>13568407</v>
      </c>
      <c r="LT11" s="465">
        <v>0</v>
      </c>
      <c r="LU11" s="465">
        <v>0</v>
      </c>
      <c r="LV11" s="465">
        <v>0</v>
      </c>
      <c r="LW11" s="465">
        <v>0</v>
      </c>
      <c r="LX11" s="465">
        <v>0</v>
      </c>
      <c r="LY11" s="465">
        <v>0</v>
      </c>
      <c r="LZ11" s="465">
        <v>0</v>
      </c>
      <c r="MA11" s="465">
        <v>0</v>
      </c>
      <c r="MB11" s="465">
        <v>152558</v>
      </c>
      <c r="MC11" s="465">
        <v>0</v>
      </c>
      <c r="MD11" s="465">
        <v>0</v>
      </c>
      <c r="ME11" s="465">
        <v>0</v>
      </c>
      <c r="MF11" s="465">
        <v>0</v>
      </c>
      <c r="MG11" s="465">
        <v>0</v>
      </c>
      <c r="MH11" s="465">
        <v>174731355</v>
      </c>
      <c r="MI11" s="465">
        <v>30558988</v>
      </c>
      <c r="MJ11" s="465">
        <v>0</v>
      </c>
      <c r="MK11" s="465">
        <v>6457805</v>
      </c>
      <c r="ML11" s="465">
        <v>0</v>
      </c>
      <c r="MM11" s="465">
        <v>0</v>
      </c>
      <c r="MN11" s="465">
        <v>0</v>
      </c>
      <c r="MO11" s="465">
        <v>0</v>
      </c>
      <c r="MP11" s="465">
        <v>0</v>
      </c>
      <c r="MQ11" s="465">
        <v>2203707</v>
      </c>
      <c r="MR11" s="465">
        <v>126418</v>
      </c>
      <c r="MS11" s="465">
        <v>0</v>
      </c>
      <c r="MT11" s="465">
        <v>160921</v>
      </c>
      <c r="MU11" s="465">
        <v>0</v>
      </c>
      <c r="MV11" s="465">
        <v>0</v>
      </c>
      <c r="MW11" s="465">
        <v>0</v>
      </c>
      <c r="MX11" s="465">
        <v>0</v>
      </c>
      <c r="MY11" s="465">
        <v>0</v>
      </c>
      <c r="MZ11" s="465">
        <v>189250</v>
      </c>
      <c r="NA11" s="465">
        <v>270777</v>
      </c>
      <c r="NB11" s="465">
        <v>0</v>
      </c>
      <c r="NC11" s="465">
        <v>0</v>
      </c>
      <c r="ND11" s="465">
        <v>0</v>
      </c>
      <c r="NE11" s="465">
        <v>0</v>
      </c>
      <c r="NF11" s="465">
        <v>0</v>
      </c>
      <c r="NG11" s="465">
        <v>0</v>
      </c>
      <c r="NH11" s="465">
        <v>0</v>
      </c>
      <c r="NI11" s="465">
        <v>10971174</v>
      </c>
      <c r="NJ11" s="465">
        <v>3973732</v>
      </c>
      <c r="NK11" s="465">
        <v>0</v>
      </c>
      <c r="NL11" s="465">
        <v>199014</v>
      </c>
      <c r="NM11" s="465">
        <v>0</v>
      </c>
      <c r="NN11" s="465">
        <v>0</v>
      </c>
      <c r="NO11" s="465">
        <v>0</v>
      </c>
      <c r="NP11" s="465">
        <v>0</v>
      </c>
      <c r="NQ11" s="465">
        <v>0</v>
      </c>
      <c r="NR11" s="465">
        <v>10186672</v>
      </c>
      <c r="NS11" s="465">
        <v>0</v>
      </c>
      <c r="NT11" s="465">
        <v>0</v>
      </c>
      <c r="NU11" s="465">
        <v>0</v>
      </c>
      <c r="NV11" s="465">
        <v>0</v>
      </c>
      <c r="NW11" s="465">
        <v>0</v>
      </c>
      <c r="NX11" s="465">
        <v>292407</v>
      </c>
      <c r="NY11" s="465">
        <v>0</v>
      </c>
      <c r="NZ11" s="465">
        <v>0</v>
      </c>
      <c r="OA11" s="465">
        <v>0</v>
      </c>
      <c r="OB11" s="465">
        <v>0</v>
      </c>
      <c r="OC11" s="465">
        <v>0</v>
      </c>
      <c r="OD11" s="465">
        <v>59947</v>
      </c>
      <c r="OE11" s="465">
        <v>0</v>
      </c>
      <c r="OF11" s="465">
        <v>0</v>
      </c>
      <c r="OG11" s="465">
        <v>0</v>
      </c>
      <c r="OH11" s="465">
        <v>0</v>
      </c>
      <c r="OI11" s="465">
        <v>0</v>
      </c>
      <c r="OJ11" s="465">
        <v>0</v>
      </c>
      <c r="OK11" s="465">
        <v>0</v>
      </c>
      <c r="OL11" s="465">
        <v>168402</v>
      </c>
      <c r="OM11" s="465">
        <v>0</v>
      </c>
      <c r="ON11" s="465">
        <v>0</v>
      </c>
      <c r="OO11" s="465">
        <v>0</v>
      </c>
      <c r="OP11" s="465">
        <v>0</v>
      </c>
      <c r="OQ11" s="465">
        <v>0</v>
      </c>
      <c r="OR11" s="465">
        <v>0</v>
      </c>
      <c r="OS11" s="465">
        <v>1602982</v>
      </c>
      <c r="OT11" s="465">
        <v>7029</v>
      </c>
      <c r="OU11" s="465">
        <v>0</v>
      </c>
      <c r="OV11" s="465">
        <v>123551</v>
      </c>
      <c r="OW11" s="465">
        <v>0</v>
      </c>
      <c r="OX11" s="465">
        <v>0</v>
      </c>
      <c r="OY11" s="465">
        <v>0</v>
      </c>
      <c r="OZ11" s="465">
        <v>0</v>
      </c>
      <c r="PA11" s="465">
        <v>0</v>
      </c>
      <c r="PB11" s="465">
        <v>57002</v>
      </c>
      <c r="PC11" s="465">
        <v>0</v>
      </c>
      <c r="PD11" s="465">
        <v>0</v>
      </c>
      <c r="PE11" s="465">
        <v>0</v>
      </c>
      <c r="PF11" s="465">
        <v>0</v>
      </c>
      <c r="PG11" s="465">
        <v>0</v>
      </c>
      <c r="PH11" s="465">
        <v>0</v>
      </c>
      <c r="PI11" s="465">
        <v>0</v>
      </c>
      <c r="PJ11" s="465">
        <v>0</v>
      </c>
      <c r="PK11" s="465">
        <v>0</v>
      </c>
      <c r="PL11" s="465">
        <v>0</v>
      </c>
      <c r="PM11" s="465">
        <v>0</v>
      </c>
      <c r="PN11" s="465">
        <v>0</v>
      </c>
      <c r="PO11" s="465">
        <v>0</v>
      </c>
      <c r="PP11" s="465">
        <v>0</v>
      </c>
      <c r="PQ11" s="465">
        <v>-15885149</v>
      </c>
      <c r="PR11" s="465">
        <v>0</v>
      </c>
      <c r="PS11" s="465">
        <v>0</v>
      </c>
      <c r="PT11" s="465">
        <v>15499730</v>
      </c>
      <c r="PU11" s="465">
        <v>-18090295</v>
      </c>
      <c r="PV11" s="465">
        <v>565</v>
      </c>
      <c r="PW11" s="465">
        <v>-1485318</v>
      </c>
      <c r="PX11" s="465">
        <v>0</v>
      </c>
      <c r="PY11" s="465">
        <v>235628</v>
      </c>
      <c r="PZ11" s="465">
        <v>4686305</v>
      </c>
      <c r="QA11" s="465">
        <v>0</v>
      </c>
      <c r="QB11" s="465">
        <v>1249040</v>
      </c>
      <c r="QC11" s="465">
        <v>0</v>
      </c>
      <c r="QD11" s="465">
        <v>0</v>
      </c>
      <c r="QE11" s="465">
        <v>0</v>
      </c>
      <c r="QF11" s="465">
        <v>0</v>
      </c>
      <c r="QG11" s="465">
        <v>0</v>
      </c>
      <c r="QH11" s="465">
        <v>0</v>
      </c>
      <c r="QI11" s="465">
        <v>11232533</v>
      </c>
      <c r="QJ11" s="465">
        <v>0</v>
      </c>
      <c r="QK11" s="465">
        <v>0</v>
      </c>
      <c r="QL11" s="465">
        <v>-3910191</v>
      </c>
      <c r="QM11" s="465">
        <v>0</v>
      </c>
      <c r="QN11" s="465">
        <v>0</v>
      </c>
      <c r="QO11" s="465">
        <v>0</v>
      </c>
      <c r="QP11" s="465">
        <v>0</v>
      </c>
      <c r="QQ11" s="465">
        <v>0</v>
      </c>
      <c r="QR11" s="465">
        <v>-470975</v>
      </c>
      <c r="QS11" s="465">
        <v>0</v>
      </c>
      <c r="QT11" s="465">
        <v>0</v>
      </c>
      <c r="QU11" s="465">
        <v>5751</v>
      </c>
      <c r="QV11" s="465">
        <v>-663604</v>
      </c>
      <c r="QW11" s="465">
        <v>0</v>
      </c>
      <c r="QX11" s="465">
        <v>-54039</v>
      </c>
      <c r="QY11" s="465">
        <v>0</v>
      </c>
      <c r="QZ11" s="465">
        <v>-6942214</v>
      </c>
      <c r="RA11" s="465">
        <v>0</v>
      </c>
      <c r="RB11" s="465">
        <v>0</v>
      </c>
      <c r="RC11" s="465">
        <v>0</v>
      </c>
      <c r="RD11" s="465">
        <v>0</v>
      </c>
      <c r="RE11" s="465">
        <v>0</v>
      </c>
      <c r="RF11" s="465">
        <v>0</v>
      </c>
      <c r="RG11" s="465">
        <v>0</v>
      </c>
      <c r="RH11" s="465">
        <v>0</v>
      </c>
      <c r="RI11" s="465">
        <v>1097241</v>
      </c>
      <c r="RJ11" s="465">
        <v>0</v>
      </c>
      <c r="RK11" s="465">
        <v>0</v>
      </c>
      <c r="RL11" s="465">
        <v>0</v>
      </c>
      <c r="RM11" s="465">
        <v>0</v>
      </c>
      <c r="RN11" s="465">
        <v>0</v>
      </c>
      <c r="RO11" s="465">
        <v>0</v>
      </c>
      <c r="RP11" s="465">
        <v>0</v>
      </c>
      <c r="RQ11" s="465">
        <v>0</v>
      </c>
      <c r="RR11" s="465">
        <v>0</v>
      </c>
      <c r="RS11" s="465">
        <v>0</v>
      </c>
      <c r="RT11" s="465">
        <v>0</v>
      </c>
      <c r="RU11" s="465">
        <v>-18918417</v>
      </c>
      <c r="RV11" s="465">
        <v>0</v>
      </c>
      <c r="RW11" s="465">
        <v>0</v>
      </c>
      <c r="RX11" s="465">
        <v>0</v>
      </c>
      <c r="RY11" s="465">
        <v>0</v>
      </c>
      <c r="RZ11" s="465">
        <v>0</v>
      </c>
      <c r="SA11" s="465">
        <v>0</v>
      </c>
      <c r="SB11" s="465">
        <v>0</v>
      </c>
      <c r="SC11" s="465">
        <v>0</v>
      </c>
      <c r="SD11" s="465">
        <v>0</v>
      </c>
      <c r="SE11" s="465">
        <v>0</v>
      </c>
      <c r="SF11" s="465">
        <v>0</v>
      </c>
      <c r="SG11" s="465">
        <v>0</v>
      </c>
      <c r="SH11" s="465">
        <v>0</v>
      </c>
      <c r="SI11" s="465">
        <v>0</v>
      </c>
      <c r="SJ11" s="465">
        <v>0</v>
      </c>
      <c r="SK11" s="465">
        <v>0</v>
      </c>
      <c r="SL11" s="465">
        <v>0</v>
      </c>
      <c r="SM11" s="465">
        <v>0</v>
      </c>
      <c r="SN11" s="465">
        <v>0</v>
      </c>
      <c r="SO11" s="465">
        <v>0</v>
      </c>
      <c r="SP11" s="465">
        <v>0</v>
      </c>
      <c r="SQ11" s="465">
        <v>0</v>
      </c>
      <c r="SR11" s="465">
        <v>0</v>
      </c>
      <c r="SS11" s="465">
        <v>0</v>
      </c>
      <c r="ST11" s="465">
        <v>0</v>
      </c>
      <c r="SU11" s="465">
        <v>0</v>
      </c>
      <c r="SV11" s="465">
        <v>0</v>
      </c>
      <c r="SW11" s="465">
        <v>0</v>
      </c>
      <c r="SX11" s="465">
        <v>0</v>
      </c>
      <c r="SY11" s="465">
        <v>0</v>
      </c>
      <c r="SZ11" s="465">
        <v>0</v>
      </c>
      <c r="TA11" s="465">
        <v>0</v>
      </c>
      <c r="TB11" s="465">
        <v>0</v>
      </c>
      <c r="TC11" s="465">
        <v>0</v>
      </c>
      <c r="TD11" s="465">
        <v>0</v>
      </c>
      <c r="TE11" s="465">
        <v>17618711</v>
      </c>
      <c r="TF11" s="465">
        <v>1556916</v>
      </c>
      <c r="TG11" s="465">
        <v>0</v>
      </c>
      <c r="TH11" s="465">
        <v>0</v>
      </c>
      <c r="TI11" s="465">
        <v>645312</v>
      </c>
      <c r="TJ11" s="465">
        <v>0</v>
      </c>
      <c r="TK11" s="465">
        <v>1140872</v>
      </c>
      <c r="TL11" s="465">
        <v>332595</v>
      </c>
      <c r="TM11" s="465">
        <v>0</v>
      </c>
      <c r="TN11" s="465">
        <v>216746</v>
      </c>
      <c r="TO11" s="465">
        <v>764</v>
      </c>
      <c r="TP11" s="465">
        <v>0</v>
      </c>
      <c r="TQ11" s="465">
        <v>42585</v>
      </c>
      <c r="TR11" s="465">
        <v>0</v>
      </c>
      <c r="TS11" s="465">
        <v>0</v>
      </c>
      <c r="TT11" s="465">
        <v>0</v>
      </c>
      <c r="TU11" s="465">
        <v>0</v>
      </c>
      <c r="TV11" s="465">
        <v>759340</v>
      </c>
      <c r="TW11" s="465">
        <v>0</v>
      </c>
      <c r="TX11" s="465">
        <v>0</v>
      </c>
      <c r="TY11" s="465">
        <v>0</v>
      </c>
      <c r="TZ11" s="465">
        <v>0</v>
      </c>
      <c r="UA11" s="465">
        <v>0</v>
      </c>
      <c r="UB11" s="465">
        <v>0</v>
      </c>
      <c r="UC11" s="465">
        <v>0</v>
      </c>
      <c r="UD11" s="465">
        <v>0</v>
      </c>
      <c r="UE11" s="465">
        <v>267</v>
      </c>
      <c r="UF11" s="465">
        <v>0</v>
      </c>
      <c r="UG11" s="465">
        <v>0</v>
      </c>
      <c r="UH11" s="465">
        <v>0</v>
      </c>
      <c r="UI11" s="465">
        <v>0</v>
      </c>
      <c r="UJ11" s="465">
        <v>0</v>
      </c>
      <c r="UK11" s="465">
        <v>0</v>
      </c>
      <c r="UL11" s="465">
        <v>0</v>
      </c>
      <c r="UM11" s="465">
        <v>535246548</v>
      </c>
      <c r="UN11" s="465">
        <v>381104290</v>
      </c>
      <c r="UO11" s="465">
        <v>80102466</v>
      </c>
      <c r="UP11" s="465">
        <v>24276371</v>
      </c>
      <c r="UQ11" s="465">
        <v>152558</v>
      </c>
      <c r="UR11" s="465">
        <v>211748148</v>
      </c>
      <c r="US11" s="465">
        <v>2491046</v>
      </c>
      <c r="UT11" s="465">
        <v>460027</v>
      </c>
      <c r="UU11" s="465">
        <v>15143920</v>
      </c>
      <c r="UV11" s="465">
        <v>10479079</v>
      </c>
      <c r="UW11" s="465">
        <v>59947</v>
      </c>
      <c r="UX11" s="465">
        <v>168402</v>
      </c>
      <c r="UY11" s="465">
        <v>9413487</v>
      </c>
      <c r="UZ11" s="465">
        <v>-7654106</v>
      </c>
      <c r="VA11" s="465">
        <v>0</v>
      </c>
      <c r="VB11" s="465">
        <v>0</v>
      </c>
      <c r="VC11" s="465" t="s">
        <v>1588</v>
      </c>
      <c r="VD11" s="465" t="s">
        <v>1589</v>
      </c>
      <c r="VE11" s="465" t="s">
        <v>1590</v>
      </c>
    </row>
    <row r="12" spans="1:577" s="331" customFormat="1" ht="30.6" thickBot="1">
      <c r="A12" s="325">
        <v>450</v>
      </c>
      <c r="B12" s="326" t="s">
        <v>25</v>
      </c>
      <c r="C12" s="327" t="s">
        <v>942</v>
      </c>
      <c r="D12" s="331" t="s">
        <v>428</v>
      </c>
      <c r="E12" s="466">
        <v>89</v>
      </c>
      <c r="F12" s="464">
        <v>1150689256</v>
      </c>
      <c r="G12" s="329" t="s">
        <v>1572</v>
      </c>
      <c r="H12" s="331" t="s">
        <v>25</v>
      </c>
      <c r="M12" s="465">
        <v>176061466</v>
      </c>
      <c r="N12" s="465">
        <v>0</v>
      </c>
      <c r="O12" s="465">
        <v>0</v>
      </c>
      <c r="P12" s="465">
        <v>0</v>
      </c>
      <c r="Q12" s="465">
        <v>0</v>
      </c>
      <c r="R12" s="465">
        <v>0</v>
      </c>
      <c r="S12" s="465">
        <v>0</v>
      </c>
      <c r="T12" s="465">
        <v>0</v>
      </c>
      <c r="U12" s="465">
        <v>0</v>
      </c>
      <c r="V12" s="465">
        <v>1417836</v>
      </c>
      <c r="W12" s="465">
        <v>1558685</v>
      </c>
      <c r="X12" s="465">
        <v>0</v>
      </c>
      <c r="Y12" s="465">
        <v>4167236</v>
      </c>
      <c r="Z12" s="465">
        <v>0</v>
      </c>
      <c r="AA12" s="465">
        <v>0</v>
      </c>
      <c r="AB12" s="465">
        <v>0</v>
      </c>
      <c r="AC12" s="465">
        <v>0</v>
      </c>
      <c r="AD12" s="465">
        <v>0</v>
      </c>
      <c r="AE12" s="465">
        <v>0</v>
      </c>
      <c r="AF12" s="465">
        <v>0</v>
      </c>
      <c r="AG12" s="465">
        <v>0</v>
      </c>
      <c r="AH12" s="465">
        <v>0</v>
      </c>
      <c r="AI12" s="465">
        <v>0</v>
      </c>
      <c r="AJ12" s="465">
        <v>0</v>
      </c>
      <c r="AK12" s="465">
        <v>0</v>
      </c>
      <c r="AL12" s="465">
        <v>0</v>
      </c>
      <c r="AM12" s="465">
        <v>0</v>
      </c>
      <c r="AN12" s="465">
        <v>0</v>
      </c>
      <c r="AO12" s="465">
        <v>0</v>
      </c>
      <c r="AP12" s="465">
        <v>0</v>
      </c>
      <c r="AQ12" s="465">
        <v>0</v>
      </c>
      <c r="AR12" s="465">
        <v>0</v>
      </c>
      <c r="AS12" s="465">
        <v>0</v>
      </c>
      <c r="AT12" s="465">
        <v>0</v>
      </c>
      <c r="AU12" s="465">
        <v>0</v>
      </c>
      <c r="AV12" s="465">
        <v>0</v>
      </c>
      <c r="AW12" s="465">
        <v>0</v>
      </c>
      <c r="AX12" s="465">
        <v>46943006</v>
      </c>
      <c r="AY12" s="465">
        <v>0</v>
      </c>
      <c r="AZ12" s="465">
        <v>0</v>
      </c>
      <c r="BA12" s="465">
        <v>0</v>
      </c>
      <c r="BB12" s="465">
        <v>0</v>
      </c>
      <c r="BC12" s="465">
        <v>0</v>
      </c>
      <c r="BD12" s="465">
        <v>0</v>
      </c>
      <c r="BE12" s="465">
        <v>0</v>
      </c>
      <c r="BF12" s="465">
        <v>-2560450</v>
      </c>
      <c r="BG12" s="465">
        <v>0</v>
      </c>
      <c r="BH12" s="465">
        <v>0</v>
      </c>
      <c r="BI12" s="465">
        <v>0</v>
      </c>
      <c r="BJ12" s="465">
        <v>0</v>
      </c>
      <c r="BK12" s="465">
        <v>0</v>
      </c>
      <c r="BL12" s="465">
        <v>0</v>
      </c>
      <c r="BM12" s="465">
        <v>0</v>
      </c>
      <c r="BN12" s="465">
        <v>0</v>
      </c>
      <c r="BO12" s="465">
        <v>0</v>
      </c>
      <c r="BP12" s="465">
        <v>0</v>
      </c>
      <c r="BQ12" s="465">
        <v>0</v>
      </c>
      <c r="BR12" s="465">
        <v>0</v>
      </c>
      <c r="BS12" s="465">
        <v>0</v>
      </c>
      <c r="BT12" s="465">
        <v>0</v>
      </c>
      <c r="BU12" s="465">
        <v>0</v>
      </c>
      <c r="BV12" s="465">
        <v>0</v>
      </c>
      <c r="BW12" s="465">
        <v>0</v>
      </c>
      <c r="BX12" s="465">
        <v>0</v>
      </c>
      <c r="BY12" s="465">
        <v>0</v>
      </c>
      <c r="BZ12" s="465">
        <v>0</v>
      </c>
      <c r="CA12" s="465">
        <v>0</v>
      </c>
      <c r="CB12" s="465">
        <v>0</v>
      </c>
      <c r="CC12" s="465">
        <v>0</v>
      </c>
      <c r="CD12" s="465">
        <v>0</v>
      </c>
      <c r="CE12" s="465">
        <v>0</v>
      </c>
      <c r="CF12" s="465">
        <v>0</v>
      </c>
      <c r="CG12" s="465">
        <v>0</v>
      </c>
      <c r="CH12" s="465">
        <v>0</v>
      </c>
      <c r="CI12" s="465">
        <v>0</v>
      </c>
      <c r="CJ12" s="465">
        <v>0</v>
      </c>
      <c r="CK12" s="465">
        <v>0</v>
      </c>
      <c r="CL12" s="465">
        <v>0</v>
      </c>
      <c r="CM12" s="465">
        <v>0</v>
      </c>
      <c r="CN12" s="465">
        <v>0</v>
      </c>
      <c r="CO12" s="465">
        <v>0</v>
      </c>
      <c r="CP12" s="465">
        <v>20190326</v>
      </c>
      <c r="CQ12" s="465">
        <v>18958760</v>
      </c>
      <c r="CR12" s="465">
        <v>0</v>
      </c>
      <c r="CS12" s="465">
        <v>0</v>
      </c>
      <c r="CT12" s="465">
        <v>0</v>
      </c>
      <c r="CU12" s="465">
        <v>0</v>
      </c>
      <c r="CV12" s="465">
        <v>0</v>
      </c>
      <c r="CW12" s="465">
        <v>0</v>
      </c>
      <c r="CX12" s="465">
        <v>0</v>
      </c>
      <c r="CY12" s="465">
        <v>0</v>
      </c>
      <c r="CZ12" s="465">
        <v>0</v>
      </c>
      <c r="DA12" s="465">
        <v>0</v>
      </c>
      <c r="DB12" s="465">
        <v>0</v>
      </c>
      <c r="DC12" s="465">
        <v>0</v>
      </c>
      <c r="DD12" s="465">
        <v>0</v>
      </c>
      <c r="DE12" s="465">
        <v>0</v>
      </c>
      <c r="DF12" s="465">
        <v>0</v>
      </c>
      <c r="DG12" s="465">
        <v>0</v>
      </c>
      <c r="DH12" s="465">
        <v>0</v>
      </c>
      <c r="DI12" s="465">
        <v>0</v>
      </c>
      <c r="DJ12" s="465">
        <v>0</v>
      </c>
      <c r="DK12" s="465">
        <v>0</v>
      </c>
      <c r="DL12" s="465">
        <v>0</v>
      </c>
      <c r="DM12" s="465">
        <v>0</v>
      </c>
      <c r="DN12" s="465">
        <v>0</v>
      </c>
      <c r="DO12" s="465">
        <v>0</v>
      </c>
      <c r="DP12" s="465">
        <v>0</v>
      </c>
      <c r="DQ12" s="465">
        <v>-375386</v>
      </c>
      <c r="DR12" s="465">
        <v>-789749</v>
      </c>
      <c r="DS12" s="465">
        <v>0</v>
      </c>
      <c r="DT12" s="465">
        <v>0</v>
      </c>
      <c r="DU12" s="465">
        <v>0</v>
      </c>
      <c r="DV12" s="465">
        <v>0</v>
      </c>
      <c r="DW12" s="465">
        <v>0</v>
      </c>
      <c r="DX12" s="465">
        <v>0</v>
      </c>
      <c r="DY12" s="465">
        <v>0</v>
      </c>
      <c r="DZ12" s="465">
        <v>0</v>
      </c>
      <c r="EA12" s="465">
        <v>0</v>
      </c>
      <c r="EB12" s="465">
        <v>0</v>
      </c>
      <c r="EC12" s="465">
        <v>0</v>
      </c>
      <c r="ED12" s="465">
        <v>0</v>
      </c>
      <c r="EE12" s="465">
        <v>0</v>
      </c>
      <c r="EF12" s="465">
        <v>0</v>
      </c>
      <c r="EG12" s="465">
        <v>0</v>
      </c>
      <c r="EH12" s="465">
        <v>0</v>
      </c>
      <c r="EI12" s="465">
        <v>-1366191</v>
      </c>
      <c r="EJ12" s="465">
        <v>-845595</v>
      </c>
      <c r="EK12" s="465">
        <v>0</v>
      </c>
      <c r="EL12" s="465">
        <v>0</v>
      </c>
      <c r="EM12" s="465">
        <v>0</v>
      </c>
      <c r="EN12" s="465">
        <v>0</v>
      </c>
      <c r="EO12" s="465">
        <v>0</v>
      </c>
      <c r="EP12" s="465">
        <v>0</v>
      </c>
      <c r="EQ12" s="465">
        <v>0</v>
      </c>
      <c r="ER12" s="465">
        <v>0</v>
      </c>
      <c r="ES12" s="465">
        <v>0</v>
      </c>
      <c r="ET12" s="465">
        <v>0</v>
      </c>
      <c r="EU12" s="465">
        <v>0</v>
      </c>
      <c r="EV12" s="465">
        <v>0</v>
      </c>
      <c r="EW12" s="465">
        <v>0</v>
      </c>
      <c r="EX12" s="465">
        <v>0</v>
      </c>
      <c r="EY12" s="465">
        <v>0</v>
      </c>
      <c r="EZ12" s="465">
        <v>0</v>
      </c>
      <c r="FA12" s="465">
        <v>0</v>
      </c>
      <c r="FB12" s="465">
        <v>0</v>
      </c>
      <c r="FC12" s="465">
        <v>0</v>
      </c>
      <c r="FD12" s="465">
        <v>0</v>
      </c>
      <c r="FE12" s="465">
        <v>0</v>
      </c>
      <c r="FF12" s="465">
        <v>0</v>
      </c>
      <c r="FG12" s="465">
        <v>0</v>
      </c>
      <c r="FH12" s="465">
        <v>0</v>
      </c>
      <c r="FI12" s="465">
        <v>0</v>
      </c>
      <c r="FJ12" s="465">
        <v>0</v>
      </c>
      <c r="FK12" s="465">
        <v>0</v>
      </c>
      <c r="FL12" s="465">
        <v>0</v>
      </c>
      <c r="FM12" s="465">
        <v>0</v>
      </c>
      <c r="FN12" s="465">
        <v>0</v>
      </c>
      <c r="FO12" s="465">
        <v>0</v>
      </c>
      <c r="FP12" s="465">
        <v>0</v>
      </c>
      <c r="FQ12" s="465">
        <v>0</v>
      </c>
      <c r="FR12" s="465">
        <v>0</v>
      </c>
      <c r="FS12" s="465">
        <v>0</v>
      </c>
      <c r="FT12" s="465">
        <v>0</v>
      </c>
      <c r="FU12" s="465">
        <v>0</v>
      </c>
      <c r="FV12" s="465">
        <v>0</v>
      </c>
      <c r="FW12" s="465">
        <v>0</v>
      </c>
      <c r="FX12" s="465">
        <v>0</v>
      </c>
      <c r="FY12" s="465">
        <v>0</v>
      </c>
      <c r="FZ12" s="465">
        <v>0</v>
      </c>
      <c r="GA12" s="465">
        <v>0</v>
      </c>
      <c r="GB12" s="465">
        <v>64499</v>
      </c>
      <c r="GC12" s="465">
        <v>18329270</v>
      </c>
      <c r="GD12" s="465">
        <v>1615838</v>
      </c>
      <c r="GE12" s="465">
        <v>0</v>
      </c>
      <c r="GF12" s="465">
        <v>0</v>
      </c>
      <c r="GG12" s="465">
        <v>0</v>
      </c>
      <c r="GH12" s="465">
        <v>0</v>
      </c>
      <c r="GI12" s="465">
        <v>0</v>
      </c>
      <c r="GJ12" s="465">
        <v>0</v>
      </c>
      <c r="GK12" s="465">
        <v>0</v>
      </c>
      <c r="GL12" s="465">
        <v>0</v>
      </c>
      <c r="GM12" s="465">
        <v>0</v>
      </c>
      <c r="GN12" s="465">
        <v>0</v>
      </c>
      <c r="GO12" s="465">
        <v>0</v>
      </c>
      <c r="GP12" s="465">
        <v>0</v>
      </c>
      <c r="GQ12" s="465">
        <v>0</v>
      </c>
      <c r="GR12" s="465">
        <v>0</v>
      </c>
      <c r="GS12" s="465">
        <v>0</v>
      </c>
      <c r="GT12" s="465">
        <v>0</v>
      </c>
      <c r="GU12" s="465">
        <v>0</v>
      </c>
      <c r="GV12" s="465">
        <v>0</v>
      </c>
      <c r="GW12" s="465">
        <v>0</v>
      </c>
      <c r="GX12" s="465">
        <v>0</v>
      </c>
      <c r="GY12" s="465">
        <v>0</v>
      </c>
      <c r="GZ12" s="465">
        <v>0</v>
      </c>
      <c r="HA12" s="465">
        <v>0</v>
      </c>
      <c r="HB12" s="465">
        <v>0</v>
      </c>
      <c r="HC12" s="465">
        <v>-780</v>
      </c>
      <c r="HD12" s="465">
        <v>-368243</v>
      </c>
      <c r="HE12" s="465">
        <v>-50797</v>
      </c>
      <c r="HF12" s="465">
        <v>0</v>
      </c>
      <c r="HG12" s="465">
        <v>0</v>
      </c>
      <c r="HH12" s="465">
        <v>0</v>
      </c>
      <c r="HI12" s="465">
        <v>0</v>
      </c>
      <c r="HJ12" s="465">
        <v>0</v>
      </c>
      <c r="HK12" s="465">
        <v>0</v>
      </c>
      <c r="HL12" s="465">
        <v>0</v>
      </c>
      <c r="HM12" s="465">
        <v>0</v>
      </c>
      <c r="HN12" s="465">
        <v>0</v>
      </c>
      <c r="HO12" s="465">
        <v>0</v>
      </c>
      <c r="HP12" s="465">
        <v>0</v>
      </c>
      <c r="HQ12" s="465">
        <v>0</v>
      </c>
      <c r="HR12" s="465">
        <v>0</v>
      </c>
      <c r="HS12" s="465">
        <v>0</v>
      </c>
      <c r="HT12" s="465">
        <v>0</v>
      </c>
      <c r="HU12" s="465">
        <v>-4784</v>
      </c>
      <c r="HV12" s="465">
        <v>-1212803</v>
      </c>
      <c r="HW12" s="465">
        <v>-88582</v>
      </c>
      <c r="HX12" s="465">
        <v>0</v>
      </c>
      <c r="HY12" s="465">
        <v>0</v>
      </c>
      <c r="HZ12" s="465">
        <v>0</v>
      </c>
      <c r="IA12" s="465">
        <v>0</v>
      </c>
      <c r="IB12" s="465">
        <v>0</v>
      </c>
      <c r="IC12" s="465">
        <v>0</v>
      </c>
      <c r="ID12" s="465">
        <v>0</v>
      </c>
      <c r="IE12" s="465">
        <v>12343413</v>
      </c>
      <c r="IF12" s="465">
        <v>0</v>
      </c>
      <c r="IG12" s="465">
        <v>72798043</v>
      </c>
      <c r="IH12" s="465">
        <v>0</v>
      </c>
      <c r="II12" s="465">
        <v>0</v>
      </c>
      <c r="IJ12" s="465">
        <v>0</v>
      </c>
      <c r="IK12" s="465">
        <v>0</v>
      </c>
      <c r="IL12" s="465">
        <v>0</v>
      </c>
      <c r="IM12" s="465">
        <v>0</v>
      </c>
      <c r="IN12" s="465">
        <v>1073754</v>
      </c>
      <c r="IO12" s="465">
        <v>0</v>
      </c>
      <c r="IP12" s="465">
        <v>0</v>
      </c>
      <c r="IQ12" s="465">
        <v>0</v>
      </c>
      <c r="IR12" s="465">
        <v>0</v>
      </c>
      <c r="IS12" s="465">
        <v>0</v>
      </c>
      <c r="IT12" s="465">
        <v>0</v>
      </c>
      <c r="IU12" s="465">
        <v>0</v>
      </c>
      <c r="IV12" s="465">
        <v>0</v>
      </c>
      <c r="IW12" s="465">
        <v>0</v>
      </c>
      <c r="IX12" s="465">
        <v>0</v>
      </c>
      <c r="IY12" s="465">
        <v>0</v>
      </c>
      <c r="IZ12" s="465">
        <v>0</v>
      </c>
      <c r="JA12" s="465">
        <v>0</v>
      </c>
      <c r="JB12" s="465">
        <v>0</v>
      </c>
      <c r="JC12" s="465">
        <v>0</v>
      </c>
      <c r="JD12" s="465">
        <v>0</v>
      </c>
      <c r="JE12" s="465">
        <v>-82502</v>
      </c>
      <c r="JF12" s="465">
        <v>2259263</v>
      </c>
      <c r="JG12" s="465">
        <v>0</v>
      </c>
      <c r="JH12" s="465">
        <v>158634</v>
      </c>
      <c r="JI12" s="465">
        <v>-2944</v>
      </c>
      <c r="JJ12" s="465">
        <v>-794132</v>
      </c>
      <c r="JK12" s="465">
        <v>0</v>
      </c>
      <c r="JL12" s="465">
        <v>0</v>
      </c>
      <c r="JM12" s="465">
        <v>0</v>
      </c>
      <c r="JN12" s="465">
        <v>0</v>
      </c>
      <c r="JO12" s="465">
        <v>0</v>
      </c>
      <c r="JP12" s="465">
        <v>0</v>
      </c>
      <c r="JQ12" s="465">
        <v>0</v>
      </c>
      <c r="JR12" s="465">
        <v>0</v>
      </c>
      <c r="JS12" s="465">
        <v>0</v>
      </c>
      <c r="JT12" s="465">
        <v>0</v>
      </c>
      <c r="JU12" s="465">
        <v>0</v>
      </c>
      <c r="JV12" s="465">
        <v>0</v>
      </c>
      <c r="JW12" s="465">
        <v>0</v>
      </c>
      <c r="JX12" s="465">
        <v>2826652</v>
      </c>
      <c r="JY12" s="465">
        <v>0</v>
      </c>
      <c r="JZ12" s="465">
        <v>10574564</v>
      </c>
      <c r="KA12" s="465">
        <v>0</v>
      </c>
      <c r="KB12" s="465">
        <v>0</v>
      </c>
      <c r="KC12" s="465">
        <v>0</v>
      </c>
      <c r="KD12" s="465">
        <v>0</v>
      </c>
      <c r="KE12" s="465">
        <v>0</v>
      </c>
      <c r="KF12" s="465">
        <v>7035613</v>
      </c>
      <c r="KG12" s="465">
        <v>36122530</v>
      </c>
      <c r="KH12" s="465">
        <v>0</v>
      </c>
      <c r="KI12" s="465">
        <v>8914</v>
      </c>
      <c r="KJ12" s="465">
        <v>0</v>
      </c>
      <c r="KK12" s="465">
        <v>0</v>
      </c>
      <c r="KL12" s="465">
        <v>0</v>
      </c>
      <c r="KM12" s="465">
        <v>0</v>
      </c>
      <c r="KN12" s="465">
        <v>0</v>
      </c>
      <c r="KO12" s="465">
        <v>0</v>
      </c>
      <c r="KP12" s="465">
        <v>0</v>
      </c>
      <c r="KQ12" s="465">
        <v>2067081</v>
      </c>
      <c r="KR12" s="465">
        <v>0</v>
      </c>
      <c r="KS12" s="465">
        <v>0</v>
      </c>
      <c r="KT12" s="465">
        <v>0</v>
      </c>
      <c r="KU12" s="465">
        <v>0</v>
      </c>
      <c r="KV12" s="465">
        <v>0</v>
      </c>
      <c r="KW12" s="465">
        <v>0</v>
      </c>
      <c r="KX12" s="465">
        <v>0</v>
      </c>
      <c r="KY12" s="465">
        <v>16082971</v>
      </c>
      <c r="KZ12" s="465">
        <v>33268</v>
      </c>
      <c r="LA12" s="465">
        <v>46806</v>
      </c>
      <c r="LB12" s="465">
        <v>22342</v>
      </c>
      <c r="LC12" s="465">
        <v>0</v>
      </c>
      <c r="LD12" s="465">
        <v>0</v>
      </c>
      <c r="LE12" s="465">
        <v>0</v>
      </c>
      <c r="LF12" s="465">
        <v>-8237184</v>
      </c>
      <c r="LG12" s="465">
        <v>87659597</v>
      </c>
      <c r="LH12" s="465">
        <v>36238654</v>
      </c>
      <c r="LI12" s="465">
        <v>0</v>
      </c>
      <c r="LJ12" s="465">
        <v>1848253</v>
      </c>
      <c r="LK12" s="465">
        <v>0</v>
      </c>
      <c r="LL12" s="465">
        <v>0</v>
      </c>
      <c r="LM12" s="465">
        <v>0</v>
      </c>
      <c r="LN12" s="465">
        <v>0</v>
      </c>
      <c r="LO12" s="465">
        <v>0</v>
      </c>
      <c r="LP12" s="465">
        <v>20717481</v>
      </c>
      <c r="LQ12" s="465">
        <v>13516750</v>
      </c>
      <c r="LR12" s="465">
        <v>0</v>
      </c>
      <c r="LS12" s="465">
        <v>67089624</v>
      </c>
      <c r="LT12" s="465">
        <v>0</v>
      </c>
      <c r="LU12" s="465">
        <v>0</v>
      </c>
      <c r="LV12" s="465">
        <v>0</v>
      </c>
      <c r="LW12" s="465">
        <v>0</v>
      </c>
      <c r="LX12" s="465">
        <v>0</v>
      </c>
      <c r="LY12" s="465">
        <v>3281051</v>
      </c>
      <c r="LZ12" s="465">
        <v>4153009</v>
      </c>
      <c r="MA12" s="465">
        <v>0</v>
      </c>
      <c r="MB12" s="465">
        <v>9972844</v>
      </c>
      <c r="MC12" s="465">
        <v>0</v>
      </c>
      <c r="MD12" s="465">
        <v>0</v>
      </c>
      <c r="ME12" s="465">
        <v>0</v>
      </c>
      <c r="MF12" s="465">
        <v>0</v>
      </c>
      <c r="MG12" s="465">
        <v>0</v>
      </c>
      <c r="MH12" s="465">
        <v>0</v>
      </c>
      <c r="MI12" s="465">
        <v>0</v>
      </c>
      <c r="MJ12" s="465">
        <v>0</v>
      </c>
      <c r="MK12" s="465">
        <v>0</v>
      </c>
      <c r="ML12" s="465">
        <v>0</v>
      </c>
      <c r="MM12" s="465">
        <v>0</v>
      </c>
      <c r="MN12" s="465">
        <v>0</v>
      </c>
      <c r="MO12" s="465">
        <v>0</v>
      </c>
      <c r="MP12" s="465">
        <v>0</v>
      </c>
      <c r="MQ12" s="465">
        <v>31686869</v>
      </c>
      <c r="MR12" s="465">
        <v>5940433</v>
      </c>
      <c r="MS12" s="465">
        <v>0</v>
      </c>
      <c r="MT12" s="465">
        <v>806554</v>
      </c>
      <c r="MU12" s="465">
        <v>0</v>
      </c>
      <c r="MV12" s="465">
        <v>0</v>
      </c>
      <c r="MW12" s="465">
        <v>0</v>
      </c>
      <c r="MX12" s="465">
        <v>0</v>
      </c>
      <c r="MY12" s="465">
        <v>0</v>
      </c>
      <c r="MZ12" s="465">
        <v>3109581</v>
      </c>
      <c r="NA12" s="465">
        <v>2259181</v>
      </c>
      <c r="NB12" s="465">
        <v>0</v>
      </c>
      <c r="NC12" s="465">
        <v>72674</v>
      </c>
      <c r="ND12" s="465">
        <v>7308</v>
      </c>
      <c r="NE12" s="465">
        <v>0</v>
      </c>
      <c r="NF12" s="465">
        <v>0</v>
      </c>
      <c r="NG12" s="465">
        <v>0</v>
      </c>
      <c r="NH12" s="465">
        <v>0</v>
      </c>
      <c r="NI12" s="465">
        <v>9474555</v>
      </c>
      <c r="NJ12" s="465">
        <v>1852176</v>
      </c>
      <c r="NK12" s="465">
        <v>0</v>
      </c>
      <c r="NL12" s="465">
        <v>13628</v>
      </c>
      <c r="NM12" s="465">
        <v>0</v>
      </c>
      <c r="NN12" s="465">
        <v>0</v>
      </c>
      <c r="NO12" s="465">
        <v>0</v>
      </c>
      <c r="NP12" s="465">
        <v>0</v>
      </c>
      <c r="NQ12" s="465">
        <v>0</v>
      </c>
      <c r="NR12" s="465">
        <v>23873278</v>
      </c>
      <c r="NS12" s="465">
        <v>4610544</v>
      </c>
      <c r="NT12" s="465">
        <v>0</v>
      </c>
      <c r="NU12" s="465">
        <v>17558</v>
      </c>
      <c r="NV12" s="465">
        <v>0</v>
      </c>
      <c r="NW12" s="465">
        <v>0</v>
      </c>
      <c r="NX12" s="465">
        <v>0</v>
      </c>
      <c r="NY12" s="465">
        <v>0</v>
      </c>
      <c r="NZ12" s="465">
        <v>0</v>
      </c>
      <c r="OA12" s="465">
        <v>488629</v>
      </c>
      <c r="OB12" s="465">
        <v>1347852</v>
      </c>
      <c r="OC12" s="465">
        <v>0</v>
      </c>
      <c r="OD12" s="465">
        <v>1099192</v>
      </c>
      <c r="OE12" s="465">
        <v>0</v>
      </c>
      <c r="OF12" s="465">
        <v>0</v>
      </c>
      <c r="OG12" s="465">
        <v>0</v>
      </c>
      <c r="OH12" s="465">
        <v>0</v>
      </c>
      <c r="OI12" s="465">
        <v>0</v>
      </c>
      <c r="OJ12" s="465">
        <v>0</v>
      </c>
      <c r="OK12" s="465">
        <v>0</v>
      </c>
      <c r="OL12" s="465">
        <v>3770625</v>
      </c>
      <c r="OM12" s="465">
        <v>0</v>
      </c>
      <c r="ON12" s="465">
        <v>0</v>
      </c>
      <c r="OO12" s="465">
        <v>0</v>
      </c>
      <c r="OP12" s="465">
        <v>0</v>
      </c>
      <c r="OQ12" s="465">
        <v>0</v>
      </c>
      <c r="OR12" s="465">
        <v>0</v>
      </c>
      <c r="OS12" s="465">
        <v>1197071</v>
      </c>
      <c r="OT12" s="465">
        <v>3156889</v>
      </c>
      <c r="OU12" s="465">
        <v>0</v>
      </c>
      <c r="OV12" s="465">
        <v>2649419</v>
      </c>
      <c r="OW12" s="465">
        <v>0</v>
      </c>
      <c r="OX12" s="465">
        <v>0</v>
      </c>
      <c r="OY12" s="465">
        <v>0</v>
      </c>
      <c r="OZ12" s="465">
        <v>0</v>
      </c>
      <c r="PA12" s="465">
        <v>0</v>
      </c>
      <c r="PB12" s="465">
        <v>138244</v>
      </c>
      <c r="PC12" s="465">
        <v>1181885</v>
      </c>
      <c r="PD12" s="465">
        <v>0</v>
      </c>
      <c r="PE12" s="465">
        <v>0</v>
      </c>
      <c r="PF12" s="465">
        <v>0</v>
      </c>
      <c r="PG12" s="465">
        <v>0</v>
      </c>
      <c r="PH12" s="465">
        <v>0</v>
      </c>
      <c r="PI12" s="465">
        <v>0</v>
      </c>
      <c r="PJ12" s="465">
        <v>2682463</v>
      </c>
      <c r="PK12" s="465">
        <v>0</v>
      </c>
      <c r="PL12" s="465">
        <v>0</v>
      </c>
      <c r="PM12" s="465">
        <v>0</v>
      </c>
      <c r="PN12" s="465">
        <v>0</v>
      </c>
      <c r="PO12" s="465">
        <v>0</v>
      </c>
      <c r="PP12" s="465">
        <v>0</v>
      </c>
      <c r="PQ12" s="465">
        <v>0</v>
      </c>
      <c r="PR12" s="465">
        <v>0</v>
      </c>
      <c r="PS12" s="465">
        <v>0</v>
      </c>
      <c r="PT12" s="465">
        <v>-4214</v>
      </c>
      <c r="PU12" s="465">
        <v>20557776</v>
      </c>
      <c r="PV12" s="465">
        <v>204499</v>
      </c>
      <c r="PW12" s="465">
        <v>-2155927</v>
      </c>
      <c r="PX12" s="465">
        <v>-21740</v>
      </c>
      <c r="PY12" s="465">
        <v>70452</v>
      </c>
      <c r="PZ12" s="465">
        <v>214414</v>
      </c>
      <c r="QA12" s="465">
        <v>0</v>
      </c>
      <c r="QB12" s="465">
        <v>0</v>
      </c>
      <c r="QC12" s="465">
        <v>0</v>
      </c>
      <c r="QD12" s="465">
        <v>0</v>
      </c>
      <c r="QE12" s="465">
        <v>0</v>
      </c>
      <c r="QF12" s="465">
        <v>0</v>
      </c>
      <c r="QG12" s="465">
        <v>0</v>
      </c>
      <c r="QH12" s="465">
        <v>0</v>
      </c>
      <c r="QI12" s="465">
        <v>0</v>
      </c>
      <c r="QJ12" s="465">
        <v>0</v>
      </c>
      <c r="QK12" s="465">
        <v>0</v>
      </c>
      <c r="QL12" s="465">
        <v>-20336641</v>
      </c>
      <c r="QM12" s="465">
        <v>-506952</v>
      </c>
      <c r="QN12" s="465">
        <v>0</v>
      </c>
      <c r="QO12" s="465">
        <v>0</v>
      </c>
      <c r="QP12" s="465">
        <v>0</v>
      </c>
      <c r="QQ12" s="465">
        <v>0</v>
      </c>
      <c r="QR12" s="465">
        <v>0</v>
      </c>
      <c r="QS12" s="465">
        <v>0</v>
      </c>
      <c r="QT12" s="465">
        <v>0</v>
      </c>
      <c r="QU12" s="465">
        <v>-12287337</v>
      </c>
      <c r="QV12" s="465">
        <v>-40326507</v>
      </c>
      <c r="QW12" s="465">
        <v>0</v>
      </c>
      <c r="QX12" s="465">
        <v>0</v>
      </c>
      <c r="QY12" s="465">
        <v>0</v>
      </c>
      <c r="QZ12" s="465">
        <v>-12222737</v>
      </c>
      <c r="RA12" s="465">
        <v>0</v>
      </c>
      <c r="RB12" s="465">
        <v>0</v>
      </c>
      <c r="RC12" s="465">
        <v>0</v>
      </c>
      <c r="RD12" s="465">
        <v>0</v>
      </c>
      <c r="RE12" s="465">
        <v>0</v>
      </c>
      <c r="RF12" s="465">
        <v>0</v>
      </c>
      <c r="RG12" s="465">
        <v>0</v>
      </c>
      <c r="RH12" s="465">
        <v>0</v>
      </c>
      <c r="RI12" s="465">
        <v>66453</v>
      </c>
      <c r="RJ12" s="465">
        <v>0</v>
      </c>
      <c r="RK12" s="465">
        <v>0</v>
      </c>
      <c r="RL12" s="465">
        <v>0</v>
      </c>
      <c r="RM12" s="465">
        <v>0</v>
      </c>
      <c r="RN12" s="465">
        <v>0</v>
      </c>
      <c r="RO12" s="465">
        <v>0</v>
      </c>
      <c r="RP12" s="465">
        <v>0</v>
      </c>
      <c r="RQ12" s="465">
        <v>0</v>
      </c>
      <c r="RR12" s="465">
        <v>0</v>
      </c>
      <c r="RS12" s="465">
        <v>0</v>
      </c>
      <c r="RT12" s="465">
        <v>0</v>
      </c>
      <c r="RU12" s="465">
        <v>-32898042</v>
      </c>
      <c r="RV12" s="465">
        <v>0</v>
      </c>
      <c r="RW12" s="465">
        <v>0</v>
      </c>
      <c r="RX12" s="465">
        <v>0</v>
      </c>
      <c r="RY12" s="465">
        <v>0</v>
      </c>
      <c r="RZ12" s="465">
        <v>0</v>
      </c>
      <c r="SA12" s="465">
        <v>0</v>
      </c>
      <c r="SB12" s="465">
        <v>0</v>
      </c>
      <c r="SC12" s="465">
        <v>0</v>
      </c>
      <c r="SD12" s="465">
        <v>17799267</v>
      </c>
      <c r="SE12" s="465">
        <v>0</v>
      </c>
      <c r="SF12" s="465">
        <v>0</v>
      </c>
      <c r="SG12" s="465">
        <v>0</v>
      </c>
      <c r="SH12" s="465">
        <v>0</v>
      </c>
      <c r="SI12" s="465">
        <v>0</v>
      </c>
      <c r="SJ12" s="465">
        <v>0</v>
      </c>
      <c r="SK12" s="465">
        <v>0</v>
      </c>
      <c r="SL12" s="465">
        <v>0</v>
      </c>
      <c r="SM12" s="465">
        <v>0</v>
      </c>
      <c r="SN12" s="465">
        <v>0</v>
      </c>
      <c r="SO12" s="465">
        <v>0</v>
      </c>
      <c r="SP12" s="465">
        <v>0</v>
      </c>
      <c r="SQ12" s="465">
        <v>0</v>
      </c>
      <c r="SR12" s="465">
        <v>0</v>
      </c>
      <c r="SS12" s="465">
        <v>0</v>
      </c>
      <c r="ST12" s="465">
        <v>0</v>
      </c>
      <c r="SU12" s="465">
        <v>0</v>
      </c>
      <c r="SV12" s="465">
        <v>0</v>
      </c>
      <c r="SW12" s="465">
        <v>1197071</v>
      </c>
      <c r="SX12" s="465">
        <v>3156889</v>
      </c>
      <c r="SY12" s="465">
        <v>0</v>
      </c>
      <c r="SZ12" s="465">
        <v>2695116</v>
      </c>
      <c r="TA12" s="465">
        <v>0</v>
      </c>
      <c r="TB12" s="465">
        <v>0</v>
      </c>
      <c r="TC12" s="465">
        <v>0</v>
      </c>
      <c r="TD12" s="465">
        <v>0</v>
      </c>
      <c r="TE12" s="465">
        <v>0</v>
      </c>
      <c r="TF12" s="465">
        <v>17829067</v>
      </c>
      <c r="TG12" s="465">
        <v>0</v>
      </c>
      <c r="TH12" s="465">
        <v>0</v>
      </c>
      <c r="TI12" s="465">
        <v>59158693</v>
      </c>
      <c r="TJ12" s="465">
        <v>-5102910</v>
      </c>
      <c r="TK12" s="465">
        <v>515892</v>
      </c>
      <c r="TL12" s="465">
        <v>5421168</v>
      </c>
      <c r="TM12" s="465">
        <v>134931</v>
      </c>
      <c r="TN12" s="465">
        <v>0</v>
      </c>
      <c r="TO12" s="465">
        <v>106798</v>
      </c>
      <c r="TP12" s="465">
        <v>0</v>
      </c>
      <c r="TQ12" s="465">
        <v>220799</v>
      </c>
      <c r="TR12" s="465">
        <v>603791</v>
      </c>
      <c r="TS12" s="465">
        <v>0</v>
      </c>
      <c r="TT12" s="465">
        <v>0</v>
      </c>
      <c r="TU12" s="465">
        <v>1139</v>
      </c>
      <c r="TV12" s="465">
        <v>3102989</v>
      </c>
      <c r="TW12" s="465">
        <v>584832</v>
      </c>
      <c r="TX12" s="465">
        <v>0</v>
      </c>
      <c r="TY12" s="465">
        <v>0</v>
      </c>
      <c r="TZ12" s="465">
        <v>0</v>
      </c>
      <c r="UA12" s="465">
        <v>0</v>
      </c>
      <c r="UB12" s="465">
        <v>0</v>
      </c>
      <c r="UC12" s="465">
        <v>0</v>
      </c>
      <c r="UD12" s="465">
        <v>0</v>
      </c>
      <c r="UE12" s="465">
        <v>295405</v>
      </c>
      <c r="UF12" s="465">
        <v>0</v>
      </c>
      <c r="UG12" s="465">
        <v>0</v>
      </c>
      <c r="UH12" s="465">
        <v>0</v>
      </c>
      <c r="UI12" s="465">
        <v>0</v>
      </c>
      <c r="UJ12" s="465">
        <v>0</v>
      </c>
      <c r="UK12" s="465">
        <v>0</v>
      </c>
      <c r="UL12" s="465">
        <v>0</v>
      </c>
      <c r="UM12" s="465">
        <v>0</v>
      </c>
      <c r="UN12" s="465">
        <v>0</v>
      </c>
      <c r="UO12" s="465">
        <v>125746504</v>
      </c>
      <c r="UP12" s="465">
        <v>101323855</v>
      </c>
      <c r="UQ12" s="465">
        <v>17406904</v>
      </c>
      <c r="UR12" s="465">
        <v>0</v>
      </c>
      <c r="US12" s="465">
        <v>38433856</v>
      </c>
      <c r="UT12" s="465">
        <v>5448744</v>
      </c>
      <c r="UU12" s="465">
        <v>11340359</v>
      </c>
      <c r="UV12" s="465">
        <v>28501380</v>
      </c>
      <c r="UW12" s="465">
        <v>2935673</v>
      </c>
      <c r="UX12" s="465">
        <v>3770625</v>
      </c>
      <c r="UY12" s="465">
        <v>90648895</v>
      </c>
      <c r="UZ12" s="465">
        <v>-64836581</v>
      </c>
      <c r="VA12" s="465">
        <v>0</v>
      </c>
      <c r="VB12" s="465">
        <v>0</v>
      </c>
      <c r="VC12" s="465" t="s">
        <v>1591</v>
      </c>
      <c r="VD12" s="465" t="s">
        <v>1592</v>
      </c>
      <c r="VE12" s="465" t="s">
        <v>1593</v>
      </c>
    </row>
    <row r="13" spans="1:577" s="331" customFormat="1" ht="47.4" thickBot="1">
      <c r="A13" s="325">
        <v>461</v>
      </c>
      <c r="B13" s="467" t="s">
        <v>708</v>
      </c>
      <c r="C13" s="468" t="s">
        <v>946</v>
      </c>
      <c r="D13" s="331" t="s">
        <v>428</v>
      </c>
      <c r="E13" s="466">
        <v>130</v>
      </c>
      <c r="F13" s="464">
        <v>795835410</v>
      </c>
      <c r="G13" s="329" t="s">
        <v>1572</v>
      </c>
      <c r="H13" s="331" t="s">
        <v>708</v>
      </c>
      <c r="M13" s="465">
        <v>112276178</v>
      </c>
      <c r="N13" s="465">
        <v>0</v>
      </c>
      <c r="O13" s="465">
        <v>0</v>
      </c>
      <c r="P13" s="465">
        <v>0</v>
      </c>
      <c r="Q13" s="465">
        <v>0</v>
      </c>
      <c r="R13" s="465">
        <v>0</v>
      </c>
      <c r="S13" s="465">
        <v>0</v>
      </c>
      <c r="T13" s="465">
        <v>0</v>
      </c>
      <c r="U13" s="465">
        <v>0</v>
      </c>
      <c r="V13" s="465">
        <v>900772</v>
      </c>
      <c r="W13" s="465">
        <v>0</v>
      </c>
      <c r="X13" s="465">
        <v>0</v>
      </c>
      <c r="Y13" s="465">
        <v>1191897</v>
      </c>
      <c r="Z13" s="465">
        <v>0</v>
      </c>
      <c r="AA13" s="465">
        <v>0</v>
      </c>
      <c r="AB13" s="465">
        <v>0</v>
      </c>
      <c r="AC13" s="465">
        <v>0</v>
      </c>
      <c r="AD13" s="465">
        <v>0</v>
      </c>
      <c r="AE13" s="465">
        <v>0</v>
      </c>
      <c r="AF13" s="465">
        <v>0</v>
      </c>
      <c r="AG13" s="465">
        <v>0</v>
      </c>
      <c r="AH13" s="465">
        <v>0</v>
      </c>
      <c r="AI13" s="465">
        <v>0</v>
      </c>
      <c r="AJ13" s="465">
        <v>0</v>
      </c>
      <c r="AK13" s="465">
        <v>0</v>
      </c>
      <c r="AL13" s="465">
        <v>0</v>
      </c>
      <c r="AM13" s="465">
        <v>0</v>
      </c>
      <c r="AN13" s="465">
        <v>15125502</v>
      </c>
      <c r="AO13" s="465">
        <v>0</v>
      </c>
      <c r="AP13" s="465">
        <v>0</v>
      </c>
      <c r="AQ13" s="465">
        <v>0</v>
      </c>
      <c r="AR13" s="465">
        <v>0</v>
      </c>
      <c r="AS13" s="465">
        <v>0</v>
      </c>
      <c r="AT13" s="465">
        <v>0</v>
      </c>
      <c r="AU13" s="465">
        <v>0</v>
      </c>
      <c r="AV13" s="465">
        <v>0</v>
      </c>
      <c r="AW13" s="465">
        <v>0</v>
      </c>
      <c r="AX13" s="465">
        <v>0</v>
      </c>
      <c r="AY13" s="465">
        <v>0</v>
      </c>
      <c r="AZ13" s="465">
        <v>0</v>
      </c>
      <c r="BA13" s="465">
        <v>0</v>
      </c>
      <c r="BB13" s="465">
        <v>0</v>
      </c>
      <c r="BC13" s="465">
        <v>0</v>
      </c>
      <c r="BD13" s="465">
        <v>0</v>
      </c>
      <c r="BE13" s="465">
        <v>0</v>
      </c>
      <c r="BF13" s="465">
        <v>0</v>
      </c>
      <c r="BG13" s="465">
        <v>0</v>
      </c>
      <c r="BH13" s="465">
        <v>0</v>
      </c>
      <c r="BI13" s="465">
        <v>0</v>
      </c>
      <c r="BJ13" s="465">
        <v>0</v>
      </c>
      <c r="BK13" s="465">
        <v>0</v>
      </c>
      <c r="BL13" s="465">
        <v>0</v>
      </c>
      <c r="BM13" s="465">
        <v>0</v>
      </c>
      <c r="BN13" s="465">
        <v>0</v>
      </c>
      <c r="BO13" s="465">
        <v>-1658001</v>
      </c>
      <c r="BP13" s="465">
        <v>-546181</v>
      </c>
      <c r="BQ13" s="465">
        <v>0</v>
      </c>
      <c r="BR13" s="465">
        <v>0</v>
      </c>
      <c r="BS13" s="465">
        <v>0</v>
      </c>
      <c r="BT13" s="465">
        <v>0</v>
      </c>
      <c r="BU13" s="465">
        <v>0</v>
      </c>
      <c r="BV13" s="465">
        <v>0</v>
      </c>
      <c r="BW13" s="465">
        <v>0</v>
      </c>
      <c r="BX13" s="465">
        <v>0</v>
      </c>
      <c r="BY13" s="465">
        <v>0</v>
      </c>
      <c r="BZ13" s="465">
        <v>0</v>
      </c>
      <c r="CA13" s="465">
        <v>0</v>
      </c>
      <c r="CB13" s="465">
        <v>0</v>
      </c>
      <c r="CC13" s="465">
        <v>0</v>
      </c>
      <c r="CD13" s="465">
        <v>0</v>
      </c>
      <c r="CE13" s="465">
        <v>0</v>
      </c>
      <c r="CF13" s="465">
        <v>0</v>
      </c>
      <c r="CG13" s="465">
        <v>0</v>
      </c>
      <c r="CH13" s="465">
        <v>0</v>
      </c>
      <c r="CI13" s="465">
        <v>0</v>
      </c>
      <c r="CJ13" s="465">
        <v>0</v>
      </c>
      <c r="CK13" s="465">
        <v>0</v>
      </c>
      <c r="CL13" s="465">
        <v>0</v>
      </c>
      <c r="CM13" s="465">
        <v>0</v>
      </c>
      <c r="CN13" s="465">
        <v>0</v>
      </c>
      <c r="CO13" s="465">
        <v>0</v>
      </c>
      <c r="CP13" s="465">
        <v>12607301</v>
      </c>
      <c r="CQ13" s="465">
        <v>12831590</v>
      </c>
      <c r="CR13" s="465">
        <v>0</v>
      </c>
      <c r="CS13" s="465">
        <v>0</v>
      </c>
      <c r="CT13" s="465">
        <v>0</v>
      </c>
      <c r="CU13" s="465">
        <v>0</v>
      </c>
      <c r="CV13" s="465">
        <v>0</v>
      </c>
      <c r="CW13" s="465">
        <v>0</v>
      </c>
      <c r="CX13" s="465">
        <v>0</v>
      </c>
      <c r="CY13" s="465">
        <v>0</v>
      </c>
      <c r="CZ13" s="465">
        <v>0</v>
      </c>
      <c r="DA13" s="465">
        <v>0</v>
      </c>
      <c r="DB13" s="465">
        <v>0</v>
      </c>
      <c r="DC13" s="465">
        <v>0</v>
      </c>
      <c r="DD13" s="465">
        <v>0</v>
      </c>
      <c r="DE13" s="465">
        <v>0</v>
      </c>
      <c r="DF13" s="465">
        <v>0</v>
      </c>
      <c r="DG13" s="465">
        <v>0</v>
      </c>
      <c r="DH13" s="465">
        <v>0</v>
      </c>
      <c r="DI13" s="465">
        <v>0</v>
      </c>
      <c r="DJ13" s="465">
        <v>0</v>
      </c>
      <c r="DK13" s="465">
        <v>0</v>
      </c>
      <c r="DL13" s="465">
        <v>0</v>
      </c>
      <c r="DM13" s="465">
        <v>0</v>
      </c>
      <c r="DN13" s="465">
        <v>0</v>
      </c>
      <c r="DO13" s="465">
        <v>0</v>
      </c>
      <c r="DP13" s="465">
        <v>0</v>
      </c>
      <c r="DQ13" s="465">
        <v>0</v>
      </c>
      <c r="DR13" s="465">
        <v>0</v>
      </c>
      <c r="DS13" s="465">
        <v>0</v>
      </c>
      <c r="DT13" s="465">
        <v>0</v>
      </c>
      <c r="DU13" s="465">
        <v>0</v>
      </c>
      <c r="DV13" s="465">
        <v>0</v>
      </c>
      <c r="DW13" s="465">
        <v>0</v>
      </c>
      <c r="DX13" s="465">
        <v>0</v>
      </c>
      <c r="DY13" s="465">
        <v>0</v>
      </c>
      <c r="DZ13" s="465">
        <v>0</v>
      </c>
      <c r="EA13" s="465">
        <v>0</v>
      </c>
      <c r="EB13" s="465">
        <v>0</v>
      </c>
      <c r="EC13" s="465">
        <v>0</v>
      </c>
      <c r="ED13" s="465">
        <v>0</v>
      </c>
      <c r="EE13" s="465">
        <v>0</v>
      </c>
      <c r="EF13" s="465">
        <v>0</v>
      </c>
      <c r="EG13" s="465">
        <v>0</v>
      </c>
      <c r="EH13" s="465">
        <v>0</v>
      </c>
      <c r="EI13" s="465">
        <v>-894513</v>
      </c>
      <c r="EJ13" s="465">
        <v>-1373941</v>
      </c>
      <c r="EK13" s="465">
        <v>0</v>
      </c>
      <c r="EL13" s="465">
        <v>0</v>
      </c>
      <c r="EM13" s="465">
        <v>0</v>
      </c>
      <c r="EN13" s="465">
        <v>0</v>
      </c>
      <c r="EO13" s="465">
        <v>0</v>
      </c>
      <c r="EP13" s="465">
        <v>0</v>
      </c>
      <c r="EQ13" s="465">
        <v>0</v>
      </c>
      <c r="ER13" s="465">
        <v>0</v>
      </c>
      <c r="ES13" s="465">
        <v>0</v>
      </c>
      <c r="ET13" s="465">
        <v>0</v>
      </c>
      <c r="EU13" s="465">
        <v>0</v>
      </c>
      <c r="EV13" s="465">
        <v>0</v>
      </c>
      <c r="EW13" s="465">
        <v>0</v>
      </c>
      <c r="EX13" s="465">
        <v>0</v>
      </c>
      <c r="EY13" s="465">
        <v>0</v>
      </c>
      <c r="EZ13" s="465">
        <v>0</v>
      </c>
      <c r="FA13" s="465">
        <v>0</v>
      </c>
      <c r="FB13" s="465">
        <v>0</v>
      </c>
      <c r="FC13" s="465">
        <v>0</v>
      </c>
      <c r="FD13" s="465">
        <v>0</v>
      </c>
      <c r="FE13" s="465">
        <v>0</v>
      </c>
      <c r="FF13" s="465">
        <v>0</v>
      </c>
      <c r="FG13" s="465">
        <v>0</v>
      </c>
      <c r="FH13" s="465">
        <v>0</v>
      </c>
      <c r="FI13" s="465">
        <v>0</v>
      </c>
      <c r="FJ13" s="465">
        <v>0</v>
      </c>
      <c r="FK13" s="465">
        <v>0</v>
      </c>
      <c r="FL13" s="465">
        <v>0</v>
      </c>
      <c r="FM13" s="465">
        <v>0</v>
      </c>
      <c r="FN13" s="465">
        <v>0</v>
      </c>
      <c r="FO13" s="465">
        <v>0</v>
      </c>
      <c r="FP13" s="465">
        <v>0</v>
      </c>
      <c r="FQ13" s="465">
        <v>0</v>
      </c>
      <c r="FR13" s="465">
        <v>0</v>
      </c>
      <c r="FS13" s="465">
        <v>0</v>
      </c>
      <c r="FT13" s="465">
        <v>0</v>
      </c>
      <c r="FU13" s="465">
        <v>0</v>
      </c>
      <c r="FV13" s="465">
        <v>0</v>
      </c>
      <c r="FW13" s="465">
        <v>0</v>
      </c>
      <c r="FX13" s="465">
        <v>0</v>
      </c>
      <c r="FY13" s="465">
        <v>0</v>
      </c>
      <c r="FZ13" s="465">
        <v>0</v>
      </c>
      <c r="GA13" s="465">
        <v>0</v>
      </c>
      <c r="GB13" s="465">
        <v>24149</v>
      </c>
      <c r="GC13" s="465">
        <v>11872058</v>
      </c>
      <c r="GD13" s="465">
        <v>0</v>
      </c>
      <c r="GE13" s="465">
        <v>0</v>
      </c>
      <c r="GF13" s="465">
        <v>0</v>
      </c>
      <c r="GG13" s="465">
        <v>0</v>
      </c>
      <c r="GH13" s="465">
        <v>0</v>
      </c>
      <c r="GI13" s="465">
        <v>0</v>
      </c>
      <c r="GJ13" s="465">
        <v>0</v>
      </c>
      <c r="GK13" s="465">
        <v>0</v>
      </c>
      <c r="GL13" s="465">
        <v>0</v>
      </c>
      <c r="GM13" s="465">
        <v>0</v>
      </c>
      <c r="GN13" s="465">
        <v>0</v>
      </c>
      <c r="GO13" s="465">
        <v>0</v>
      </c>
      <c r="GP13" s="465">
        <v>0</v>
      </c>
      <c r="GQ13" s="465">
        <v>0</v>
      </c>
      <c r="GR13" s="465">
        <v>0</v>
      </c>
      <c r="GS13" s="465">
        <v>0</v>
      </c>
      <c r="GT13" s="465">
        <v>0</v>
      </c>
      <c r="GU13" s="465">
        <v>0</v>
      </c>
      <c r="GV13" s="465">
        <v>0</v>
      </c>
      <c r="GW13" s="465">
        <v>0</v>
      </c>
      <c r="GX13" s="465">
        <v>0</v>
      </c>
      <c r="GY13" s="465">
        <v>0</v>
      </c>
      <c r="GZ13" s="465">
        <v>0</v>
      </c>
      <c r="HA13" s="465">
        <v>0</v>
      </c>
      <c r="HB13" s="465">
        <v>0</v>
      </c>
      <c r="HC13" s="465">
        <v>0</v>
      </c>
      <c r="HD13" s="465">
        <v>0</v>
      </c>
      <c r="HE13" s="465">
        <v>0</v>
      </c>
      <c r="HF13" s="465">
        <v>0</v>
      </c>
      <c r="HG13" s="465">
        <v>0</v>
      </c>
      <c r="HH13" s="465">
        <v>0</v>
      </c>
      <c r="HI13" s="465">
        <v>0</v>
      </c>
      <c r="HJ13" s="465">
        <v>0</v>
      </c>
      <c r="HK13" s="465">
        <v>0</v>
      </c>
      <c r="HL13" s="465">
        <v>0</v>
      </c>
      <c r="HM13" s="465">
        <v>0</v>
      </c>
      <c r="HN13" s="465">
        <v>0</v>
      </c>
      <c r="HO13" s="465">
        <v>0</v>
      </c>
      <c r="HP13" s="465">
        <v>0</v>
      </c>
      <c r="HQ13" s="465">
        <v>0</v>
      </c>
      <c r="HR13" s="465">
        <v>0</v>
      </c>
      <c r="HS13" s="465">
        <v>0</v>
      </c>
      <c r="HT13" s="465">
        <v>0</v>
      </c>
      <c r="HU13" s="465">
        <v>0</v>
      </c>
      <c r="HV13" s="465">
        <v>-588832</v>
      </c>
      <c r="HW13" s="465">
        <v>0</v>
      </c>
      <c r="HX13" s="465">
        <v>0</v>
      </c>
      <c r="HY13" s="465">
        <v>0</v>
      </c>
      <c r="HZ13" s="465">
        <v>0</v>
      </c>
      <c r="IA13" s="465">
        <v>0</v>
      </c>
      <c r="IB13" s="465">
        <v>0</v>
      </c>
      <c r="IC13" s="465">
        <v>0</v>
      </c>
      <c r="ID13" s="465">
        <v>0</v>
      </c>
      <c r="IE13" s="465">
        <v>5131698</v>
      </c>
      <c r="IF13" s="465">
        <v>0</v>
      </c>
      <c r="IG13" s="465">
        <v>50130030</v>
      </c>
      <c r="IH13" s="465">
        <v>0</v>
      </c>
      <c r="II13" s="465">
        <v>0</v>
      </c>
      <c r="IJ13" s="465">
        <v>0</v>
      </c>
      <c r="IK13" s="465">
        <v>0</v>
      </c>
      <c r="IL13" s="465">
        <v>0</v>
      </c>
      <c r="IM13" s="465">
        <v>0</v>
      </c>
      <c r="IN13" s="465">
        <v>12885666</v>
      </c>
      <c r="IO13" s="465">
        <v>0</v>
      </c>
      <c r="IP13" s="465">
        <v>0</v>
      </c>
      <c r="IQ13" s="465">
        <v>0</v>
      </c>
      <c r="IR13" s="465">
        <v>0</v>
      </c>
      <c r="IS13" s="465">
        <v>0</v>
      </c>
      <c r="IT13" s="465">
        <v>0</v>
      </c>
      <c r="IU13" s="465">
        <v>0</v>
      </c>
      <c r="IV13" s="465">
        <v>0</v>
      </c>
      <c r="IW13" s="465">
        <v>0</v>
      </c>
      <c r="IX13" s="465">
        <v>0</v>
      </c>
      <c r="IY13" s="465">
        <v>0</v>
      </c>
      <c r="IZ13" s="465">
        <v>0</v>
      </c>
      <c r="JA13" s="465">
        <v>0</v>
      </c>
      <c r="JB13" s="465">
        <v>0</v>
      </c>
      <c r="JC13" s="465">
        <v>0</v>
      </c>
      <c r="JD13" s="465">
        <v>0</v>
      </c>
      <c r="JE13" s="465">
        <v>20398</v>
      </c>
      <c r="JF13" s="465">
        <v>12506165</v>
      </c>
      <c r="JG13" s="465">
        <v>0</v>
      </c>
      <c r="JH13" s="465">
        <v>2634087</v>
      </c>
      <c r="JI13" s="465">
        <v>-4949</v>
      </c>
      <c r="JJ13" s="465">
        <v>1461478</v>
      </c>
      <c r="JK13" s="465">
        <v>0</v>
      </c>
      <c r="JL13" s="465">
        <v>0</v>
      </c>
      <c r="JM13" s="465">
        <v>0</v>
      </c>
      <c r="JN13" s="465">
        <v>0</v>
      </c>
      <c r="JO13" s="465">
        <v>389369</v>
      </c>
      <c r="JP13" s="465">
        <v>0</v>
      </c>
      <c r="JQ13" s="465">
        <v>657487</v>
      </c>
      <c r="JR13" s="465">
        <v>0</v>
      </c>
      <c r="JS13" s="465">
        <v>0</v>
      </c>
      <c r="JT13" s="465">
        <v>0</v>
      </c>
      <c r="JU13" s="465">
        <v>0</v>
      </c>
      <c r="JV13" s="465">
        <v>0</v>
      </c>
      <c r="JW13" s="465">
        <v>0</v>
      </c>
      <c r="JX13" s="465">
        <v>2071497</v>
      </c>
      <c r="JY13" s="465">
        <v>0</v>
      </c>
      <c r="JZ13" s="465">
        <v>1880346</v>
      </c>
      <c r="KA13" s="465">
        <v>0</v>
      </c>
      <c r="KB13" s="465">
        <v>0</v>
      </c>
      <c r="KC13" s="465">
        <v>0</v>
      </c>
      <c r="KD13" s="465">
        <v>0</v>
      </c>
      <c r="KE13" s="465">
        <v>0</v>
      </c>
      <c r="KF13" s="465">
        <v>0</v>
      </c>
      <c r="KG13" s="465">
        <v>52433326</v>
      </c>
      <c r="KH13" s="465">
        <v>0</v>
      </c>
      <c r="KI13" s="465">
        <v>56851</v>
      </c>
      <c r="KJ13" s="465">
        <v>322</v>
      </c>
      <c r="KK13" s="465">
        <v>0</v>
      </c>
      <c r="KL13" s="465">
        <v>0</v>
      </c>
      <c r="KM13" s="465">
        <v>0</v>
      </c>
      <c r="KN13" s="465">
        <v>0</v>
      </c>
      <c r="KO13" s="465">
        <v>0</v>
      </c>
      <c r="KP13" s="465">
        <v>0</v>
      </c>
      <c r="KQ13" s="465">
        <v>695653</v>
      </c>
      <c r="KR13" s="465">
        <v>0</v>
      </c>
      <c r="KS13" s="465">
        <v>0</v>
      </c>
      <c r="KT13" s="465">
        <v>0</v>
      </c>
      <c r="KU13" s="465">
        <v>0</v>
      </c>
      <c r="KV13" s="465">
        <v>0</v>
      </c>
      <c r="KW13" s="465">
        <v>0</v>
      </c>
      <c r="KX13" s="465">
        <v>275</v>
      </c>
      <c r="KY13" s="465">
        <v>6681558</v>
      </c>
      <c r="KZ13" s="465">
        <v>0</v>
      </c>
      <c r="LA13" s="465">
        <v>143011</v>
      </c>
      <c r="LB13" s="465">
        <v>30590</v>
      </c>
      <c r="LC13" s="465">
        <v>0</v>
      </c>
      <c r="LD13" s="465">
        <v>0</v>
      </c>
      <c r="LE13" s="465">
        <v>0</v>
      </c>
      <c r="LF13" s="465">
        <v>-732139</v>
      </c>
      <c r="LG13" s="465">
        <v>46750586</v>
      </c>
      <c r="LH13" s="465">
        <v>30487973</v>
      </c>
      <c r="LI13" s="465">
        <v>0</v>
      </c>
      <c r="LJ13" s="465">
        <v>2300177</v>
      </c>
      <c r="LK13" s="465">
        <v>0</v>
      </c>
      <c r="LL13" s="465">
        <v>0</v>
      </c>
      <c r="LM13" s="465">
        <v>0</v>
      </c>
      <c r="LN13" s="465">
        <v>0</v>
      </c>
      <c r="LO13" s="465">
        <v>0</v>
      </c>
      <c r="LP13" s="465">
        <v>2993099</v>
      </c>
      <c r="LQ13" s="465">
        <v>8129319</v>
      </c>
      <c r="LR13" s="465">
        <v>0</v>
      </c>
      <c r="LS13" s="465">
        <v>35293862</v>
      </c>
      <c r="LT13" s="465">
        <v>0</v>
      </c>
      <c r="LU13" s="465">
        <v>0</v>
      </c>
      <c r="LV13" s="465">
        <v>0</v>
      </c>
      <c r="LW13" s="465">
        <v>0</v>
      </c>
      <c r="LX13" s="465">
        <v>0</v>
      </c>
      <c r="LY13" s="465">
        <v>19194062</v>
      </c>
      <c r="LZ13" s="465">
        <v>21050906</v>
      </c>
      <c r="MA13" s="465">
        <v>0</v>
      </c>
      <c r="MB13" s="465">
        <v>6271699</v>
      </c>
      <c r="MC13" s="465">
        <v>0</v>
      </c>
      <c r="MD13" s="465">
        <v>0</v>
      </c>
      <c r="ME13" s="465">
        <v>0</v>
      </c>
      <c r="MF13" s="465">
        <v>0</v>
      </c>
      <c r="MG13" s="465">
        <v>0</v>
      </c>
      <c r="MH13" s="465">
        <v>0</v>
      </c>
      <c r="MI13" s="465">
        <v>0</v>
      </c>
      <c r="MJ13" s="465">
        <v>0</v>
      </c>
      <c r="MK13" s="465">
        <v>0</v>
      </c>
      <c r="ML13" s="465">
        <v>0</v>
      </c>
      <c r="MM13" s="465">
        <v>0</v>
      </c>
      <c r="MN13" s="465">
        <v>0</v>
      </c>
      <c r="MO13" s="465">
        <v>0</v>
      </c>
      <c r="MP13" s="465">
        <v>0</v>
      </c>
      <c r="MQ13" s="465">
        <v>16043698</v>
      </c>
      <c r="MR13" s="465">
        <v>11036464</v>
      </c>
      <c r="MS13" s="465">
        <v>0</v>
      </c>
      <c r="MT13" s="465">
        <v>329496</v>
      </c>
      <c r="MU13" s="465">
        <v>0</v>
      </c>
      <c r="MV13" s="465">
        <v>0</v>
      </c>
      <c r="MW13" s="465">
        <v>0</v>
      </c>
      <c r="MX13" s="465">
        <v>0</v>
      </c>
      <c r="MY13" s="465">
        <v>0</v>
      </c>
      <c r="MZ13" s="465">
        <v>4205952</v>
      </c>
      <c r="NA13" s="465">
        <v>3762476</v>
      </c>
      <c r="NB13" s="465">
        <v>0</v>
      </c>
      <c r="NC13" s="465">
        <v>40525</v>
      </c>
      <c r="ND13" s="465">
        <v>9635</v>
      </c>
      <c r="NE13" s="465">
        <v>0</v>
      </c>
      <c r="NF13" s="465">
        <v>0</v>
      </c>
      <c r="NG13" s="465">
        <v>0</v>
      </c>
      <c r="NH13" s="465">
        <v>0</v>
      </c>
      <c r="NI13" s="465">
        <v>14630723</v>
      </c>
      <c r="NJ13" s="465">
        <v>6741642</v>
      </c>
      <c r="NK13" s="465">
        <v>0</v>
      </c>
      <c r="NL13" s="465">
        <v>380580</v>
      </c>
      <c r="NM13" s="465">
        <v>0</v>
      </c>
      <c r="NN13" s="465">
        <v>107653</v>
      </c>
      <c r="NO13" s="465">
        <v>209</v>
      </c>
      <c r="NP13" s="465">
        <v>0</v>
      </c>
      <c r="NQ13" s="465">
        <v>0</v>
      </c>
      <c r="NR13" s="465">
        <v>13474790</v>
      </c>
      <c r="NS13" s="465">
        <v>3431219</v>
      </c>
      <c r="NT13" s="465">
        <v>0</v>
      </c>
      <c r="NU13" s="465">
        <v>23591</v>
      </c>
      <c r="NV13" s="465">
        <v>0</v>
      </c>
      <c r="NW13" s="465">
        <v>0</v>
      </c>
      <c r="NX13" s="465">
        <v>0</v>
      </c>
      <c r="NY13" s="465">
        <v>0</v>
      </c>
      <c r="NZ13" s="465">
        <v>118660</v>
      </c>
      <c r="OA13" s="465">
        <v>386100</v>
      </c>
      <c r="OB13" s="465">
        <v>691790</v>
      </c>
      <c r="OC13" s="465">
        <v>0</v>
      </c>
      <c r="OD13" s="465">
        <v>1409775</v>
      </c>
      <c r="OE13" s="465">
        <v>124600</v>
      </c>
      <c r="OF13" s="465">
        <v>0</v>
      </c>
      <c r="OG13" s="465">
        <v>0</v>
      </c>
      <c r="OH13" s="465">
        <v>0</v>
      </c>
      <c r="OI13" s="465">
        <v>0</v>
      </c>
      <c r="OJ13" s="465">
        <v>0</v>
      </c>
      <c r="OK13" s="465">
        <v>0</v>
      </c>
      <c r="OL13" s="465">
        <v>177508</v>
      </c>
      <c r="OM13" s="465">
        <v>0</v>
      </c>
      <c r="ON13" s="465">
        <v>0</v>
      </c>
      <c r="OO13" s="465">
        <v>0</v>
      </c>
      <c r="OP13" s="465">
        <v>0</v>
      </c>
      <c r="OQ13" s="465">
        <v>0</v>
      </c>
      <c r="OR13" s="465">
        <v>0</v>
      </c>
      <c r="OS13" s="465">
        <v>7174829</v>
      </c>
      <c r="OT13" s="465">
        <v>4517492</v>
      </c>
      <c r="OU13" s="465">
        <v>14600</v>
      </c>
      <c r="OV13" s="465">
        <v>188455</v>
      </c>
      <c r="OW13" s="465">
        <v>0</v>
      </c>
      <c r="OX13" s="465">
        <v>0</v>
      </c>
      <c r="OY13" s="465">
        <v>0</v>
      </c>
      <c r="OZ13" s="465">
        <v>0</v>
      </c>
      <c r="PA13" s="465">
        <v>0</v>
      </c>
      <c r="PB13" s="465">
        <v>-6574</v>
      </c>
      <c r="PC13" s="465">
        <v>171648</v>
      </c>
      <c r="PD13" s="465">
        <v>0</v>
      </c>
      <c r="PE13" s="465">
        <v>691263</v>
      </c>
      <c r="PF13" s="465">
        <v>-209852</v>
      </c>
      <c r="PG13" s="465">
        <v>0</v>
      </c>
      <c r="PH13" s="465">
        <v>0</v>
      </c>
      <c r="PI13" s="465">
        <v>0</v>
      </c>
      <c r="PJ13" s="465">
        <v>-126125</v>
      </c>
      <c r="PK13" s="465">
        <v>0</v>
      </c>
      <c r="PL13" s="465">
        <v>0</v>
      </c>
      <c r="PM13" s="465">
        <v>0</v>
      </c>
      <c r="PN13" s="465">
        <v>0</v>
      </c>
      <c r="PO13" s="465">
        <v>0</v>
      </c>
      <c r="PP13" s="465">
        <v>0</v>
      </c>
      <c r="PQ13" s="465">
        <v>0</v>
      </c>
      <c r="PR13" s="465">
        <v>0</v>
      </c>
      <c r="PS13" s="465">
        <v>-14506248</v>
      </c>
      <c r="PT13" s="465">
        <v>-18841172</v>
      </c>
      <c r="PU13" s="465">
        <v>-4516296</v>
      </c>
      <c r="PV13" s="465">
        <v>-173040</v>
      </c>
      <c r="PW13" s="465">
        <v>598413</v>
      </c>
      <c r="PX13" s="465">
        <v>874902</v>
      </c>
      <c r="PY13" s="465">
        <v>-1065430</v>
      </c>
      <c r="PZ13" s="465">
        <v>0</v>
      </c>
      <c r="QA13" s="465">
        <v>-14175088</v>
      </c>
      <c r="QB13" s="465">
        <v>17786749</v>
      </c>
      <c r="QC13" s="465">
        <v>0</v>
      </c>
      <c r="QD13" s="465">
        <v>0</v>
      </c>
      <c r="QE13" s="465">
        <v>0</v>
      </c>
      <c r="QF13" s="465">
        <v>0</v>
      </c>
      <c r="QG13" s="465">
        <v>0</v>
      </c>
      <c r="QH13" s="465">
        <v>0</v>
      </c>
      <c r="QI13" s="465">
        <v>0</v>
      </c>
      <c r="QJ13" s="465">
        <v>0</v>
      </c>
      <c r="QK13" s="465">
        <v>0</v>
      </c>
      <c r="QL13" s="465">
        <v>0</v>
      </c>
      <c r="QM13" s="465">
        <v>0</v>
      </c>
      <c r="QN13" s="465">
        <v>0</v>
      </c>
      <c r="QO13" s="465">
        <v>0</v>
      </c>
      <c r="QP13" s="465">
        <v>0</v>
      </c>
      <c r="QQ13" s="465">
        <v>0</v>
      </c>
      <c r="QR13" s="465">
        <v>0</v>
      </c>
      <c r="QS13" s="465">
        <v>0</v>
      </c>
      <c r="QT13" s="465">
        <v>-866</v>
      </c>
      <c r="QU13" s="465">
        <v>0</v>
      </c>
      <c r="QV13" s="465">
        <v>-24975391</v>
      </c>
      <c r="QW13" s="465">
        <v>0</v>
      </c>
      <c r="QX13" s="465">
        <v>0</v>
      </c>
      <c r="QY13" s="465">
        <v>0</v>
      </c>
      <c r="QZ13" s="465">
        <v>-9004542</v>
      </c>
      <c r="RA13" s="465">
        <v>0</v>
      </c>
      <c r="RB13" s="465">
        <v>0</v>
      </c>
      <c r="RC13" s="465">
        <v>0</v>
      </c>
      <c r="RD13" s="465">
        <v>0</v>
      </c>
      <c r="RE13" s="465">
        <v>0</v>
      </c>
      <c r="RF13" s="465">
        <v>0</v>
      </c>
      <c r="RG13" s="465">
        <v>0</v>
      </c>
      <c r="RH13" s="465">
        <v>0</v>
      </c>
      <c r="RI13" s="465">
        <v>0</v>
      </c>
      <c r="RJ13" s="465">
        <v>0</v>
      </c>
      <c r="RK13" s="465">
        <v>0</v>
      </c>
      <c r="RL13" s="465">
        <v>0</v>
      </c>
      <c r="RM13" s="465">
        <v>0</v>
      </c>
      <c r="RN13" s="465">
        <v>0</v>
      </c>
      <c r="RO13" s="465">
        <v>0</v>
      </c>
      <c r="RP13" s="465">
        <v>0</v>
      </c>
      <c r="RQ13" s="465">
        <v>0</v>
      </c>
      <c r="RR13" s="465">
        <v>0</v>
      </c>
      <c r="RS13" s="465">
        <v>0</v>
      </c>
      <c r="RT13" s="465">
        <v>0</v>
      </c>
      <c r="RU13" s="465">
        <v>-20848813</v>
      </c>
      <c r="RV13" s="465">
        <v>0</v>
      </c>
      <c r="RW13" s="465">
        <v>0</v>
      </c>
      <c r="RX13" s="465">
        <v>0</v>
      </c>
      <c r="RY13" s="465">
        <v>0</v>
      </c>
      <c r="RZ13" s="465">
        <v>0</v>
      </c>
      <c r="SA13" s="465">
        <v>0</v>
      </c>
      <c r="SB13" s="465">
        <v>0</v>
      </c>
      <c r="SC13" s="465">
        <v>0</v>
      </c>
      <c r="SD13" s="465">
        <v>1096</v>
      </c>
      <c r="SE13" s="465">
        <v>0</v>
      </c>
      <c r="SF13" s="465">
        <v>0</v>
      </c>
      <c r="SG13" s="465">
        <v>0</v>
      </c>
      <c r="SH13" s="465">
        <v>0</v>
      </c>
      <c r="SI13" s="465">
        <v>0</v>
      </c>
      <c r="SJ13" s="465">
        <v>0</v>
      </c>
      <c r="SK13" s="465">
        <v>0</v>
      </c>
      <c r="SL13" s="465">
        <v>0</v>
      </c>
      <c r="SM13" s="465">
        <v>0</v>
      </c>
      <c r="SN13" s="465">
        <v>0</v>
      </c>
      <c r="SO13" s="465">
        <v>0</v>
      </c>
      <c r="SP13" s="465">
        <v>0</v>
      </c>
      <c r="SQ13" s="465">
        <v>0</v>
      </c>
      <c r="SR13" s="465">
        <v>0</v>
      </c>
      <c r="SS13" s="465">
        <v>0</v>
      </c>
      <c r="ST13" s="465">
        <v>0</v>
      </c>
      <c r="SU13" s="465">
        <v>0</v>
      </c>
      <c r="SV13" s="465">
        <v>0</v>
      </c>
      <c r="SW13" s="465">
        <v>0</v>
      </c>
      <c r="SX13" s="465">
        <v>0</v>
      </c>
      <c r="SY13" s="465">
        <v>0</v>
      </c>
      <c r="SZ13" s="465">
        <v>0</v>
      </c>
      <c r="TA13" s="465">
        <v>0</v>
      </c>
      <c r="TB13" s="465">
        <v>0</v>
      </c>
      <c r="TC13" s="465">
        <v>0</v>
      </c>
      <c r="TD13" s="465">
        <v>0</v>
      </c>
      <c r="TE13" s="465">
        <v>26401624</v>
      </c>
      <c r="TF13" s="465">
        <v>-11413727</v>
      </c>
      <c r="TG13" s="465">
        <v>0</v>
      </c>
      <c r="TH13" s="465">
        <v>0</v>
      </c>
      <c r="TI13" s="465">
        <v>37335098</v>
      </c>
      <c r="TJ13" s="465">
        <v>-2857286</v>
      </c>
      <c r="TK13" s="465">
        <v>1679009</v>
      </c>
      <c r="TL13" s="465">
        <v>2114316</v>
      </c>
      <c r="TM13" s="465">
        <v>2193117</v>
      </c>
      <c r="TN13" s="465">
        <v>0</v>
      </c>
      <c r="TO13" s="465">
        <v>2483801</v>
      </c>
      <c r="TP13" s="465">
        <v>9059</v>
      </c>
      <c r="TQ13" s="465">
        <v>11006</v>
      </c>
      <c r="TR13" s="465">
        <v>3390468</v>
      </c>
      <c r="TS13" s="465">
        <v>14600</v>
      </c>
      <c r="TT13" s="465">
        <v>0</v>
      </c>
      <c r="TU13" s="465">
        <v>0</v>
      </c>
      <c r="TV13" s="465">
        <v>865949</v>
      </c>
      <c r="TW13" s="465">
        <v>0</v>
      </c>
      <c r="TX13" s="465">
        <v>0</v>
      </c>
      <c r="TY13" s="465">
        <v>0</v>
      </c>
      <c r="TZ13" s="465">
        <v>0</v>
      </c>
      <c r="UA13" s="465">
        <v>0</v>
      </c>
      <c r="UB13" s="465">
        <v>0</v>
      </c>
      <c r="UC13" s="465">
        <v>0</v>
      </c>
      <c r="UD13" s="465">
        <v>0</v>
      </c>
      <c r="UE13" s="465">
        <v>0</v>
      </c>
      <c r="UF13" s="465">
        <v>0</v>
      </c>
      <c r="UG13" s="465">
        <v>0</v>
      </c>
      <c r="UH13" s="465">
        <v>0</v>
      </c>
      <c r="UI13" s="465">
        <v>0</v>
      </c>
      <c r="UJ13" s="465">
        <v>0</v>
      </c>
      <c r="UK13" s="465">
        <v>0</v>
      </c>
      <c r="UL13" s="465">
        <v>0</v>
      </c>
      <c r="UM13" s="465">
        <v>0</v>
      </c>
      <c r="UN13" s="465">
        <v>0</v>
      </c>
      <c r="UO13" s="465">
        <v>79538736</v>
      </c>
      <c r="UP13" s="465">
        <v>46416280</v>
      </c>
      <c r="UQ13" s="465">
        <v>46516667</v>
      </c>
      <c r="UR13" s="465">
        <v>0</v>
      </c>
      <c r="US13" s="465">
        <v>27409658</v>
      </c>
      <c r="UT13" s="465">
        <v>8018588</v>
      </c>
      <c r="UU13" s="465">
        <v>21860807</v>
      </c>
      <c r="UV13" s="465">
        <v>17048260</v>
      </c>
      <c r="UW13" s="465">
        <v>2612265</v>
      </c>
      <c r="UX13" s="465">
        <v>177508</v>
      </c>
      <c r="UY13" s="465">
        <v>0</v>
      </c>
      <c r="UZ13" s="465">
        <v>0</v>
      </c>
      <c r="VA13" s="465">
        <v>0</v>
      </c>
      <c r="VB13" s="465">
        <v>0</v>
      </c>
      <c r="VC13" s="465" t="s">
        <v>1594</v>
      </c>
      <c r="VD13" s="465" t="s">
        <v>1595</v>
      </c>
      <c r="VE13" s="465" t="s">
        <v>1596</v>
      </c>
    </row>
    <row r="14" spans="1:577" s="331" customFormat="1" ht="30.6" thickBot="1">
      <c r="A14" s="325">
        <v>470</v>
      </c>
      <c r="B14" s="326" t="s">
        <v>27</v>
      </c>
      <c r="C14" s="327" t="s">
        <v>948</v>
      </c>
      <c r="D14" s="329" t="s">
        <v>428</v>
      </c>
      <c r="E14" s="466">
        <v>412</v>
      </c>
      <c r="F14" s="464">
        <v>2518090399</v>
      </c>
      <c r="G14" s="329" t="s">
        <v>1572</v>
      </c>
      <c r="H14" s="331" t="s">
        <v>27</v>
      </c>
      <c r="M14" s="465">
        <v>166379240</v>
      </c>
      <c r="N14" s="465">
        <v>0</v>
      </c>
      <c r="O14" s="465">
        <v>0</v>
      </c>
      <c r="P14" s="465">
        <v>13427001</v>
      </c>
      <c r="Q14" s="465">
        <v>0</v>
      </c>
      <c r="R14" s="465">
        <v>0</v>
      </c>
      <c r="S14" s="465">
        <v>0</v>
      </c>
      <c r="T14" s="465">
        <v>0</v>
      </c>
      <c r="U14" s="465">
        <v>0</v>
      </c>
      <c r="V14" s="465">
        <v>8775000</v>
      </c>
      <c r="W14" s="465">
        <v>71625</v>
      </c>
      <c r="X14" s="465">
        <v>0</v>
      </c>
      <c r="Y14" s="465">
        <v>6863026</v>
      </c>
      <c r="Z14" s="465">
        <v>0</v>
      </c>
      <c r="AA14" s="465">
        <v>0</v>
      </c>
      <c r="AB14" s="465">
        <v>0</v>
      </c>
      <c r="AC14" s="465">
        <v>0</v>
      </c>
      <c r="AD14" s="465">
        <v>0</v>
      </c>
      <c r="AE14" s="465">
        <v>0</v>
      </c>
      <c r="AF14" s="465">
        <v>0</v>
      </c>
      <c r="AG14" s="465">
        <v>0</v>
      </c>
      <c r="AH14" s="465">
        <v>0</v>
      </c>
      <c r="AI14" s="465">
        <v>0</v>
      </c>
      <c r="AJ14" s="465">
        <v>0</v>
      </c>
      <c r="AK14" s="465">
        <v>0</v>
      </c>
      <c r="AL14" s="465">
        <v>0</v>
      </c>
      <c r="AM14" s="465">
        <v>0</v>
      </c>
      <c r="AN14" s="465">
        <v>21652392</v>
      </c>
      <c r="AO14" s="465">
        <v>0</v>
      </c>
      <c r="AP14" s="465">
        <v>0</v>
      </c>
      <c r="AQ14" s="465">
        <v>0</v>
      </c>
      <c r="AR14" s="465">
        <v>0</v>
      </c>
      <c r="AS14" s="465">
        <v>0</v>
      </c>
      <c r="AT14" s="465">
        <v>0</v>
      </c>
      <c r="AU14" s="465">
        <v>0</v>
      </c>
      <c r="AV14" s="465">
        <v>0</v>
      </c>
      <c r="AW14" s="465">
        <v>0</v>
      </c>
      <c r="AX14" s="465">
        <v>0</v>
      </c>
      <c r="AY14" s="465">
        <v>0</v>
      </c>
      <c r="AZ14" s="465">
        <v>0</v>
      </c>
      <c r="BA14" s="465">
        <v>0</v>
      </c>
      <c r="BB14" s="465">
        <v>0</v>
      </c>
      <c r="BC14" s="465">
        <v>0</v>
      </c>
      <c r="BD14" s="465">
        <v>0</v>
      </c>
      <c r="BE14" s="465">
        <v>0</v>
      </c>
      <c r="BF14" s="465">
        <v>-3793657</v>
      </c>
      <c r="BG14" s="465">
        <v>0</v>
      </c>
      <c r="BH14" s="465">
        <v>0</v>
      </c>
      <c r="BI14" s="465">
        <v>0</v>
      </c>
      <c r="BJ14" s="465">
        <v>0</v>
      </c>
      <c r="BK14" s="465">
        <v>0</v>
      </c>
      <c r="BL14" s="465">
        <v>0</v>
      </c>
      <c r="BM14" s="465">
        <v>0</v>
      </c>
      <c r="BN14" s="465">
        <v>0</v>
      </c>
      <c r="BO14" s="465">
        <v>0</v>
      </c>
      <c r="BP14" s="465">
        <v>0</v>
      </c>
      <c r="BQ14" s="465">
        <v>0</v>
      </c>
      <c r="BR14" s="465">
        <v>0</v>
      </c>
      <c r="BS14" s="465">
        <v>0</v>
      </c>
      <c r="BT14" s="465">
        <v>0</v>
      </c>
      <c r="BU14" s="465">
        <v>0</v>
      </c>
      <c r="BV14" s="465">
        <v>0</v>
      </c>
      <c r="BW14" s="465">
        <v>0</v>
      </c>
      <c r="BX14" s="465">
        <v>0</v>
      </c>
      <c r="BY14" s="465">
        <v>0</v>
      </c>
      <c r="BZ14" s="465">
        <v>0</v>
      </c>
      <c r="CA14" s="465">
        <v>0</v>
      </c>
      <c r="CB14" s="465">
        <v>0</v>
      </c>
      <c r="CC14" s="465">
        <v>0</v>
      </c>
      <c r="CD14" s="465">
        <v>0</v>
      </c>
      <c r="CE14" s="465">
        <v>0</v>
      </c>
      <c r="CF14" s="465">
        <v>0</v>
      </c>
      <c r="CG14" s="465">
        <v>0</v>
      </c>
      <c r="CH14" s="465">
        <v>0</v>
      </c>
      <c r="CI14" s="465">
        <v>0</v>
      </c>
      <c r="CJ14" s="465">
        <v>0</v>
      </c>
      <c r="CK14" s="465">
        <v>0</v>
      </c>
      <c r="CL14" s="465">
        <v>0</v>
      </c>
      <c r="CM14" s="465">
        <v>0</v>
      </c>
      <c r="CN14" s="465">
        <v>0</v>
      </c>
      <c r="CO14" s="465">
        <v>0</v>
      </c>
      <c r="CP14" s="465">
        <v>18680112</v>
      </c>
      <c r="CQ14" s="465">
        <v>34060283</v>
      </c>
      <c r="CR14" s="465">
        <v>0</v>
      </c>
      <c r="CS14" s="465">
        <v>0</v>
      </c>
      <c r="CT14" s="465">
        <v>0</v>
      </c>
      <c r="CU14" s="465">
        <v>0</v>
      </c>
      <c r="CV14" s="465">
        <v>0</v>
      </c>
      <c r="CW14" s="465">
        <v>0</v>
      </c>
      <c r="CX14" s="465">
        <v>0</v>
      </c>
      <c r="CY14" s="465">
        <v>0</v>
      </c>
      <c r="CZ14" s="465">
        <v>0</v>
      </c>
      <c r="DA14" s="465">
        <v>0</v>
      </c>
      <c r="DB14" s="465">
        <v>0</v>
      </c>
      <c r="DC14" s="465">
        <v>0</v>
      </c>
      <c r="DD14" s="465">
        <v>0</v>
      </c>
      <c r="DE14" s="465">
        <v>0</v>
      </c>
      <c r="DF14" s="465">
        <v>0</v>
      </c>
      <c r="DG14" s="465">
        <v>0</v>
      </c>
      <c r="DH14" s="465">
        <v>0</v>
      </c>
      <c r="DI14" s="465">
        <v>0</v>
      </c>
      <c r="DJ14" s="465">
        <v>0</v>
      </c>
      <c r="DK14" s="465">
        <v>0</v>
      </c>
      <c r="DL14" s="465">
        <v>0</v>
      </c>
      <c r="DM14" s="465">
        <v>0</v>
      </c>
      <c r="DN14" s="465">
        <v>0</v>
      </c>
      <c r="DO14" s="465">
        <v>0</v>
      </c>
      <c r="DP14" s="465">
        <v>0</v>
      </c>
      <c r="DQ14" s="465">
        <v>-374736</v>
      </c>
      <c r="DR14" s="465">
        <v>-1127171</v>
      </c>
      <c r="DS14" s="465">
        <v>0</v>
      </c>
      <c r="DT14" s="465">
        <v>0</v>
      </c>
      <c r="DU14" s="465">
        <v>0</v>
      </c>
      <c r="DV14" s="465">
        <v>0</v>
      </c>
      <c r="DW14" s="465">
        <v>0</v>
      </c>
      <c r="DX14" s="465">
        <v>0</v>
      </c>
      <c r="DY14" s="465">
        <v>0</v>
      </c>
      <c r="DZ14" s="465">
        <v>0</v>
      </c>
      <c r="EA14" s="465">
        <v>0</v>
      </c>
      <c r="EB14" s="465">
        <v>0</v>
      </c>
      <c r="EC14" s="465">
        <v>0</v>
      </c>
      <c r="ED14" s="465">
        <v>0</v>
      </c>
      <c r="EE14" s="465">
        <v>0</v>
      </c>
      <c r="EF14" s="465">
        <v>0</v>
      </c>
      <c r="EG14" s="465">
        <v>0</v>
      </c>
      <c r="EH14" s="465">
        <v>0</v>
      </c>
      <c r="EI14" s="465">
        <v>-1586520</v>
      </c>
      <c r="EJ14" s="465">
        <v>-5198550</v>
      </c>
      <c r="EK14" s="465">
        <v>0</v>
      </c>
      <c r="EL14" s="465">
        <v>0</v>
      </c>
      <c r="EM14" s="465">
        <v>0</v>
      </c>
      <c r="EN14" s="465">
        <v>0</v>
      </c>
      <c r="EO14" s="465">
        <v>0</v>
      </c>
      <c r="EP14" s="465">
        <v>0</v>
      </c>
      <c r="EQ14" s="465">
        <v>0</v>
      </c>
      <c r="ER14" s="465">
        <v>0</v>
      </c>
      <c r="ES14" s="465">
        <v>0</v>
      </c>
      <c r="ET14" s="465">
        <v>0</v>
      </c>
      <c r="EU14" s="465">
        <v>0</v>
      </c>
      <c r="EV14" s="465">
        <v>0</v>
      </c>
      <c r="EW14" s="465">
        <v>0</v>
      </c>
      <c r="EX14" s="465">
        <v>0</v>
      </c>
      <c r="EY14" s="465">
        <v>0</v>
      </c>
      <c r="EZ14" s="465">
        <v>0</v>
      </c>
      <c r="FA14" s="465">
        <v>0</v>
      </c>
      <c r="FB14" s="465">
        <v>0</v>
      </c>
      <c r="FC14" s="465">
        <v>0</v>
      </c>
      <c r="FD14" s="465">
        <v>0</v>
      </c>
      <c r="FE14" s="465">
        <v>0</v>
      </c>
      <c r="FF14" s="465">
        <v>0</v>
      </c>
      <c r="FG14" s="465">
        <v>0</v>
      </c>
      <c r="FH14" s="465">
        <v>0</v>
      </c>
      <c r="FI14" s="465">
        <v>0</v>
      </c>
      <c r="FJ14" s="465">
        <v>0</v>
      </c>
      <c r="FK14" s="465">
        <v>0</v>
      </c>
      <c r="FL14" s="465">
        <v>0</v>
      </c>
      <c r="FM14" s="465">
        <v>0</v>
      </c>
      <c r="FN14" s="465">
        <v>0</v>
      </c>
      <c r="FO14" s="465">
        <v>0</v>
      </c>
      <c r="FP14" s="465">
        <v>0</v>
      </c>
      <c r="FQ14" s="465">
        <v>0</v>
      </c>
      <c r="FR14" s="465">
        <v>0</v>
      </c>
      <c r="FS14" s="465">
        <v>0</v>
      </c>
      <c r="FT14" s="465">
        <v>0</v>
      </c>
      <c r="FU14" s="465">
        <v>0</v>
      </c>
      <c r="FV14" s="465">
        <v>0</v>
      </c>
      <c r="FW14" s="465">
        <v>0</v>
      </c>
      <c r="FX14" s="465">
        <v>0</v>
      </c>
      <c r="FY14" s="465">
        <v>0</v>
      </c>
      <c r="FZ14" s="465">
        <v>0</v>
      </c>
      <c r="GA14" s="465">
        <v>0</v>
      </c>
      <c r="GB14" s="465">
        <v>0</v>
      </c>
      <c r="GC14" s="465">
        <v>29107003</v>
      </c>
      <c r="GD14" s="465">
        <v>0</v>
      </c>
      <c r="GE14" s="465">
        <v>0</v>
      </c>
      <c r="GF14" s="465">
        <v>0</v>
      </c>
      <c r="GG14" s="465">
        <v>0</v>
      </c>
      <c r="GH14" s="465">
        <v>0</v>
      </c>
      <c r="GI14" s="465">
        <v>0</v>
      </c>
      <c r="GJ14" s="465">
        <v>0</v>
      </c>
      <c r="GK14" s="465">
        <v>0</v>
      </c>
      <c r="GL14" s="465">
        <v>0</v>
      </c>
      <c r="GM14" s="465">
        <v>0</v>
      </c>
      <c r="GN14" s="465">
        <v>0</v>
      </c>
      <c r="GO14" s="465">
        <v>0</v>
      </c>
      <c r="GP14" s="465">
        <v>0</v>
      </c>
      <c r="GQ14" s="465">
        <v>0</v>
      </c>
      <c r="GR14" s="465">
        <v>0</v>
      </c>
      <c r="GS14" s="465">
        <v>0</v>
      </c>
      <c r="GT14" s="465">
        <v>0</v>
      </c>
      <c r="GU14" s="465">
        <v>0</v>
      </c>
      <c r="GV14" s="465">
        <v>0</v>
      </c>
      <c r="GW14" s="465">
        <v>0</v>
      </c>
      <c r="GX14" s="465">
        <v>0</v>
      </c>
      <c r="GY14" s="465">
        <v>0</v>
      </c>
      <c r="GZ14" s="465">
        <v>0</v>
      </c>
      <c r="HA14" s="465">
        <v>0</v>
      </c>
      <c r="HB14" s="465">
        <v>0</v>
      </c>
      <c r="HC14" s="465">
        <v>0</v>
      </c>
      <c r="HD14" s="465">
        <v>-2040556</v>
      </c>
      <c r="HE14" s="465">
        <v>0</v>
      </c>
      <c r="HF14" s="465">
        <v>0</v>
      </c>
      <c r="HG14" s="465">
        <v>0</v>
      </c>
      <c r="HH14" s="465">
        <v>0</v>
      </c>
      <c r="HI14" s="465">
        <v>0</v>
      </c>
      <c r="HJ14" s="465">
        <v>0</v>
      </c>
      <c r="HK14" s="465">
        <v>0</v>
      </c>
      <c r="HL14" s="465">
        <v>0</v>
      </c>
      <c r="HM14" s="465">
        <v>0</v>
      </c>
      <c r="HN14" s="465">
        <v>0</v>
      </c>
      <c r="HO14" s="465">
        <v>0</v>
      </c>
      <c r="HP14" s="465">
        <v>0</v>
      </c>
      <c r="HQ14" s="465">
        <v>0</v>
      </c>
      <c r="HR14" s="465">
        <v>0</v>
      </c>
      <c r="HS14" s="465">
        <v>0</v>
      </c>
      <c r="HT14" s="465">
        <v>0</v>
      </c>
      <c r="HU14" s="465">
        <v>0</v>
      </c>
      <c r="HV14" s="465">
        <v>0</v>
      </c>
      <c r="HW14" s="465">
        <v>0</v>
      </c>
      <c r="HX14" s="465">
        <v>0</v>
      </c>
      <c r="HY14" s="465">
        <v>0</v>
      </c>
      <c r="HZ14" s="465">
        <v>0</v>
      </c>
      <c r="IA14" s="465">
        <v>0</v>
      </c>
      <c r="IB14" s="465">
        <v>0</v>
      </c>
      <c r="IC14" s="465">
        <v>0</v>
      </c>
      <c r="ID14" s="465">
        <v>59479</v>
      </c>
      <c r="IE14" s="465">
        <v>914538</v>
      </c>
      <c r="IF14" s="465">
        <v>0</v>
      </c>
      <c r="IG14" s="465">
        <v>33730160</v>
      </c>
      <c r="IH14" s="465">
        <v>0</v>
      </c>
      <c r="II14" s="465">
        <v>0</v>
      </c>
      <c r="IJ14" s="465">
        <v>0</v>
      </c>
      <c r="IK14" s="465">
        <v>0</v>
      </c>
      <c r="IL14" s="465">
        <v>0</v>
      </c>
      <c r="IM14" s="465">
        <v>0</v>
      </c>
      <c r="IN14" s="465">
        <v>128154410</v>
      </c>
      <c r="IO14" s="465">
        <v>0</v>
      </c>
      <c r="IP14" s="465">
        <v>119656862</v>
      </c>
      <c r="IQ14" s="465">
        <v>0</v>
      </c>
      <c r="IR14" s="465">
        <v>0</v>
      </c>
      <c r="IS14" s="465">
        <v>0</v>
      </c>
      <c r="IT14" s="465">
        <v>0</v>
      </c>
      <c r="IU14" s="465">
        <v>0</v>
      </c>
      <c r="IV14" s="465">
        <v>0</v>
      </c>
      <c r="IW14" s="465">
        <v>0</v>
      </c>
      <c r="IX14" s="465">
        <v>0</v>
      </c>
      <c r="IY14" s="465">
        <v>0</v>
      </c>
      <c r="IZ14" s="465">
        <v>0</v>
      </c>
      <c r="JA14" s="465">
        <v>0</v>
      </c>
      <c r="JB14" s="465">
        <v>0</v>
      </c>
      <c r="JC14" s="465">
        <v>0</v>
      </c>
      <c r="JD14" s="465">
        <v>0</v>
      </c>
      <c r="JE14" s="465">
        <v>208902</v>
      </c>
      <c r="JF14" s="465">
        <v>12117167</v>
      </c>
      <c r="JG14" s="465">
        <v>55846</v>
      </c>
      <c r="JH14" s="465">
        <v>3898371</v>
      </c>
      <c r="JI14" s="465">
        <v>56106</v>
      </c>
      <c r="JJ14" s="465">
        <v>-4164862</v>
      </c>
      <c r="JK14" s="465">
        <v>1079358</v>
      </c>
      <c r="JL14" s="465">
        <v>0</v>
      </c>
      <c r="JM14" s="465">
        <v>0</v>
      </c>
      <c r="JN14" s="465">
        <v>0</v>
      </c>
      <c r="JO14" s="465">
        <v>34235381</v>
      </c>
      <c r="JP14" s="465">
        <v>0</v>
      </c>
      <c r="JQ14" s="465">
        <v>63629578</v>
      </c>
      <c r="JR14" s="465">
        <v>0</v>
      </c>
      <c r="JS14" s="465">
        <v>0</v>
      </c>
      <c r="JT14" s="465">
        <v>0</v>
      </c>
      <c r="JU14" s="465">
        <v>0</v>
      </c>
      <c r="JV14" s="465">
        <v>0</v>
      </c>
      <c r="JW14" s="465">
        <v>2000</v>
      </c>
      <c r="JX14" s="465">
        <v>42145523</v>
      </c>
      <c r="JY14" s="465">
        <v>0</v>
      </c>
      <c r="JZ14" s="465">
        <v>26611559</v>
      </c>
      <c r="KA14" s="465">
        <v>0</v>
      </c>
      <c r="KB14" s="465">
        <v>0</v>
      </c>
      <c r="KC14" s="465">
        <v>5102592</v>
      </c>
      <c r="KD14" s="465">
        <v>0</v>
      </c>
      <c r="KE14" s="465">
        <v>0</v>
      </c>
      <c r="KF14" s="465">
        <v>0</v>
      </c>
      <c r="KG14" s="465">
        <v>12312457</v>
      </c>
      <c r="KH14" s="465">
        <v>0</v>
      </c>
      <c r="KI14" s="465">
        <v>698223</v>
      </c>
      <c r="KJ14" s="465">
        <v>0</v>
      </c>
      <c r="KK14" s="465">
        <v>0</v>
      </c>
      <c r="KL14" s="465">
        <v>0</v>
      </c>
      <c r="KM14" s="465">
        <v>0</v>
      </c>
      <c r="KN14" s="465">
        <v>0</v>
      </c>
      <c r="KO14" s="465">
        <v>0</v>
      </c>
      <c r="KP14" s="465">
        <v>0</v>
      </c>
      <c r="KQ14" s="465">
        <v>938468</v>
      </c>
      <c r="KR14" s="465">
        <v>0</v>
      </c>
      <c r="KS14" s="465">
        <v>0</v>
      </c>
      <c r="KT14" s="465">
        <v>0</v>
      </c>
      <c r="KU14" s="465">
        <v>0</v>
      </c>
      <c r="KV14" s="465">
        <v>0</v>
      </c>
      <c r="KW14" s="465">
        <v>0</v>
      </c>
      <c r="KX14" s="465">
        <v>136</v>
      </c>
      <c r="KY14" s="465">
        <v>57689798</v>
      </c>
      <c r="KZ14" s="465">
        <v>0</v>
      </c>
      <c r="LA14" s="465">
        <v>36999</v>
      </c>
      <c r="LB14" s="465">
        <v>-235911</v>
      </c>
      <c r="LC14" s="465">
        <v>0</v>
      </c>
      <c r="LD14" s="465">
        <v>447008</v>
      </c>
      <c r="LE14" s="465">
        <v>0</v>
      </c>
      <c r="LF14" s="465">
        <v>0</v>
      </c>
      <c r="LG14" s="465">
        <v>80185433</v>
      </c>
      <c r="LH14" s="465">
        <v>81632484</v>
      </c>
      <c r="LI14" s="465">
        <v>0</v>
      </c>
      <c r="LJ14" s="465">
        <v>65612785</v>
      </c>
      <c r="LK14" s="465">
        <v>0</v>
      </c>
      <c r="LL14" s="465">
        <v>0</v>
      </c>
      <c r="LM14" s="465">
        <v>0</v>
      </c>
      <c r="LN14" s="465">
        <v>0</v>
      </c>
      <c r="LO14" s="465">
        <v>0</v>
      </c>
      <c r="LP14" s="465">
        <v>11102349</v>
      </c>
      <c r="LQ14" s="465">
        <v>10282796</v>
      </c>
      <c r="LR14" s="465">
        <v>0</v>
      </c>
      <c r="LS14" s="465">
        <v>17331630</v>
      </c>
      <c r="LT14" s="465">
        <v>0</v>
      </c>
      <c r="LU14" s="465">
        <v>0</v>
      </c>
      <c r="LV14" s="465">
        <v>42508</v>
      </c>
      <c r="LW14" s="465">
        <v>0</v>
      </c>
      <c r="LX14" s="465">
        <v>0</v>
      </c>
      <c r="LY14" s="465">
        <v>10272029</v>
      </c>
      <c r="LZ14" s="465">
        <v>4102824</v>
      </c>
      <c r="MA14" s="465">
        <v>0</v>
      </c>
      <c r="MB14" s="465">
        <v>135230455</v>
      </c>
      <c r="MC14" s="465">
        <v>0</v>
      </c>
      <c r="MD14" s="465">
        <v>0</v>
      </c>
      <c r="ME14" s="465">
        <v>0</v>
      </c>
      <c r="MF14" s="465">
        <v>0</v>
      </c>
      <c r="MG14" s="465">
        <v>0</v>
      </c>
      <c r="MH14" s="465">
        <v>1641079</v>
      </c>
      <c r="MI14" s="465">
        <v>74973044</v>
      </c>
      <c r="MJ14" s="465">
        <v>0</v>
      </c>
      <c r="MK14" s="465">
        <v>15534617</v>
      </c>
      <c r="ML14" s="465">
        <v>0</v>
      </c>
      <c r="MM14" s="465">
        <v>0</v>
      </c>
      <c r="MN14" s="465">
        <v>0</v>
      </c>
      <c r="MO14" s="465">
        <v>0</v>
      </c>
      <c r="MP14" s="465">
        <v>0</v>
      </c>
      <c r="MQ14" s="465">
        <v>47418727</v>
      </c>
      <c r="MR14" s="465">
        <v>81176982</v>
      </c>
      <c r="MS14" s="465">
        <v>0</v>
      </c>
      <c r="MT14" s="465">
        <v>3911781</v>
      </c>
      <c r="MU14" s="465">
        <v>0</v>
      </c>
      <c r="MV14" s="465">
        <v>0</v>
      </c>
      <c r="MW14" s="465">
        <v>7699</v>
      </c>
      <c r="MX14" s="465">
        <v>0</v>
      </c>
      <c r="MY14" s="465">
        <v>0</v>
      </c>
      <c r="MZ14" s="465">
        <v>1955496</v>
      </c>
      <c r="NA14" s="465">
        <v>22483652</v>
      </c>
      <c r="NB14" s="465">
        <v>0</v>
      </c>
      <c r="NC14" s="465">
        <v>10247</v>
      </c>
      <c r="ND14" s="465">
        <v>95714</v>
      </c>
      <c r="NE14" s="465">
        <v>0</v>
      </c>
      <c r="NF14" s="465">
        <v>0</v>
      </c>
      <c r="NG14" s="465">
        <v>0</v>
      </c>
      <c r="NH14" s="465">
        <v>0</v>
      </c>
      <c r="NI14" s="465">
        <v>22500774</v>
      </c>
      <c r="NJ14" s="465">
        <v>9105738</v>
      </c>
      <c r="NK14" s="465">
        <v>0</v>
      </c>
      <c r="NL14" s="465">
        <v>2683455</v>
      </c>
      <c r="NM14" s="465">
        <v>0</v>
      </c>
      <c r="NN14" s="465">
        <v>0</v>
      </c>
      <c r="NO14" s="465">
        <v>0</v>
      </c>
      <c r="NP14" s="465">
        <v>0</v>
      </c>
      <c r="NQ14" s="465">
        <v>0</v>
      </c>
      <c r="NR14" s="465">
        <v>11627788</v>
      </c>
      <c r="NS14" s="465">
        <v>13032758</v>
      </c>
      <c r="NT14" s="465">
        <v>0</v>
      </c>
      <c r="NU14" s="465">
        <v>66770</v>
      </c>
      <c r="NV14" s="465">
        <v>0</v>
      </c>
      <c r="NW14" s="465">
        <v>0</v>
      </c>
      <c r="NX14" s="465">
        <v>13283910</v>
      </c>
      <c r="NY14" s="465">
        <v>0</v>
      </c>
      <c r="NZ14" s="465">
        <v>0</v>
      </c>
      <c r="OA14" s="465">
        <v>0</v>
      </c>
      <c r="OB14" s="465">
        <v>819349</v>
      </c>
      <c r="OC14" s="465">
        <v>0</v>
      </c>
      <c r="OD14" s="465">
        <v>4224548</v>
      </c>
      <c r="OE14" s="465">
        <v>0</v>
      </c>
      <c r="OF14" s="465">
        <v>0</v>
      </c>
      <c r="OG14" s="465">
        <v>0</v>
      </c>
      <c r="OH14" s="465">
        <v>0</v>
      </c>
      <c r="OI14" s="465">
        <v>0</v>
      </c>
      <c r="OJ14" s="465">
        <v>0</v>
      </c>
      <c r="OK14" s="465">
        <v>0</v>
      </c>
      <c r="OL14" s="465">
        <v>527758</v>
      </c>
      <c r="OM14" s="465">
        <v>0</v>
      </c>
      <c r="ON14" s="465">
        <v>0</v>
      </c>
      <c r="OO14" s="465">
        <v>0</v>
      </c>
      <c r="OP14" s="465">
        <v>0</v>
      </c>
      <c r="OQ14" s="465">
        <v>0</v>
      </c>
      <c r="OR14" s="465">
        <v>0</v>
      </c>
      <c r="OS14" s="465">
        <v>1290170</v>
      </c>
      <c r="OT14" s="465">
        <v>4778825</v>
      </c>
      <c r="OU14" s="465">
        <v>0</v>
      </c>
      <c r="OV14" s="465">
        <v>2907444</v>
      </c>
      <c r="OW14" s="465">
        <v>0</v>
      </c>
      <c r="OX14" s="465">
        <v>0</v>
      </c>
      <c r="OY14" s="465">
        <v>0</v>
      </c>
      <c r="OZ14" s="465">
        <v>0</v>
      </c>
      <c r="PA14" s="465">
        <v>0</v>
      </c>
      <c r="PB14" s="465">
        <v>-88343</v>
      </c>
      <c r="PC14" s="465">
        <v>0</v>
      </c>
      <c r="PD14" s="465">
        <v>0</v>
      </c>
      <c r="PE14" s="465">
        <v>0</v>
      </c>
      <c r="PF14" s="465">
        <v>0</v>
      </c>
      <c r="PG14" s="465">
        <v>0</v>
      </c>
      <c r="PH14" s="465">
        <v>0</v>
      </c>
      <c r="PI14" s="465">
        <v>0</v>
      </c>
      <c r="PJ14" s="465">
        <v>191185</v>
      </c>
      <c r="PK14" s="465">
        <v>0</v>
      </c>
      <c r="PL14" s="465">
        <v>0</v>
      </c>
      <c r="PM14" s="465">
        <v>0</v>
      </c>
      <c r="PN14" s="465">
        <v>0</v>
      </c>
      <c r="PO14" s="465">
        <v>0</v>
      </c>
      <c r="PP14" s="465">
        <v>0</v>
      </c>
      <c r="PQ14" s="465">
        <v>-24024565</v>
      </c>
      <c r="PR14" s="465">
        <v>0</v>
      </c>
      <c r="PS14" s="465">
        <v>0</v>
      </c>
      <c r="PT14" s="465">
        <v>-16486414</v>
      </c>
      <c r="PU14" s="465">
        <v>-5628252</v>
      </c>
      <c r="PV14" s="465">
        <v>-690689</v>
      </c>
      <c r="PW14" s="465">
        <v>-15518198</v>
      </c>
      <c r="PX14" s="465">
        <v>-54207</v>
      </c>
      <c r="PY14" s="465">
        <v>18138857</v>
      </c>
      <c r="PZ14" s="465">
        <v>19819216</v>
      </c>
      <c r="QA14" s="465">
        <v>0</v>
      </c>
      <c r="QB14" s="465">
        <v>0</v>
      </c>
      <c r="QC14" s="465">
        <v>0</v>
      </c>
      <c r="QD14" s="465">
        <v>0</v>
      </c>
      <c r="QE14" s="465">
        <v>0</v>
      </c>
      <c r="QF14" s="465">
        <v>0</v>
      </c>
      <c r="QG14" s="465">
        <v>0</v>
      </c>
      <c r="QH14" s="465">
        <v>0</v>
      </c>
      <c r="QI14" s="465">
        <v>12690433</v>
      </c>
      <c r="QJ14" s="465">
        <v>0</v>
      </c>
      <c r="QK14" s="465">
        <v>0</v>
      </c>
      <c r="QL14" s="465">
        <v>-10383711</v>
      </c>
      <c r="QM14" s="465">
        <v>0</v>
      </c>
      <c r="QN14" s="465">
        <v>0</v>
      </c>
      <c r="QO14" s="465">
        <v>0</v>
      </c>
      <c r="QP14" s="465">
        <v>0</v>
      </c>
      <c r="QQ14" s="465">
        <v>0</v>
      </c>
      <c r="QR14" s="465">
        <v>0</v>
      </c>
      <c r="QS14" s="465">
        <v>0</v>
      </c>
      <c r="QT14" s="465">
        <v>0</v>
      </c>
      <c r="QU14" s="465">
        <v>0</v>
      </c>
      <c r="QV14" s="465">
        <v>-27441380</v>
      </c>
      <c r="QW14" s="465">
        <v>0</v>
      </c>
      <c r="QX14" s="465">
        <v>-5419763</v>
      </c>
      <c r="QY14" s="465">
        <v>0</v>
      </c>
      <c r="QZ14" s="465">
        <v>-2101079</v>
      </c>
      <c r="RA14" s="465">
        <v>0</v>
      </c>
      <c r="RB14" s="465">
        <v>0</v>
      </c>
      <c r="RC14" s="465">
        <v>0</v>
      </c>
      <c r="RD14" s="465">
        <v>0</v>
      </c>
      <c r="RE14" s="465">
        <v>0</v>
      </c>
      <c r="RF14" s="465">
        <v>0</v>
      </c>
      <c r="RG14" s="465">
        <v>0</v>
      </c>
      <c r="RH14" s="465">
        <v>0</v>
      </c>
      <c r="RI14" s="465">
        <v>133991</v>
      </c>
      <c r="RJ14" s="465">
        <v>0</v>
      </c>
      <c r="RK14" s="465">
        <v>0</v>
      </c>
      <c r="RL14" s="465">
        <v>0</v>
      </c>
      <c r="RM14" s="465">
        <v>0</v>
      </c>
      <c r="RN14" s="465">
        <v>0</v>
      </c>
      <c r="RO14" s="465">
        <v>0</v>
      </c>
      <c r="RP14" s="465">
        <v>0</v>
      </c>
      <c r="RQ14" s="465">
        <v>0</v>
      </c>
      <c r="RR14" s="465">
        <v>0</v>
      </c>
      <c r="RS14" s="465">
        <v>0</v>
      </c>
      <c r="RT14" s="465">
        <v>0</v>
      </c>
      <c r="RU14" s="465">
        <v>-28102451</v>
      </c>
      <c r="RV14" s="465">
        <v>0</v>
      </c>
      <c r="RW14" s="465">
        <v>0</v>
      </c>
      <c r="RX14" s="465">
        <v>0</v>
      </c>
      <c r="RY14" s="465">
        <v>0</v>
      </c>
      <c r="RZ14" s="465">
        <v>0</v>
      </c>
      <c r="SA14" s="465">
        <v>0</v>
      </c>
      <c r="SB14" s="465">
        <v>0</v>
      </c>
      <c r="SC14" s="465">
        <v>0</v>
      </c>
      <c r="SD14" s="465">
        <v>-280343</v>
      </c>
      <c r="SE14" s="465">
        <v>0</v>
      </c>
      <c r="SF14" s="465">
        <v>0</v>
      </c>
      <c r="SG14" s="465">
        <v>0</v>
      </c>
      <c r="SH14" s="465">
        <v>0</v>
      </c>
      <c r="SI14" s="465">
        <v>0</v>
      </c>
      <c r="SJ14" s="465">
        <v>0</v>
      </c>
      <c r="SK14" s="465">
        <v>0</v>
      </c>
      <c r="SL14" s="465">
        <v>0</v>
      </c>
      <c r="SM14" s="465">
        <v>0</v>
      </c>
      <c r="SN14" s="465">
        <v>0</v>
      </c>
      <c r="SO14" s="465">
        <v>0</v>
      </c>
      <c r="SP14" s="465">
        <v>0</v>
      </c>
      <c r="SQ14" s="465">
        <v>0</v>
      </c>
      <c r="SR14" s="465">
        <v>0</v>
      </c>
      <c r="SS14" s="465">
        <v>0</v>
      </c>
      <c r="ST14" s="465">
        <v>0</v>
      </c>
      <c r="SU14" s="465">
        <v>0</v>
      </c>
      <c r="SV14" s="465">
        <v>3868047</v>
      </c>
      <c r="SW14" s="465">
        <v>1290170</v>
      </c>
      <c r="SX14" s="465">
        <v>4778825</v>
      </c>
      <c r="SY14" s="465">
        <v>0</v>
      </c>
      <c r="SZ14" s="465">
        <v>2907444</v>
      </c>
      <c r="TA14" s="465">
        <v>0</v>
      </c>
      <c r="TB14" s="465">
        <v>0</v>
      </c>
      <c r="TC14" s="465">
        <v>24024565</v>
      </c>
      <c r="TD14" s="465">
        <v>0</v>
      </c>
      <c r="TE14" s="465">
        <v>0</v>
      </c>
      <c r="TF14" s="465">
        <v>27632333</v>
      </c>
      <c r="TG14" s="465">
        <v>0</v>
      </c>
      <c r="TH14" s="465">
        <v>0</v>
      </c>
      <c r="TI14" s="465">
        <v>81847398</v>
      </c>
      <c r="TJ14" s="465">
        <v>-10327533</v>
      </c>
      <c r="TK14" s="465">
        <v>339572</v>
      </c>
      <c r="TL14" s="465">
        <v>2891114</v>
      </c>
      <c r="TM14" s="465">
        <v>1771034</v>
      </c>
      <c r="TN14" s="465">
        <v>1134650</v>
      </c>
      <c r="TO14" s="465">
        <v>1564499</v>
      </c>
      <c r="TP14" s="465">
        <v>72087</v>
      </c>
      <c r="TQ14" s="465">
        <v>667179</v>
      </c>
      <c r="TR14" s="465">
        <v>536304</v>
      </c>
      <c r="TS14" s="465">
        <v>0</v>
      </c>
      <c r="TT14" s="465">
        <v>0</v>
      </c>
      <c r="TU14" s="465">
        <v>0</v>
      </c>
      <c r="TV14" s="465">
        <v>193953</v>
      </c>
      <c r="TW14" s="465">
        <v>401124</v>
      </c>
      <c r="TX14" s="465">
        <v>0</v>
      </c>
      <c r="TY14" s="465">
        <v>0</v>
      </c>
      <c r="TZ14" s="465">
        <v>0</v>
      </c>
      <c r="UA14" s="465">
        <v>0</v>
      </c>
      <c r="UB14" s="465">
        <v>0</v>
      </c>
      <c r="UC14" s="465">
        <v>0</v>
      </c>
      <c r="UD14" s="465">
        <v>0</v>
      </c>
      <c r="UE14" s="465">
        <v>68551</v>
      </c>
      <c r="UF14" s="465">
        <v>0</v>
      </c>
      <c r="UG14" s="465">
        <v>0</v>
      </c>
      <c r="UH14" s="465">
        <v>0</v>
      </c>
      <c r="UI14" s="465">
        <v>0</v>
      </c>
      <c r="UJ14" s="465">
        <v>0</v>
      </c>
      <c r="UK14" s="465">
        <v>0</v>
      </c>
      <c r="UL14" s="465">
        <v>0</v>
      </c>
      <c r="UM14" s="465">
        <v>119656862</v>
      </c>
      <c r="UN14" s="465">
        <v>0</v>
      </c>
      <c r="UO14" s="465">
        <v>227430702</v>
      </c>
      <c r="UP14" s="465">
        <v>38759283</v>
      </c>
      <c r="UQ14" s="465">
        <v>149605308</v>
      </c>
      <c r="UR14" s="465">
        <v>92148740</v>
      </c>
      <c r="US14" s="465">
        <v>132515189</v>
      </c>
      <c r="UT14" s="465">
        <v>24545109</v>
      </c>
      <c r="UU14" s="465">
        <v>34289967</v>
      </c>
      <c r="UV14" s="465">
        <v>38011226</v>
      </c>
      <c r="UW14" s="465">
        <v>5043897</v>
      </c>
      <c r="UX14" s="465">
        <v>527758</v>
      </c>
      <c r="UY14" s="465">
        <v>53974307</v>
      </c>
      <c r="UZ14" s="465">
        <v>-34962222</v>
      </c>
      <c r="VA14" s="465">
        <v>0</v>
      </c>
      <c r="VB14" s="465">
        <v>0</v>
      </c>
      <c r="VC14" s="465" t="s">
        <v>1597</v>
      </c>
      <c r="VD14" s="465" t="s">
        <v>1598</v>
      </c>
      <c r="VE14" s="465" t="s">
        <v>1599</v>
      </c>
    </row>
    <row r="15" spans="1:577" s="331" customFormat="1" ht="30.6" thickBot="1">
      <c r="A15" s="325">
        <v>480</v>
      </c>
      <c r="B15" s="326" t="s">
        <v>28</v>
      </c>
      <c r="C15" s="327" t="s">
        <v>950</v>
      </c>
      <c r="D15" s="329" t="s">
        <v>428</v>
      </c>
      <c r="E15" s="466">
        <v>862</v>
      </c>
      <c r="F15" s="464">
        <v>804220948</v>
      </c>
      <c r="G15" s="329" t="s">
        <v>1572</v>
      </c>
      <c r="H15" s="331" t="s">
        <v>28</v>
      </c>
      <c r="M15" s="465">
        <v>80558351</v>
      </c>
      <c r="N15" s="465">
        <v>0</v>
      </c>
      <c r="O15" s="465">
        <v>0</v>
      </c>
      <c r="P15" s="465">
        <v>0</v>
      </c>
      <c r="Q15" s="465">
        <v>0</v>
      </c>
      <c r="R15" s="465">
        <v>0</v>
      </c>
      <c r="S15" s="465">
        <v>0</v>
      </c>
      <c r="T15" s="465">
        <v>0</v>
      </c>
      <c r="U15" s="465">
        <v>0</v>
      </c>
      <c r="V15" s="465">
        <v>744808</v>
      </c>
      <c r="W15" s="465">
        <v>175403</v>
      </c>
      <c r="X15" s="465">
        <v>0</v>
      </c>
      <c r="Y15" s="465">
        <v>5279082</v>
      </c>
      <c r="Z15" s="465">
        <v>0</v>
      </c>
      <c r="AA15" s="465">
        <v>0</v>
      </c>
      <c r="AB15" s="465">
        <v>0</v>
      </c>
      <c r="AC15" s="465">
        <v>0</v>
      </c>
      <c r="AD15" s="465">
        <v>0</v>
      </c>
      <c r="AE15" s="465">
        <v>0</v>
      </c>
      <c r="AF15" s="465">
        <v>0</v>
      </c>
      <c r="AG15" s="465">
        <v>0</v>
      </c>
      <c r="AH15" s="465">
        <v>0</v>
      </c>
      <c r="AI15" s="465">
        <v>0</v>
      </c>
      <c r="AJ15" s="465">
        <v>0</v>
      </c>
      <c r="AK15" s="465">
        <v>0</v>
      </c>
      <c r="AL15" s="465">
        <v>0</v>
      </c>
      <c r="AM15" s="465">
        <v>0</v>
      </c>
      <c r="AN15" s="465">
        <v>5557572</v>
      </c>
      <c r="AO15" s="465">
        <v>0</v>
      </c>
      <c r="AP15" s="465">
        <v>0</v>
      </c>
      <c r="AQ15" s="465">
        <v>0</v>
      </c>
      <c r="AR15" s="465">
        <v>0</v>
      </c>
      <c r="AS15" s="465">
        <v>0</v>
      </c>
      <c r="AT15" s="465">
        <v>0</v>
      </c>
      <c r="AU15" s="465">
        <v>0</v>
      </c>
      <c r="AV15" s="465">
        <v>0</v>
      </c>
      <c r="AW15" s="465">
        <v>0</v>
      </c>
      <c r="AX15" s="465">
        <v>0</v>
      </c>
      <c r="AY15" s="465">
        <v>0</v>
      </c>
      <c r="AZ15" s="465">
        <v>0</v>
      </c>
      <c r="BA15" s="465">
        <v>0</v>
      </c>
      <c r="BB15" s="465">
        <v>0</v>
      </c>
      <c r="BC15" s="465">
        <v>0</v>
      </c>
      <c r="BD15" s="465">
        <v>0</v>
      </c>
      <c r="BE15" s="465">
        <v>0</v>
      </c>
      <c r="BF15" s="465">
        <v>-238280</v>
      </c>
      <c r="BG15" s="465">
        <v>0</v>
      </c>
      <c r="BH15" s="465">
        <v>0</v>
      </c>
      <c r="BI15" s="465">
        <v>0</v>
      </c>
      <c r="BJ15" s="465">
        <v>0</v>
      </c>
      <c r="BK15" s="465">
        <v>0</v>
      </c>
      <c r="BL15" s="465">
        <v>0</v>
      </c>
      <c r="BM15" s="465">
        <v>0</v>
      </c>
      <c r="BN15" s="465">
        <v>0</v>
      </c>
      <c r="BO15" s="465">
        <v>0</v>
      </c>
      <c r="BP15" s="465">
        <v>0</v>
      </c>
      <c r="BQ15" s="465">
        <v>0</v>
      </c>
      <c r="BR15" s="465">
        <v>0</v>
      </c>
      <c r="BS15" s="465">
        <v>0</v>
      </c>
      <c r="BT15" s="465">
        <v>0</v>
      </c>
      <c r="BU15" s="465">
        <v>0</v>
      </c>
      <c r="BV15" s="465">
        <v>0</v>
      </c>
      <c r="BW15" s="465">
        <v>0</v>
      </c>
      <c r="BX15" s="465">
        <v>0</v>
      </c>
      <c r="BY15" s="465">
        <v>0</v>
      </c>
      <c r="BZ15" s="465">
        <v>0</v>
      </c>
      <c r="CA15" s="465">
        <v>0</v>
      </c>
      <c r="CB15" s="465">
        <v>0</v>
      </c>
      <c r="CC15" s="465">
        <v>0</v>
      </c>
      <c r="CD15" s="465">
        <v>0</v>
      </c>
      <c r="CE15" s="465">
        <v>0</v>
      </c>
      <c r="CF15" s="465">
        <v>0</v>
      </c>
      <c r="CG15" s="465">
        <v>0</v>
      </c>
      <c r="CH15" s="465">
        <v>0</v>
      </c>
      <c r="CI15" s="465">
        <v>0</v>
      </c>
      <c r="CJ15" s="465">
        <v>0</v>
      </c>
      <c r="CK15" s="465">
        <v>0</v>
      </c>
      <c r="CL15" s="465">
        <v>0</v>
      </c>
      <c r="CM15" s="465">
        <v>0</v>
      </c>
      <c r="CN15" s="465">
        <v>0</v>
      </c>
      <c r="CO15" s="465">
        <v>0</v>
      </c>
      <c r="CP15" s="465">
        <v>4052846</v>
      </c>
      <c r="CQ15" s="465">
        <v>7204424</v>
      </c>
      <c r="CR15" s="465">
        <v>0</v>
      </c>
      <c r="CS15" s="465">
        <v>0</v>
      </c>
      <c r="CT15" s="465">
        <v>0</v>
      </c>
      <c r="CU15" s="465">
        <v>0</v>
      </c>
      <c r="CV15" s="465">
        <v>0</v>
      </c>
      <c r="CW15" s="465">
        <v>0</v>
      </c>
      <c r="CX15" s="465">
        <v>0</v>
      </c>
      <c r="CY15" s="465">
        <v>0</v>
      </c>
      <c r="CZ15" s="465">
        <v>0</v>
      </c>
      <c r="DA15" s="465">
        <v>0</v>
      </c>
      <c r="DB15" s="465">
        <v>0</v>
      </c>
      <c r="DC15" s="465">
        <v>0</v>
      </c>
      <c r="DD15" s="465">
        <v>0</v>
      </c>
      <c r="DE15" s="465">
        <v>0</v>
      </c>
      <c r="DF15" s="465">
        <v>0</v>
      </c>
      <c r="DG15" s="465">
        <v>0</v>
      </c>
      <c r="DH15" s="465">
        <v>0</v>
      </c>
      <c r="DI15" s="465">
        <v>0</v>
      </c>
      <c r="DJ15" s="465">
        <v>0</v>
      </c>
      <c r="DK15" s="465">
        <v>0</v>
      </c>
      <c r="DL15" s="465">
        <v>0</v>
      </c>
      <c r="DM15" s="465">
        <v>0</v>
      </c>
      <c r="DN15" s="465">
        <v>0</v>
      </c>
      <c r="DO15" s="465">
        <v>0</v>
      </c>
      <c r="DP15" s="465">
        <v>0</v>
      </c>
      <c r="DQ15" s="465">
        <v>-70773</v>
      </c>
      <c r="DR15" s="465">
        <v>-137661</v>
      </c>
      <c r="DS15" s="465">
        <v>0</v>
      </c>
      <c r="DT15" s="465">
        <v>0</v>
      </c>
      <c r="DU15" s="465">
        <v>0</v>
      </c>
      <c r="DV15" s="465">
        <v>0</v>
      </c>
      <c r="DW15" s="465">
        <v>0</v>
      </c>
      <c r="DX15" s="465">
        <v>0</v>
      </c>
      <c r="DY15" s="465">
        <v>0</v>
      </c>
      <c r="DZ15" s="465">
        <v>0</v>
      </c>
      <c r="EA15" s="465">
        <v>0</v>
      </c>
      <c r="EB15" s="465">
        <v>0</v>
      </c>
      <c r="EC15" s="465">
        <v>0</v>
      </c>
      <c r="ED15" s="465">
        <v>0</v>
      </c>
      <c r="EE15" s="465">
        <v>0</v>
      </c>
      <c r="EF15" s="465">
        <v>0</v>
      </c>
      <c r="EG15" s="465">
        <v>0</v>
      </c>
      <c r="EH15" s="465">
        <v>0</v>
      </c>
      <c r="EI15" s="465">
        <v>-652619</v>
      </c>
      <c r="EJ15" s="465">
        <v>-1965186</v>
      </c>
      <c r="EK15" s="465">
        <v>0</v>
      </c>
      <c r="EL15" s="465">
        <v>0</v>
      </c>
      <c r="EM15" s="465">
        <v>0</v>
      </c>
      <c r="EN15" s="465">
        <v>0</v>
      </c>
      <c r="EO15" s="465">
        <v>0</v>
      </c>
      <c r="EP15" s="465">
        <v>0</v>
      </c>
      <c r="EQ15" s="465">
        <v>0</v>
      </c>
      <c r="ER15" s="465">
        <v>0</v>
      </c>
      <c r="ES15" s="465">
        <v>0</v>
      </c>
      <c r="ET15" s="465">
        <v>0</v>
      </c>
      <c r="EU15" s="465">
        <v>0</v>
      </c>
      <c r="EV15" s="465">
        <v>0</v>
      </c>
      <c r="EW15" s="465">
        <v>0</v>
      </c>
      <c r="EX15" s="465">
        <v>0</v>
      </c>
      <c r="EY15" s="465">
        <v>0</v>
      </c>
      <c r="EZ15" s="465">
        <v>0</v>
      </c>
      <c r="FA15" s="465">
        <v>0</v>
      </c>
      <c r="FB15" s="465">
        <v>0</v>
      </c>
      <c r="FC15" s="465">
        <v>0</v>
      </c>
      <c r="FD15" s="465">
        <v>0</v>
      </c>
      <c r="FE15" s="465">
        <v>0</v>
      </c>
      <c r="FF15" s="465">
        <v>0</v>
      </c>
      <c r="FG15" s="465">
        <v>0</v>
      </c>
      <c r="FH15" s="465">
        <v>0</v>
      </c>
      <c r="FI15" s="465">
        <v>0</v>
      </c>
      <c r="FJ15" s="465">
        <v>0</v>
      </c>
      <c r="FK15" s="465">
        <v>0</v>
      </c>
      <c r="FL15" s="465">
        <v>0</v>
      </c>
      <c r="FM15" s="465">
        <v>0</v>
      </c>
      <c r="FN15" s="465">
        <v>0</v>
      </c>
      <c r="FO15" s="465">
        <v>0</v>
      </c>
      <c r="FP15" s="465">
        <v>0</v>
      </c>
      <c r="FQ15" s="465">
        <v>0</v>
      </c>
      <c r="FR15" s="465">
        <v>0</v>
      </c>
      <c r="FS15" s="465">
        <v>0</v>
      </c>
      <c r="FT15" s="465">
        <v>0</v>
      </c>
      <c r="FU15" s="465">
        <v>0</v>
      </c>
      <c r="FV15" s="465">
        <v>0</v>
      </c>
      <c r="FW15" s="465">
        <v>0</v>
      </c>
      <c r="FX15" s="465">
        <v>0</v>
      </c>
      <c r="FY15" s="465">
        <v>0</v>
      </c>
      <c r="FZ15" s="465">
        <v>0</v>
      </c>
      <c r="GA15" s="465">
        <v>0</v>
      </c>
      <c r="GB15" s="465">
        <v>0</v>
      </c>
      <c r="GC15" s="465">
        <v>4954136</v>
      </c>
      <c r="GD15" s="465">
        <v>0</v>
      </c>
      <c r="GE15" s="465">
        <v>0</v>
      </c>
      <c r="GF15" s="465">
        <v>0</v>
      </c>
      <c r="GG15" s="465">
        <v>0</v>
      </c>
      <c r="GH15" s="465">
        <v>0</v>
      </c>
      <c r="GI15" s="465">
        <v>0</v>
      </c>
      <c r="GJ15" s="465">
        <v>0</v>
      </c>
      <c r="GK15" s="465">
        <v>0</v>
      </c>
      <c r="GL15" s="465">
        <v>0</v>
      </c>
      <c r="GM15" s="465">
        <v>0</v>
      </c>
      <c r="GN15" s="465">
        <v>0</v>
      </c>
      <c r="GO15" s="465">
        <v>0</v>
      </c>
      <c r="GP15" s="465">
        <v>0</v>
      </c>
      <c r="GQ15" s="465">
        <v>0</v>
      </c>
      <c r="GR15" s="465">
        <v>0</v>
      </c>
      <c r="GS15" s="465">
        <v>0</v>
      </c>
      <c r="GT15" s="465">
        <v>0</v>
      </c>
      <c r="GU15" s="465">
        <v>0</v>
      </c>
      <c r="GV15" s="465">
        <v>0</v>
      </c>
      <c r="GW15" s="465">
        <v>0</v>
      </c>
      <c r="GX15" s="465">
        <v>0</v>
      </c>
      <c r="GY15" s="465">
        <v>0</v>
      </c>
      <c r="GZ15" s="465">
        <v>0</v>
      </c>
      <c r="HA15" s="465">
        <v>0</v>
      </c>
      <c r="HB15" s="465">
        <v>0</v>
      </c>
      <c r="HC15" s="465">
        <v>0</v>
      </c>
      <c r="HD15" s="465">
        <v>-128175</v>
      </c>
      <c r="HE15" s="465">
        <v>0</v>
      </c>
      <c r="HF15" s="465">
        <v>0</v>
      </c>
      <c r="HG15" s="465">
        <v>0</v>
      </c>
      <c r="HH15" s="465">
        <v>0</v>
      </c>
      <c r="HI15" s="465">
        <v>0</v>
      </c>
      <c r="HJ15" s="465">
        <v>0</v>
      </c>
      <c r="HK15" s="465">
        <v>0</v>
      </c>
      <c r="HL15" s="465">
        <v>0</v>
      </c>
      <c r="HM15" s="465">
        <v>0</v>
      </c>
      <c r="HN15" s="465">
        <v>0</v>
      </c>
      <c r="HO15" s="465">
        <v>0</v>
      </c>
      <c r="HP15" s="465">
        <v>0</v>
      </c>
      <c r="HQ15" s="465">
        <v>0</v>
      </c>
      <c r="HR15" s="465">
        <v>0</v>
      </c>
      <c r="HS15" s="465">
        <v>0</v>
      </c>
      <c r="HT15" s="465">
        <v>0</v>
      </c>
      <c r="HU15" s="465">
        <v>0</v>
      </c>
      <c r="HV15" s="465">
        <v>0</v>
      </c>
      <c r="HW15" s="465">
        <v>0</v>
      </c>
      <c r="HX15" s="465">
        <v>0</v>
      </c>
      <c r="HY15" s="465">
        <v>0</v>
      </c>
      <c r="HZ15" s="465">
        <v>0</v>
      </c>
      <c r="IA15" s="465">
        <v>0</v>
      </c>
      <c r="IB15" s="465">
        <v>0</v>
      </c>
      <c r="IC15" s="465">
        <v>0</v>
      </c>
      <c r="ID15" s="465">
        <v>126788</v>
      </c>
      <c r="IE15" s="465">
        <v>0</v>
      </c>
      <c r="IF15" s="465">
        <v>0</v>
      </c>
      <c r="IG15" s="465">
        <v>4270649</v>
      </c>
      <c r="IH15" s="465">
        <v>0</v>
      </c>
      <c r="II15" s="465">
        <v>0</v>
      </c>
      <c r="IJ15" s="465">
        <v>0</v>
      </c>
      <c r="IK15" s="465">
        <v>0</v>
      </c>
      <c r="IL15" s="465">
        <v>0</v>
      </c>
      <c r="IM15" s="465">
        <v>0</v>
      </c>
      <c r="IN15" s="465">
        <v>57620664</v>
      </c>
      <c r="IO15" s="465">
        <v>0</v>
      </c>
      <c r="IP15" s="465">
        <v>0</v>
      </c>
      <c r="IQ15" s="465">
        <v>0</v>
      </c>
      <c r="IR15" s="465">
        <v>0</v>
      </c>
      <c r="IS15" s="465">
        <v>0</v>
      </c>
      <c r="IT15" s="465">
        <v>0</v>
      </c>
      <c r="IU15" s="465">
        <v>0</v>
      </c>
      <c r="IV15" s="465">
        <v>0</v>
      </c>
      <c r="IW15" s="465">
        <v>0</v>
      </c>
      <c r="IX15" s="465">
        <v>0</v>
      </c>
      <c r="IY15" s="465">
        <v>0</v>
      </c>
      <c r="IZ15" s="465">
        <v>0</v>
      </c>
      <c r="JA15" s="465">
        <v>0</v>
      </c>
      <c r="JB15" s="465">
        <v>0</v>
      </c>
      <c r="JC15" s="465">
        <v>0</v>
      </c>
      <c r="JD15" s="465">
        <v>0</v>
      </c>
      <c r="JE15" s="465">
        <v>24014</v>
      </c>
      <c r="JF15" s="465">
        <v>6031075</v>
      </c>
      <c r="JG15" s="465">
        <v>14360</v>
      </c>
      <c r="JH15" s="465">
        <v>1741960</v>
      </c>
      <c r="JI15" s="465">
        <v>21364</v>
      </c>
      <c r="JJ15" s="465">
        <v>-2165859</v>
      </c>
      <c r="JK15" s="465">
        <v>47531</v>
      </c>
      <c r="JL15" s="465">
        <v>0</v>
      </c>
      <c r="JM15" s="465">
        <v>0</v>
      </c>
      <c r="JN15" s="465">
        <v>0</v>
      </c>
      <c r="JO15" s="465">
        <v>56691366</v>
      </c>
      <c r="JP15" s="465">
        <v>0</v>
      </c>
      <c r="JQ15" s="465">
        <v>12621886</v>
      </c>
      <c r="JR15" s="465">
        <v>0</v>
      </c>
      <c r="JS15" s="465">
        <v>0</v>
      </c>
      <c r="JT15" s="465">
        <v>0</v>
      </c>
      <c r="JU15" s="465">
        <v>0</v>
      </c>
      <c r="JV15" s="465">
        <v>0</v>
      </c>
      <c r="JW15" s="465">
        <v>0</v>
      </c>
      <c r="JX15" s="465">
        <v>21014551</v>
      </c>
      <c r="JY15" s="465">
        <v>0</v>
      </c>
      <c r="JZ15" s="465">
        <v>9832913</v>
      </c>
      <c r="KA15" s="465">
        <v>0</v>
      </c>
      <c r="KB15" s="465">
        <v>0</v>
      </c>
      <c r="KC15" s="465">
        <v>6120</v>
      </c>
      <c r="KD15" s="465">
        <v>0</v>
      </c>
      <c r="KE15" s="465">
        <v>0</v>
      </c>
      <c r="KF15" s="465">
        <v>0</v>
      </c>
      <c r="KG15" s="465">
        <v>358872</v>
      </c>
      <c r="KH15" s="465">
        <v>0</v>
      </c>
      <c r="KI15" s="465">
        <v>0</v>
      </c>
      <c r="KJ15" s="465">
        <v>0</v>
      </c>
      <c r="KK15" s="465">
        <v>0</v>
      </c>
      <c r="KL15" s="465">
        <v>0</v>
      </c>
      <c r="KM15" s="465">
        <v>0</v>
      </c>
      <c r="KN15" s="465">
        <v>0</v>
      </c>
      <c r="KO15" s="465">
        <v>0</v>
      </c>
      <c r="KP15" s="465">
        <v>0</v>
      </c>
      <c r="KQ15" s="465">
        <v>290446</v>
      </c>
      <c r="KR15" s="465">
        <v>0</v>
      </c>
      <c r="KS15" s="465">
        <v>0</v>
      </c>
      <c r="KT15" s="465">
        <v>0</v>
      </c>
      <c r="KU15" s="465">
        <v>0</v>
      </c>
      <c r="KV15" s="465">
        <v>0</v>
      </c>
      <c r="KW15" s="465">
        <v>0</v>
      </c>
      <c r="KX15" s="465">
        <v>14962</v>
      </c>
      <c r="KY15" s="465">
        <v>26406270</v>
      </c>
      <c r="KZ15" s="465">
        <v>3568</v>
      </c>
      <c r="LA15" s="465">
        <v>0</v>
      </c>
      <c r="LB15" s="465">
        <v>0</v>
      </c>
      <c r="LC15" s="465">
        <v>0</v>
      </c>
      <c r="LD15" s="465">
        <v>0</v>
      </c>
      <c r="LE15" s="465">
        <v>0</v>
      </c>
      <c r="LF15" s="465">
        <v>-30885</v>
      </c>
      <c r="LG15" s="465">
        <v>31491788</v>
      </c>
      <c r="LH15" s="465">
        <v>77709232</v>
      </c>
      <c r="LI15" s="465">
        <v>0</v>
      </c>
      <c r="LJ15" s="465">
        <v>15737108</v>
      </c>
      <c r="LK15" s="465">
        <v>0</v>
      </c>
      <c r="LL15" s="465">
        <v>0</v>
      </c>
      <c r="LM15" s="465">
        <v>0</v>
      </c>
      <c r="LN15" s="465">
        <v>0</v>
      </c>
      <c r="LO15" s="465">
        <v>0</v>
      </c>
      <c r="LP15" s="465">
        <v>2834029</v>
      </c>
      <c r="LQ15" s="465">
        <v>4430073</v>
      </c>
      <c r="LR15" s="465">
        <v>0</v>
      </c>
      <c r="LS15" s="465">
        <v>5034658</v>
      </c>
      <c r="LT15" s="465">
        <v>0</v>
      </c>
      <c r="LU15" s="465">
        <v>0</v>
      </c>
      <c r="LV15" s="465">
        <v>0</v>
      </c>
      <c r="LW15" s="465">
        <v>0</v>
      </c>
      <c r="LX15" s="465">
        <v>0</v>
      </c>
      <c r="LY15" s="465">
        <v>2508506</v>
      </c>
      <c r="LZ15" s="465">
        <v>541679</v>
      </c>
      <c r="MA15" s="465">
        <v>0</v>
      </c>
      <c r="MB15" s="465">
        <v>1022373</v>
      </c>
      <c r="MC15" s="465">
        <v>0</v>
      </c>
      <c r="MD15" s="465">
        <v>0</v>
      </c>
      <c r="ME15" s="465">
        <v>0</v>
      </c>
      <c r="MF15" s="465">
        <v>0</v>
      </c>
      <c r="MG15" s="465">
        <v>0</v>
      </c>
      <c r="MH15" s="465">
        <v>1817584</v>
      </c>
      <c r="MI15" s="465">
        <v>21758551</v>
      </c>
      <c r="MJ15" s="465">
        <v>0</v>
      </c>
      <c r="MK15" s="465">
        <v>722037</v>
      </c>
      <c r="ML15" s="465">
        <v>0</v>
      </c>
      <c r="MM15" s="465">
        <v>0</v>
      </c>
      <c r="MN15" s="465">
        <v>0</v>
      </c>
      <c r="MO15" s="465">
        <v>0</v>
      </c>
      <c r="MP15" s="465">
        <v>0</v>
      </c>
      <c r="MQ15" s="465">
        <v>18819182</v>
      </c>
      <c r="MR15" s="465">
        <v>38465122</v>
      </c>
      <c r="MS15" s="465">
        <v>0</v>
      </c>
      <c r="MT15" s="465">
        <v>1854758</v>
      </c>
      <c r="MU15" s="465">
        <v>0</v>
      </c>
      <c r="MV15" s="465">
        <v>0</v>
      </c>
      <c r="MW15" s="465">
        <v>0</v>
      </c>
      <c r="MX15" s="465">
        <v>0</v>
      </c>
      <c r="MY15" s="465">
        <v>0</v>
      </c>
      <c r="MZ15" s="465">
        <v>1012746</v>
      </c>
      <c r="NA15" s="465">
        <v>3857939</v>
      </c>
      <c r="NB15" s="465">
        <v>0</v>
      </c>
      <c r="NC15" s="465">
        <v>6618</v>
      </c>
      <c r="ND15" s="465">
        <v>6241</v>
      </c>
      <c r="NE15" s="465">
        <v>0</v>
      </c>
      <c r="NF15" s="465">
        <v>0</v>
      </c>
      <c r="NG15" s="465">
        <v>0</v>
      </c>
      <c r="NH15" s="465">
        <v>0</v>
      </c>
      <c r="NI15" s="465">
        <v>12104274</v>
      </c>
      <c r="NJ15" s="465">
        <v>6484012</v>
      </c>
      <c r="NK15" s="465">
        <v>0</v>
      </c>
      <c r="NL15" s="465">
        <v>415428</v>
      </c>
      <c r="NM15" s="465">
        <v>0</v>
      </c>
      <c r="NN15" s="465">
        <v>0</v>
      </c>
      <c r="NO15" s="465">
        <v>0</v>
      </c>
      <c r="NP15" s="465">
        <v>0</v>
      </c>
      <c r="NQ15" s="465">
        <v>0</v>
      </c>
      <c r="NR15" s="465">
        <v>5957517</v>
      </c>
      <c r="NS15" s="465">
        <v>5524249</v>
      </c>
      <c r="NT15" s="465">
        <v>0</v>
      </c>
      <c r="NU15" s="465">
        <v>0</v>
      </c>
      <c r="NV15" s="465">
        <v>0</v>
      </c>
      <c r="NW15" s="465">
        <v>0</v>
      </c>
      <c r="NX15" s="465">
        <v>2016943</v>
      </c>
      <c r="NY15" s="465">
        <v>0</v>
      </c>
      <c r="NZ15" s="465">
        <v>0</v>
      </c>
      <c r="OA15" s="465">
        <v>-12638</v>
      </c>
      <c r="OB15" s="465">
        <v>178381</v>
      </c>
      <c r="OC15" s="465">
        <v>0</v>
      </c>
      <c r="OD15" s="465">
        <v>1079344</v>
      </c>
      <c r="OE15" s="465">
        <v>140000</v>
      </c>
      <c r="OF15" s="465">
        <v>0</v>
      </c>
      <c r="OG15" s="465">
        <v>0</v>
      </c>
      <c r="OH15" s="465">
        <v>0</v>
      </c>
      <c r="OI15" s="465">
        <v>0</v>
      </c>
      <c r="OJ15" s="465">
        <v>0</v>
      </c>
      <c r="OK15" s="465">
        <v>0</v>
      </c>
      <c r="OL15" s="465">
        <v>228210</v>
      </c>
      <c r="OM15" s="465">
        <v>0</v>
      </c>
      <c r="ON15" s="465">
        <v>0</v>
      </c>
      <c r="OO15" s="465">
        <v>0</v>
      </c>
      <c r="OP15" s="465">
        <v>0</v>
      </c>
      <c r="OQ15" s="465">
        <v>0</v>
      </c>
      <c r="OR15" s="465">
        <v>0</v>
      </c>
      <c r="OS15" s="465">
        <v>1139292</v>
      </c>
      <c r="OT15" s="465">
        <v>5774000</v>
      </c>
      <c r="OU15" s="465">
        <v>73198</v>
      </c>
      <c r="OV15" s="465">
        <v>628400</v>
      </c>
      <c r="OW15" s="465">
        <v>0</v>
      </c>
      <c r="OX15" s="465">
        <v>0</v>
      </c>
      <c r="OY15" s="465">
        <v>0</v>
      </c>
      <c r="OZ15" s="465">
        <v>0</v>
      </c>
      <c r="PA15" s="465">
        <v>0</v>
      </c>
      <c r="PB15" s="465">
        <v>0</v>
      </c>
      <c r="PC15" s="465">
        <v>0</v>
      </c>
      <c r="PD15" s="465">
        <v>0</v>
      </c>
      <c r="PE15" s="465">
        <v>0</v>
      </c>
      <c r="PF15" s="465">
        <v>0</v>
      </c>
      <c r="PG15" s="465">
        <v>0</v>
      </c>
      <c r="PH15" s="465">
        <v>0</v>
      </c>
      <c r="PI15" s="465">
        <v>0</v>
      </c>
      <c r="PJ15" s="465">
        <v>433564</v>
      </c>
      <c r="PK15" s="465">
        <v>0</v>
      </c>
      <c r="PL15" s="465">
        <v>0</v>
      </c>
      <c r="PM15" s="465">
        <v>0</v>
      </c>
      <c r="PN15" s="465">
        <v>0</v>
      </c>
      <c r="PO15" s="465">
        <v>0</v>
      </c>
      <c r="PP15" s="465">
        <v>0</v>
      </c>
      <c r="PQ15" s="465">
        <v>-2447978</v>
      </c>
      <c r="PR15" s="465">
        <v>0</v>
      </c>
      <c r="PS15" s="465">
        <v>0</v>
      </c>
      <c r="PT15" s="465">
        <v>1698975</v>
      </c>
      <c r="PU15" s="465">
        <v>4285063</v>
      </c>
      <c r="PV15" s="465">
        <v>0</v>
      </c>
      <c r="PW15" s="465">
        <v>-3539862</v>
      </c>
      <c r="PX15" s="465">
        <v>0</v>
      </c>
      <c r="PY15" s="465">
        <v>-279774</v>
      </c>
      <c r="PZ15" s="465">
        <v>-1310802</v>
      </c>
      <c r="QA15" s="465">
        <v>0</v>
      </c>
      <c r="QB15" s="465">
        <v>0</v>
      </c>
      <c r="QC15" s="465">
        <v>0</v>
      </c>
      <c r="QD15" s="465">
        <v>0</v>
      </c>
      <c r="QE15" s="465">
        <v>0</v>
      </c>
      <c r="QF15" s="465">
        <v>0</v>
      </c>
      <c r="QG15" s="465">
        <v>0</v>
      </c>
      <c r="QH15" s="465">
        <v>0</v>
      </c>
      <c r="QI15" s="465">
        <v>5188902</v>
      </c>
      <c r="QJ15" s="465">
        <v>0</v>
      </c>
      <c r="QK15" s="465">
        <v>0</v>
      </c>
      <c r="QL15" s="465">
        <v>-13205381</v>
      </c>
      <c r="QM15" s="465">
        <v>-5650129</v>
      </c>
      <c r="QN15" s="465">
        <v>0</v>
      </c>
      <c r="QO15" s="465">
        <v>0</v>
      </c>
      <c r="QP15" s="465">
        <v>0</v>
      </c>
      <c r="QQ15" s="465">
        <v>0</v>
      </c>
      <c r="QR15" s="465">
        <v>-611140</v>
      </c>
      <c r="QS15" s="465">
        <v>0</v>
      </c>
      <c r="QT15" s="465">
        <v>0</v>
      </c>
      <c r="QU15" s="465">
        <v>0</v>
      </c>
      <c r="QV15" s="465">
        <v>-13212345</v>
      </c>
      <c r="QW15" s="465">
        <v>0</v>
      </c>
      <c r="QX15" s="465">
        <v>-404575</v>
      </c>
      <c r="QY15" s="465">
        <v>0</v>
      </c>
      <c r="QZ15" s="465">
        <v>-1185356</v>
      </c>
      <c r="RA15" s="465">
        <v>0</v>
      </c>
      <c r="RB15" s="465">
        <v>0</v>
      </c>
      <c r="RC15" s="465">
        <v>0</v>
      </c>
      <c r="RD15" s="465">
        <v>0</v>
      </c>
      <c r="RE15" s="465">
        <v>0</v>
      </c>
      <c r="RF15" s="465">
        <v>0</v>
      </c>
      <c r="RG15" s="465">
        <v>0</v>
      </c>
      <c r="RH15" s="465">
        <v>0</v>
      </c>
      <c r="RI15" s="465">
        <v>71929</v>
      </c>
      <c r="RJ15" s="465">
        <v>0</v>
      </c>
      <c r="RK15" s="465">
        <v>0</v>
      </c>
      <c r="RL15" s="465">
        <v>0</v>
      </c>
      <c r="RM15" s="465">
        <v>0</v>
      </c>
      <c r="RN15" s="465">
        <v>0</v>
      </c>
      <c r="RO15" s="465">
        <v>0</v>
      </c>
      <c r="RP15" s="465">
        <v>0</v>
      </c>
      <c r="RQ15" s="465">
        <v>0</v>
      </c>
      <c r="RR15" s="465">
        <v>0</v>
      </c>
      <c r="RS15" s="465">
        <v>0</v>
      </c>
      <c r="RT15" s="465">
        <v>0</v>
      </c>
      <c r="RU15" s="465">
        <v>-19266718</v>
      </c>
      <c r="RV15" s="465">
        <v>0</v>
      </c>
      <c r="RW15" s="465">
        <v>0</v>
      </c>
      <c r="RX15" s="465">
        <v>0</v>
      </c>
      <c r="RY15" s="465">
        <v>0</v>
      </c>
      <c r="RZ15" s="465">
        <v>0</v>
      </c>
      <c r="SA15" s="465">
        <v>0</v>
      </c>
      <c r="SB15" s="465">
        <v>0</v>
      </c>
      <c r="SC15" s="465">
        <v>0</v>
      </c>
      <c r="SD15" s="465">
        <v>-6780</v>
      </c>
      <c r="SE15" s="465">
        <v>0</v>
      </c>
      <c r="SF15" s="465">
        <v>0</v>
      </c>
      <c r="SG15" s="465">
        <v>0</v>
      </c>
      <c r="SH15" s="465">
        <v>0</v>
      </c>
      <c r="SI15" s="465">
        <v>0</v>
      </c>
      <c r="SJ15" s="465">
        <v>0</v>
      </c>
      <c r="SK15" s="465">
        <v>0</v>
      </c>
      <c r="SL15" s="465">
        <v>0</v>
      </c>
      <c r="SM15" s="465">
        <v>0</v>
      </c>
      <c r="SN15" s="465">
        <v>0</v>
      </c>
      <c r="SO15" s="465">
        <v>0</v>
      </c>
      <c r="SP15" s="465">
        <v>0</v>
      </c>
      <c r="SQ15" s="465">
        <v>0</v>
      </c>
      <c r="SR15" s="465">
        <v>0</v>
      </c>
      <c r="SS15" s="465">
        <v>0</v>
      </c>
      <c r="ST15" s="465">
        <v>0</v>
      </c>
      <c r="SU15" s="465">
        <v>0</v>
      </c>
      <c r="SV15" s="465">
        <v>56541</v>
      </c>
      <c r="SW15" s="465">
        <v>1139292</v>
      </c>
      <c r="SX15" s="465">
        <v>5774000</v>
      </c>
      <c r="SY15" s="465">
        <v>73198</v>
      </c>
      <c r="SZ15" s="465">
        <v>628401</v>
      </c>
      <c r="TA15" s="465">
        <v>0</v>
      </c>
      <c r="TB15" s="465">
        <v>0</v>
      </c>
      <c r="TC15" s="465">
        <v>2447978</v>
      </c>
      <c r="TD15" s="465">
        <v>0</v>
      </c>
      <c r="TE15" s="465">
        <v>0</v>
      </c>
      <c r="TF15" s="465">
        <v>-11036136</v>
      </c>
      <c r="TG15" s="465">
        <v>0</v>
      </c>
      <c r="TH15" s="465">
        <v>0</v>
      </c>
      <c r="TI15" s="465">
        <v>16211406</v>
      </c>
      <c r="TJ15" s="465">
        <v>-2954414</v>
      </c>
      <c r="TK15" s="465">
        <v>1985160</v>
      </c>
      <c r="TL15" s="465">
        <v>535273</v>
      </c>
      <c r="TM15" s="465">
        <v>118283</v>
      </c>
      <c r="TN15" s="465">
        <v>1036237</v>
      </c>
      <c r="TO15" s="465">
        <v>2913380</v>
      </c>
      <c r="TP15" s="465">
        <v>37187</v>
      </c>
      <c r="TQ15" s="465">
        <v>781155</v>
      </c>
      <c r="TR15" s="465">
        <v>135017</v>
      </c>
      <c r="TS15" s="465">
        <v>0</v>
      </c>
      <c r="TT15" s="465">
        <v>73198</v>
      </c>
      <c r="TU15" s="465">
        <v>0</v>
      </c>
      <c r="TV15" s="465">
        <v>29275</v>
      </c>
      <c r="TW15" s="465">
        <v>0</v>
      </c>
      <c r="TX15" s="465">
        <v>0</v>
      </c>
      <c r="TY15" s="465">
        <v>0</v>
      </c>
      <c r="TZ15" s="465">
        <v>0</v>
      </c>
      <c r="UA15" s="465">
        <v>0</v>
      </c>
      <c r="UB15" s="465">
        <v>0</v>
      </c>
      <c r="UC15" s="465">
        <v>0</v>
      </c>
      <c r="UD15" s="465">
        <v>0</v>
      </c>
      <c r="UE15" s="465">
        <v>248719</v>
      </c>
      <c r="UF15" s="465">
        <v>0</v>
      </c>
      <c r="UG15" s="465">
        <v>0</v>
      </c>
      <c r="UH15" s="465">
        <v>0</v>
      </c>
      <c r="UI15" s="465">
        <v>0</v>
      </c>
      <c r="UJ15" s="465">
        <v>0</v>
      </c>
      <c r="UK15" s="465">
        <v>0</v>
      </c>
      <c r="UL15" s="465">
        <v>0</v>
      </c>
      <c r="UM15" s="465">
        <v>0</v>
      </c>
      <c r="UN15" s="465">
        <v>0</v>
      </c>
      <c r="UO15" s="465">
        <v>124938128</v>
      </c>
      <c r="UP15" s="465">
        <v>12298760</v>
      </c>
      <c r="UQ15" s="465">
        <v>4072558</v>
      </c>
      <c r="UR15" s="465">
        <v>24298172</v>
      </c>
      <c r="US15" s="465">
        <v>59139062</v>
      </c>
      <c r="UT15" s="465">
        <v>4883544</v>
      </c>
      <c r="UU15" s="465">
        <v>19003714</v>
      </c>
      <c r="UV15" s="465">
        <v>13498709</v>
      </c>
      <c r="UW15" s="465">
        <v>1385087</v>
      </c>
      <c r="UX15" s="465">
        <v>228210</v>
      </c>
      <c r="UY15" s="465">
        <v>12848298</v>
      </c>
      <c r="UZ15" s="465">
        <v>-14802276</v>
      </c>
      <c r="VA15" s="465">
        <v>0</v>
      </c>
      <c r="VB15" s="465">
        <v>0</v>
      </c>
      <c r="VC15" s="465" t="s">
        <v>1600</v>
      </c>
      <c r="VD15" s="465" t="s">
        <v>1601</v>
      </c>
      <c r="VE15" s="465" t="s">
        <v>1602</v>
      </c>
    </row>
    <row r="16" spans="1:577" s="331" customFormat="1" ht="45.6" thickBot="1">
      <c r="A16" s="325">
        <v>500</v>
      </c>
      <c r="B16" s="326" t="s">
        <v>30</v>
      </c>
      <c r="C16" s="327" t="s">
        <v>960</v>
      </c>
      <c r="D16" s="331" t="s">
        <v>428</v>
      </c>
      <c r="E16" s="466">
        <v>203599</v>
      </c>
      <c r="F16" s="464">
        <v>472759480</v>
      </c>
      <c r="G16" s="329" t="s">
        <v>1572</v>
      </c>
      <c r="H16" s="331" t="s">
        <v>30</v>
      </c>
      <c r="M16" s="465">
        <v>42597486</v>
      </c>
      <c r="N16" s="465">
        <v>0</v>
      </c>
      <c r="O16" s="465">
        <v>0</v>
      </c>
      <c r="P16" s="465">
        <v>0</v>
      </c>
      <c r="Q16" s="465">
        <v>0</v>
      </c>
      <c r="R16" s="465">
        <v>0</v>
      </c>
      <c r="S16" s="465">
        <v>0</v>
      </c>
      <c r="T16" s="465">
        <v>0</v>
      </c>
      <c r="U16" s="465">
        <v>0</v>
      </c>
      <c r="V16" s="465">
        <v>6345296</v>
      </c>
      <c r="W16" s="465">
        <v>0</v>
      </c>
      <c r="X16" s="465">
        <v>0</v>
      </c>
      <c r="Y16" s="465">
        <v>531773</v>
      </c>
      <c r="Z16" s="465">
        <v>0</v>
      </c>
      <c r="AA16" s="465">
        <v>0</v>
      </c>
      <c r="AB16" s="465">
        <v>0</v>
      </c>
      <c r="AC16" s="465">
        <v>0</v>
      </c>
      <c r="AD16" s="465">
        <v>0</v>
      </c>
      <c r="AE16" s="465">
        <v>0</v>
      </c>
      <c r="AF16" s="465">
        <v>0</v>
      </c>
      <c r="AG16" s="465">
        <v>0</v>
      </c>
      <c r="AH16" s="465">
        <v>0</v>
      </c>
      <c r="AI16" s="465">
        <v>0</v>
      </c>
      <c r="AJ16" s="465">
        <v>0</v>
      </c>
      <c r="AK16" s="465">
        <v>0</v>
      </c>
      <c r="AL16" s="465">
        <v>0</v>
      </c>
      <c r="AM16" s="465">
        <v>0</v>
      </c>
      <c r="AN16" s="465">
        <v>0</v>
      </c>
      <c r="AO16" s="465">
        <v>0</v>
      </c>
      <c r="AP16" s="465">
        <v>0</v>
      </c>
      <c r="AQ16" s="465">
        <v>0</v>
      </c>
      <c r="AR16" s="465">
        <v>0</v>
      </c>
      <c r="AS16" s="465">
        <v>0</v>
      </c>
      <c r="AT16" s="465">
        <v>0</v>
      </c>
      <c r="AU16" s="465">
        <v>0</v>
      </c>
      <c r="AV16" s="465">
        <v>0</v>
      </c>
      <c r="AW16" s="465">
        <v>0</v>
      </c>
      <c r="AX16" s="465">
        <v>0</v>
      </c>
      <c r="AY16" s="465">
        <v>0</v>
      </c>
      <c r="AZ16" s="465">
        <v>0</v>
      </c>
      <c r="BA16" s="465">
        <v>0</v>
      </c>
      <c r="BB16" s="465">
        <v>0</v>
      </c>
      <c r="BC16" s="465">
        <v>0</v>
      </c>
      <c r="BD16" s="465">
        <v>0</v>
      </c>
      <c r="BE16" s="465">
        <v>0</v>
      </c>
      <c r="BF16" s="465">
        <v>-64059</v>
      </c>
      <c r="BG16" s="465">
        <v>0</v>
      </c>
      <c r="BH16" s="465">
        <v>0</v>
      </c>
      <c r="BI16" s="465">
        <v>0</v>
      </c>
      <c r="BJ16" s="465">
        <v>0</v>
      </c>
      <c r="BK16" s="465">
        <v>0</v>
      </c>
      <c r="BL16" s="465">
        <v>0</v>
      </c>
      <c r="BM16" s="465">
        <v>0</v>
      </c>
      <c r="BN16" s="465">
        <v>0</v>
      </c>
      <c r="BO16" s="465">
        <v>0</v>
      </c>
      <c r="BP16" s="465">
        <v>0</v>
      </c>
      <c r="BQ16" s="465">
        <v>0</v>
      </c>
      <c r="BR16" s="465">
        <v>0</v>
      </c>
      <c r="BS16" s="465">
        <v>0</v>
      </c>
      <c r="BT16" s="465">
        <v>0</v>
      </c>
      <c r="BU16" s="465">
        <v>0</v>
      </c>
      <c r="BV16" s="465">
        <v>0</v>
      </c>
      <c r="BW16" s="465">
        <v>0</v>
      </c>
      <c r="BX16" s="465">
        <v>0</v>
      </c>
      <c r="BY16" s="465">
        <v>0</v>
      </c>
      <c r="BZ16" s="465">
        <v>0</v>
      </c>
      <c r="CA16" s="465">
        <v>0</v>
      </c>
      <c r="CB16" s="465">
        <v>0</v>
      </c>
      <c r="CC16" s="465">
        <v>0</v>
      </c>
      <c r="CD16" s="465">
        <v>0</v>
      </c>
      <c r="CE16" s="465">
        <v>0</v>
      </c>
      <c r="CF16" s="465">
        <v>0</v>
      </c>
      <c r="CG16" s="465">
        <v>0</v>
      </c>
      <c r="CH16" s="465">
        <v>0</v>
      </c>
      <c r="CI16" s="465">
        <v>0</v>
      </c>
      <c r="CJ16" s="465">
        <v>0</v>
      </c>
      <c r="CK16" s="465">
        <v>0</v>
      </c>
      <c r="CL16" s="465">
        <v>0</v>
      </c>
      <c r="CM16" s="465">
        <v>0</v>
      </c>
      <c r="CN16" s="465">
        <v>0</v>
      </c>
      <c r="CO16" s="465">
        <v>0</v>
      </c>
      <c r="CP16" s="465">
        <v>1486457</v>
      </c>
      <c r="CQ16" s="465">
        <v>2414450</v>
      </c>
      <c r="CR16" s="465">
        <v>0</v>
      </c>
      <c r="CS16" s="465">
        <v>0</v>
      </c>
      <c r="CT16" s="465">
        <v>0</v>
      </c>
      <c r="CU16" s="465">
        <v>0</v>
      </c>
      <c r="CV16" s="465">
        <v>0</v>
      </c>
      <c r="CW16" s="465">
        <v>0</v>
      </c>
      <c r="CX16" s="465">
        <v>0</v>
      </c>
      <c r="CY16" s="465">
        <v>0</v>
      </c>
      <c r="CZ16" s="465">
        <v>0</v>
      </c>
      <c r="DA16" s="465">
        <v>0</v>
      </c>
      <c r="DB16" s="465">
        <v>0</v>
      </c>
      <c r="DC16" s="465">
        <v>0</v>
      </c>
      <c r="DD16" s="465">
        <v>0</v>
      </c>
      <c r="DE16" s="465">
        <v>0</v>
      </c>
      <c r="DF16" s="465">
        <v>0</v>
      </c>
      <c r="DG16" s="465">
        <v>0</v>
      </c>
      <c r="DH16" s="465">
        <v>0</v>
      </c>
      <c r="DI16" s="465">
        <v>0</v>
      </c>
      <c r="DJ16" s="465">
        <v>0</v>
      </c>
      <c r="DK16" s="465">
        <v>0</v>
      </c>
      <c r="DL16" s="465">
        <v>0</v>
      </c>
      <c r="DM16" s="465">
        <v>0</v>
      </c>
      <c r="DN16" s="465">
        <v>0</v>
      </c>
      <c r="DO16" s="465">
        <v>0</v>
      </c>
      <c r="DP16" s="465">
        <v>0</v>
      </c>
      <c r="DQ16" s="465">
        <v>-77417</v>
      </c>
      <c r="DR16" s="465">
        <v>0</v>
      </c>
      <c r="DS16" s="465">
        <v>0</v>
      </c>
      <c r="DT16" s="465">
        <v>0</v>
      </c>
      <c r="DU16" s="465">
        <v>0</v>
      </c>
      <c r="DV16" s="465">
        <v>0</v>
      </c>
      <c r="DW16" s="465">
        <v>0</v>
      </c>
      <c r="DX16" s="465">
        <v>0</v>
      </c>
      <c r="DY16" s="465">
        <v>0</v>
      </c>
      <c r="DZ16" s="465">
        <v>0</v>
      </c>
      <c r="EA16" s="465">
        <v>0</v>
      </c>
      <c r="EB16" s="465">
        <v>0</v>
      </c>
      <c r="EC16" s="465">
        <v>0</v>
      </c>
      <c r="ED16" s="465">
        <v>0</v>
      </c>
      <c r="EE16" s="465">
        <v>0</v>
      </c>
      <c r="EF16" s="465">
        <v>0</v>
      </c>
      <c r="EG16" s="465">
        <v>0</v>
      </c>
      <c r="EH16" s="465">
        <v>0</v>
      </c>
      <c r="EI16" s="465">
        <v>45760</v>
      </c>
      <c r="EJ16" s="465">
        <v>-65445</v>
      </c>
      <c r="EK16" s="465">
        <v>0</v>
      </c>
      <c r="EL16" s="465">
        <v>0</v>
      </c>
      <c r="EM16" s="465">
        <v>0</v>
      </c>
      <c r="EN16" s="465">
        <v>0</v>
      </c>
      <c r="EO16" s="465">
        <v>0</v>
      </c>
      <c r="EP16" s="465">
        <v>0</v>
      </c>
      <c r="EQ16" s="465">
        <v>0</v>
      </c>
      <c r="ER16" s="465">
        <v>0</v>
      </c>
      <c r="ES16" s="465">
        <v>0</v>
      </c>
      <c r="ET16" s="465">
        <v>0</v>
      </c>
      <c r="EU16" s="465">
        <v>0</v>
      </c>
      <c r="EV16" s="465">
        <v>0</v>
      </c>
      <c r="EW16" s="465">
        <v>0</v>
      </c>
      <c r="EX16" s="465">
        <v>0</v>
      </c>
      <c r="EY16" s="465">
        <v>0</v>
      </c>
      <c r="EZ16" s="465">
        <v>0</v>
      </c>
      <c r="FA16" s="465">
        <v>0</v>
      </c>
      <c r="FB16" s="465">
        <v>0</v>
      </c>
      <c r="FC16" s="465">
        <v>0</v>
      </c>
      <c r="FD16" s="465">
        <v>0</v>
      </c>
      <c r="FE16" s="465">
        <v>0</v>
      </c>
      <c r="FF16" s="465">
        <v>0</v>
      </c>
      <c r="FG16" s="465">
        <v>0</v>
      </c>
      <c r="FH16" s="465">
        <v>0</v>
      </c>
      <c r="FI16" s="465">
        <v>0</v>
      </c>
      <c r="FJ16" s="465">
        <v>0</v>
      </c>
      <c r="FK16" s="465">
        <v>0</v>
      </c>
      <c r="FL16" s="465">
        <v>0</v>
      </c>
      <c r="FM16" s="465">
        <v>0</v>
      </c>
      <c r="FN16" s="465">
        <v>0</v>
      </c>
      <c r="FO16" s="465">
        <v>0</v>
      </c>
      <c r="FP16" s="465">
        <v>0</v>
      </c>
      <c r="FQ16" s="465">
        <v>0</v>
      </c>
      <c r="FR16" s="465">
        <v>0</v>
      </c>
      <c r="FS16" s="465">
        <v>0</v>
      </c>
      <c r="FT16" s="465">
        <v>0</v>
      </c>
      <c r="FU16" s="465">
        <v>0</v>
      </c>
      <c r="FV16" s="465">
        <v>0</v>
      </c>
      <c r="FW16" s="465">
        <v>0</v>
      </c>
      <c r="FX16" s="465">
        <v>0</v>
      </c>
      <c r="FY16" s="465">
        <v>0</v>
      </c>
      <c r="FZ16" s="465">
        <v>0</v>
      </c>
      <c r="GA16" s="465">
        <v>0</v>
      </c>
      <c r="GB16" s="465">
        <v>13196</v>
      </c>
      <c r="GC16" s="465">
        <v>831798</v>
      </c>
      <c r="GD16" s="465">
        <v>199019</v>
      </c>
      <c r="GE16" s="465">
        <v>0</v>
      </c>
      <c r="GF16" s="465">
        <v>0</v>
      </c>
      <c r="GG16" s="465">
        <v>0</v>
      </c>
      <c r="GH16" s="465">
        <v>0</v>
      </c>
      <c r="GI16" s="465">
        <v>0</v>
      </c>
      <c r="GJ16" s="465">
        <v>0</v>
      </c>
      <c r="GK16" s="465">
        <v>0</v>
      </c>
      <c r="GL16" s="465">
        <v>0</v>
      </c>
      <c r="GM16" s="465">
        <v>0</v>
      </c>
      <c r="GN16" s="465">
        <v>0</v>
      </c>
      <c r="GO16" s="465">
        <v>0</v>
      </c>
      <c r="GP16" s="465">
        <v>0</v>
      </c>
      <c r="GQ16" s="465">
        <v>0</v>
      </c>
      <c r="GR16" s="465">
        <v>0</v>
      </c>
      <c r="GS16" s="465">
        <v>0</v>
      </c>
      <c r="GT16" s="465">
        <v>0</v>
      </c>
      <c r="GU16" s="465">
        <v>0</v>
      </c>
      <c r="GV16" s="465">
        <v>0</v>
      </c>
      <c r="GW16" s="465">
        <v>0</v>
      </c>
      <c r="GX16" s="465">
        <v>0</v>
      </c>
      <c r="GY16" s="465">
        <v>0</v>
      </c>
      <c r="GZ16" s="465">
        <v>0</v>
      </c>
      <c r="HA16" s="465">
        <v>0</v>
      </c>
      <c r="HB16" s="465">
        <v>0</v>
      </c>
      <c r="HC16" s="465">
        <v>0</v>
      </c>
      <c r="HD16" s="465">
        <v>0</v>
      </c>
      <c r="HE16" s="465">
        <v>0</v>
      </c>
      <c r="HF16" s="465">
        <v>0</v>
      </c>
      <c r="HG16" s="465">
        <v>0</v>
      </c>
      <c r="HH16" s="465">
        <v>0</v>
      </c>
      <c r="HI16" s="465">
        <v>0</v>
      </c>
      <c r="HJ16" s="465">
        <v>0</v>
      </c>
      <c r="HK16" s="465">
        <v>0</v>
      </c>
      <c r="HL16" s="465">
        <v>0</v>
      </c>
      <c r="HM16" s="465">
        <v>0</v>
      </c>
      <c r="HN16" s="465">
        <v>0</v>
      </c>
      <c r="HO16" s="465">
        <v>0</v>
      </c>
      <c r="HP16" s="465">
        <v>0</v>
      </c>
      <c r="HQ16" s="465">
        <v>0</v>
      </c>
      <c r="HR16" s="465">
        <v>0</v>
      </c>
      <c r="HS16" s="465">
        <v>0</v>
      </c>
      <c r="HT16" s="465">
        <v>0</v>
      </c>
      <c r="HU16" s="465">
        <v>0</v>
      </c>
      <c r="HV16" s="465">
        <v>0</v>
      </c>
      <c r="HW16" s="465">
        <v>-4133</v>
      </c>
      <c r="HX16" s="465">
        <v>0</v>
      </c>
      <c r="HY16" s="465">
        <v>0</v>
      </c>
      <c r="HZ16" s="465">
        <v>0</v>
      </c>
      <c r="IA16" s="465">
        <v>0</v>
      </c>
      <c r="IB16" s="465">
        <v>0</v>
      </c>
      <c r="IC16" s="465">
        <v>0</v>
      </c>
      <c r="ID16" s="465">
        <v>0</v>
      </c>
      <c r="IE16" s="465">
        <v>0</v>
      </c>
      <c r="IF16" s="465">
        <v>0</v>
      </c>
      <c r="IG16" s="465">
        <v>7981482</v>
      </c>
      <c r="IH16" s="465">
        <v>0</v>
      </c>
      <c r="II16" s="465">
        <v>0</v>
      </c>
      <c r="IJ16" s="465">
        <v>0</v>
      </c>
      <c r="IK16" s="465">
        <v>0</v>
      </c>
      <c r="IL16" s="465">
        <v>0</v>
      </c>
      <c r="IM16" s="465">
        <v>0</v>
      </c>
      <c r="IN16" s="465">
        <v>19204472</v>
      </c>
      <c r="IO16" s="465">
        <v>0</v>
      </c>
      <c r="IP16" s="465">
        <v>0</v>
      </c>
      <c r="IQ16" s="465">
        <v>0</v>
      </c>
      <c r="IR16" s="465">
        <v>0</v>
      </c>
      <c r="IS16" s="465">
        <v>0</v>
      </c>
      <c r="IT16" s="465">
        <v>0</v>
      </c>
      <c r="IU16" s="465">
        <v>0</v>
      </c>
      <c r="IV16" s="465">
        <v>0</v>
      </c>
      <c r="IW16" s="465">
        <v>0</v>
      </c>
      <c r="IX16" s="465">
        <v>0</v>
      </c>
      <c r="IY16" s="465">
        <v>0</v>
      </c>
      <c r="IZ16" s="465">
        <v>0</v>
      </c>
      <c r="JA16" s="465">
        <v>0</v>
      </c>
      <c r="JB16" s="465">
        <v>0</v>
      </c>
      <c r="JC16" s="465">
        <v>0</v>
      </c>
      <c r="JD16" s="465">
        <v>0</v>
      </c>
      <c r="JE16" s="465">
        <v>0</v>
      </c>
      <c r="JF16" s="465">
        <v>1162353</v>
      </c>
      <c r="JG16" s="465">
        <v>0</v>
      </c>
      <c r="JH16" s="465">
        <v>224457</v>
      </c>
      <c r="JI16" s="465">
        <v>0</v>
      </c>
      <c r="JJ16" s="465">
        <v>1048</v>
      </c>
      <c r="JK16" s="465">
        <v>0</v>
      </c>
      <c r="JL16" s="465">
        <v>0</v>
      </c>
      <c r="JM16" s="465">
        <v>0</v>
      </c>
      <c r="JN16" s="465">
        <v>0</v>
      </c>
      <c r="JO16" s="465">
        <v>32007401</v>
      </c>
      <c r="JP16" s="465">
        <v>0</v>
      </c>
      <c r="JQ16" s="465">
        <v>0</v>
      </c>
      <c r="JR16" s="465">
        <v>0</v>
      </c>
      <c r="JS16" s="465">
        <v>0</v>
      </c>
      <c r="JT16" s="465">
        <v>0</v>
      </c>
      <c r="JU16" s="465">
        <v>0</v>
      </c>
      <c r="JV16" s="465">
        <v>0</v>
      </c>
      <c r="JW16" s="465">
        <v>0</v>
      </c>
      <c r="JX16" s="465">
        <v>47230</v>
      </c>
      <c r="JY16" s="465">
        <v>0</v>
      </c>
      <c r="JZ16" s="465">
        <v>9895594</v>
      </c>
      <c r="KA16" s="465">
        <v>0</v>
      </c>
      <c r="KB16" s="465">
        <v>0</v>
      </c>
      <c r="KC16" s="465">
        <v>0</v>
      </c>
      <c r="KD16" s="465">
        <v>0</v>
      </c>
      <c r="KE16" s="465">
        <v>0</v>
      </c>
      <c r="KF16" s="465">
        <v>0</v>
      </c>
      <c r="KG16" s="465">
        <v>60067</v>
      </c>
      <c r="KH16" s="465">
        <v>0</v>
      </c>
      <c r="KI16" s="465">
        <v>1464636</v>
      </c>
      <c r="KJ16" s="465">
        <v>0</v>
      </c>
      <c r="KK16" s="465">
        <v>0</v>
      </c>
      <c r="KL16" s="465">
        <v>0</v>
      </c>
      <c r="KM16" s="465">
        <v>0</v>
      </c>
      <c r="KN16" s="465">
        <v>0</v>
      </c>
      <c r="KO16" s="465">
        <v>0</v>
      </c>
      <c r="KP16" s="465">
        <v>0</v>
      </c>
      <c r="KQ16" s="465">
        <v>108437</v>
      </c>
      <c r="KR16" s="465">
        <v>0</v>
      </c>
      <c r="KS16" s="465">
        <v>0</v>
      </c>
      <c r="KT16" s="465">
        <v>0</v>
      </c>
      <c r="KU16" s="465">
        <v>0</v>
      </c>
      <c r="KV16" s="465">
        <v>0</v>
      </c>
      <c r="KW16" s="465">
        <v>0</v>
      </c>
      <c r="KX16" s="465">
        <v>49278</v>
      </c>
      <c r="KY16" s="465">
        <v>15853092</v>
      </c>
      <c r="KZ16" s="465">
        <v>0</v>
      </c>
      <c r="LA16" s="465">
        <v>0</v>
      </c>
      <c r="LB16" s="465">
        <v>0</v>
      </c>
      <c r="LC16" s="465">
        <v>0</v>
      </c>
      <c r="LD16" s="465">
        <v>0</v>
      </c>
      <c r="LE16" s="465">
        <v>0</v>
      </c>
      <c r="LF16" s="465">
        <v>0</v>
      </c>
      <c r="LG16" s="465">
        <v>25899574</v>
      </c>
      <c r="LH16" s="465">
        <v>18645037</v>
      </c>
      <c r="LI16" s="465">
        <v>0</v>
      </c>
      <c r="LJ16" s="465">
        <v>794227</v>
      </c>
      <c r="LK16" s="465">
        <v>0</v>
      </c>
      <c r="LL16" s="465">
        <v>0</v>
      </c>
      <c r="LM16" s="465">
        <v>0</v>
      </c>
      <c r="LN16" s="465">
        <v>0</v>
      </c>
      <c r="LO16" s="465">
        <v>0</v>
      </c>
      <c r="LP16" s="465">
        <v>3714246</v>
      </c>
      <c r="LQ16" s="465">
        <v>1880099</v>
      </c>
      <c r="LR16" s="465">
        <v>0</v>
      </c>
      <c r="LS16" s="465">
        <v>9144407</v>
      </c>
      <c r="LT16" s="465">
        <v>0</v>
      </c>
      <c r="LU16" s="465">
        <v>0</v>
      </c>
      <c r="LV16" s="465">
        <v>0</v>
      </c>
      <c r="LW16" s="465">
        <v>0</v>
      </c>
      <c r="LX16" s="465">
        <v>0</v>
      </c>
      <c r="LY16" s="465">
        <v>359155</v>
      </c>
      <c r="LZ16" s="465">
        <v>43526</v>
      </c>
      <c r="MA16" s="465">
        <v>0</v>
      </c>
      <c r="MB16" s="465">
        <v>3034672</v>
      </c>
      <c r="MC16" s="465">
        <v>0</v>
      </c>
      <c r="MD16" s="465">
        <v>0</v>
      </c>
      <c r="ME16" s="465">
        <v>0</v>
      </c>
      <c r="MF16" s="465">
        <v>0</v>
      </c>
      <c r="MG16" s="465">
        <v>0</v>
      </c>
      <c r="MH16" s="465">
        <v>10592797</v>
      </c>
      <c r="MI16" s="465">
        <v>33292110</v>
      </c>
      <c r="MJ16" s="465">
        <v>0</v>
      </c>
      <c r="MK16" s="465">
        <v>35967</v>
      </c>
      <c r="ML16" s="465">
        <v>0</v>
      </c>
      <c r="MM16" s="465">
        <v>0</v>
      </c>
      <c r="MN16" s="465">
        <v>0</v>
      </c>
      <c r="MO16" s="465">
        <v>0</v>
      </c>
      <c r="MP16" s="465">
        <v>0</v>
      </c>
      <c r="MQ16" s="465">
        <v>11725560</v>
      </c>
      <c r="MR16" s="465">
        <v>6619353</v>
      </c>
      <c r="MS16" s="465">
        <v>0</v>
      </c>
      <c r="MT16" s="465">
        <v>3063203</v>
      </c>
      <c r="MU16" s="465">
        <v>0</v>
      </c>
      <c r="MV16" s="465">
        <v>0</v>
      </c>
      <c r="MW16" s="465">
        <v>0</v>
      </c>
      <c r="MX16" s="465">
        <v>0</v>
      </c>
      <c r="MY16" s="465">
        <v>0</v>
      </c>
      <c r="MZ16" s="465">
        <v>2560886</v>
      </c>
      <c r="NA16" s="465">
        <v>974048</v>
      </c>
      <c r="NB16" s="465">
        <v>0</v>
      </c>
      <c r="NC16" s="465">
        <v>107955</v>
      </c>
      <c r="ND16" s="465">
        <v>0</v>
      </c>
      <c r="NE16" s="465">
        <v>0</v>
      </c>
      <c r="NF16" s="465">
        <v>0</v>
      </c>
      <c r="NG16" s="465">
        <v>0</v>
      </c>
      <c r="NH16" s="465">
        <v>0</v>
      </c>
      <c r="NI16" s="465">
        <v>0</v>
      </c>
      <c r="NJ16" s="465">
        <v>0</v>
      </c>
      <c r="NK16" s="465">
        <v>0</v>
      </c>
      <c r="NL16" s="465">
        <v>20958</v>
      </c>
      <c r="NM16" s="465">
        <v>0</v>
      </c>
      <c r="NN16" s="465">
        <v>0</v>
      </c>
      <c r="NO16" s="465">
        <v>0</v>
      </c>
      <c r="NP16" s="465">
        <v>0</v>
      </c>
      <c r="NQ16" s="465">
        <v>0</v>
      </c>
      <c r="NR16" s="465">
        <v>1486172</v>
      </c>
      <c r="NS16" s="465">
        <v>1318172</v>
      </c>
      <c r="NT16" s="465">
        <v>0</v>
      </c>
      <c r="NU16" s="465">
        <v>0</v>
      </c>
      <c r="NV16" s="465">
        <v>0</v>
      </c>
      <c r="NW16" s="465">
        <v>0</v>
      </c>
      <c r="NX16" s="465">
        <v>823147</v>
      </c>
      <c r="NY16" s="465">
        <v>0</v>
      </c>
      <c r="NZ16" s="465">
        <v>0</v>
      </c>
      <c r="OA16" s="465">
        <v>74881</v>
      </c>
      <c r="OB16" s="465">
        <v>308973</v>
      </c>
      <c r="OC16" s="465">
        <v>0</v>
      </c>
      <c r="OD16" s="465">
        <v>889152</v>
      </c>
      <c r="OE16" s="465">
        <v>0</v>
      </c>
      <c r="OF16" s="465">
        <v>0</v>
      </c>
      <c r="OG16" s="465">
        <v>0</v>
      </c>
      <c r="OH16" s="465">
        <v>0</v>
      </c>
      <c r="OI16" s="465">
        <v>0</v>
      </c>
      <c r="OJ16" s="465">
        <v>0</v>
      </c>
      <c r="OK16" s="465">
        <v>0</v>
      </c>
      <c r="OL16" s="465">
        <v>1836493</v>
      </c>
      <c r="OM16" s="465">
        <v>0</v>
      </c>
      <c r="ON16" s="465">
        <v>0</v>
      </c>
      <c r="OO16" s="465">
        <v>0</v>
      </c>
      <c r="OP16" s="465">
        <v>0</v>
      </c>
      <c r="OQ16" s="465">
        <v>0</v>
      </c>
      <c r="OR16" s="465">
        <v>0</v>
      </c>
      <c r="OS16" s="465">
        <v>73961</v>
      </c>
      <c r="OT16" s="465">
        <v>1297003</v>
      </c>
      <c r="OU16" s="465">
        <v>5472</v>
      </c>
      <c r="OV16" s="465">
        <v>4252352</v>
      </c>
      <c r="OW16" s="465">
        <v>0</v>
      </c>
      <c r="OX16" s="465">
        <v>0</v>
      </c>
      <c r="OY16" s="465">
        <v>0</v>
      </c>
      <c r="OZ16" s="465">
        <v>0</v>
      </c>
      <c r="PA16" s="465">
        <v>0</v>
      </c>
      <c r="PB16" s="465">
        <v>685</v>
      </c>
      <c r="PC16" s="465">
        <v>137157</v>
      </c>
      <c r="PD16" s="465">
        <v>0</v>
      </c>
      <c r="PE16" s="465">
        <v>0</v>
      </c>
      <c r="PF16" s="465">
        <v>0</v>
      </c>
      <c r="PG16" s="465">
        <v>0</v>
      </c>
      <c r="PH16" s="465">
        <v>0</v>
      </c>
      <c r="PI16" s="465">
        <v>0</v>
      </c>
      <c r="PJ16" s="465">
        <v>0</v>
      </c>
      <c r="PK16" s="465">
        <v>0</v>
      </c>
      <c r="PL16" s="465">
        <v>0</v>
      </c>
      <c r="PM16" s="465">
        <v>0</v>
      </c>
      <c r="PN16" s="465">
        <v>0</v>
      </c>
      <c r="PO16" s="465">
        <v>0</v>
      </c>
      <c r="PP16" s="465">
        <v>0</v>
      </c>
      <c r="PQ16" s="465">
        <v>-18868727</v>
      </c>
      <c r="PR16" s="465">
        <v>0</v>
      </c>
      <c r="PS16" s="465">
        <v>0</v>
      </c>
      <c r="PT16" s="465">
        <v>4629480</v>
      </c>
      <c r="PU16" s="465">
        <v>1927138</v>
      </c>
      <c r="PV16" s="465">
        <v>1783940</v>
      </c>
      <c r="PW16" s="465">
        <v>-622062</v>
      </c>
      <c r="PX16" s="465">
        <v>0</v>
      </c>
      <c r="PY16" s="465">
        <v>2625</v>
      </c>
      <c r="PZ16" s="465">
        <v>136671</v>
      </c>
      <c r="QA16" s="465">
        <v>0</v>
      </c>
      <c r="QB16" s="465">
        <v>2934775</v>
      </c>
      <c r="QC16" s="465">
        <v>0</v>
      </c>
      <c r="QD16" s="465">
        <v>0</v>
      </c>
      <c r="QE16" s="465">
        <v>0</v>
      </c>
      <c r="QF16" s="465">
        <v>0</v>
      </c>
      <c r="QG16" s="465">
        <v>0</v>
      </c>
      <c r="QH16" s="465">
        <v>0</v>
      </c>
      <c r="QI16" s="465">
        <v>13389282</v>
      </c>
      <c r="QJ16" s="465">
        <v>0</v>
      </c>
      <c r="QK16" s="465">
        <v>0</v>
      </c>
      <c r="QL16" s="465">
        <v>0</v>
      </c>
      <c r="QM16" s="465">
        <v>0</v>
      </c>
      <c r="QN16" s="465">
        <v>-89000</v>
      </c>
      <c r="QO16" s="465">
        <v>0</v>
      </c>
      <c r="QP16" s="465">
        <v>0</v>
      </c>
      <c r="QQ16" s="465">
        <v>0</v>
      </c>
      <c r="QR16" s="465">
        <v>0</v>
      </c>
      <c r="QS16" s="465">
        <v>0</v>
      </c>
      <c r="QT16" s="465">
        <v>0</v>
      </c>
      <c r="QU16" s="465">
        <v>0</v>
      </c>
      <c r="QV16" s="465">
        <v>0</v>
      </c>
      <c r="QW16" s="465">
        <v>0</v>
      </c>
      <c r="QX16" s="465">
        <v>0</v>
      </c>
      <c r="QY16" s="465">
        <v>0</v>
      </c>
      <c r="QZ16" s="465">
        <v>-657730</v>
      </c>
      <c r="RA16" s="465">
        <v>0</v>
      </c>
      <c r="RB16" s="465">
        <v>0</v>
      </c>
      <c r="RC16" s="465">
        <v>0</v>
      </c>
      <c r="RD16" s="465">
        <v>0</v>
      </c>
      <c r="RE16" s="465">
        <v>0</v>
      </c>
      <c r="RF16" s="465">
        <v>0</v>
      </c>
      <c r="RG16" s="465">
        <v>0</v>
      </c>
      <c r="RH16" s="465">
        <v>0</v>
      </c>
      <c r="RI16" s="465">
        <v>961830</v>
      </c>
      <c r="RJ16" s="465">
        <v>0</v>
      </c>
      <c r="RK16" s="465">
        <v>0</v>
      </c>
      <c r="RL16" s="465">
        <v>0</v>
      </c>
      <c r="RM16" s="465">
        <v>0</v>
      </c>
      <c r="RN16" s="465">
        <v>0</v>
      </c>
      <c r="RO16" s="465">
        <v>0</v>
      </c>
      <c r="RP16" s="465">
        <v>0</v>
      </c>
      <c r="RQ16" s="465">
        <v>0</v>
      </c>
      <c r="RR16" s="465">
        <v>0</v>
      </c>
      <c r="RS16" s="465">
        <v>0</v>
      </c>
      <c r="RT16" s="465">
        <v>0</v>
      </c>
      <c r="RU16" s="465">
        <v>-13112732</v>
      </c>
      <c r="RV16" s="465">
        <v>0</v>
      </c>
      <c r="RW16" s="465">
        <v>0</v>
      </c>
      <c r="RX16" s="465">
        <v>0</v>
      </c>
      <c r="RY16" s="465">
        <v>0</v>
      </c>
      <c r="RZ16" s="465">
        <v>0</v>
      </c>
      <c r="SA16" s="465">
        <v>0</v>
      </c>
      <c r="SB16" s="465">
        <v>0</v>
      </c>
      <c r="SC16" s="465">
        <v>0</v>
      </c>
      <c r="SD16" s="465">
        <v>0</v>
      </c>
      <c r="SE16" s="465">
        <v>0</v>
      </c>
      <c r="SF16" s="465">
        <v>0</v>
      </c>
      <c r="SG16" s="465">
        <v>0</v>
      </c>
      <c r="SH16" s="465">
        <v>0</v>
      </c>
      <c r="SI16" s="465">
        <v>0</v>
      </c>
      <c r="SJ16" s="465">
        <v>0</v>
      </c>
      <c r="SK16" s="465">
        <v>0</v>
      </c>
      <c r="SL16" s="465">
        <v>0</v>
      </c>
      <c r="SM16" s="465">
        <v>0</v>
      </c>
      <c r="SN16" s="465">
        <v>0</v>
      </c>
      <c r="SO16" s="465">
        <v>0</v>
      </c>
      <c r="SP16" s="465">
        <v>0</v>
      </c>
      <c r="SQ16" s="465">
        <v>0</v>
      </c>
      <c r="SR16" s="465">
        <v>0</v>
      </c>
      <c r="SS16" s="465">
        <v>0</v>
      </c>
      <c r="ST16" s="465">
        <v>1000000</v>
      </c>
      <c r="SU16" s="465">
        <v>0</v>
      </c>
      <c r="SV16" s="465">
        <v>0</v>
      </c>
      <c r="SW16" s="465">
        <v>0</v>
      </c>
      <c r="SX16" s="465">
        <v>0</v>
      </c>
      <c r="SY16" s="465">
        <v>0</v>
      </c>
      <c r="SZ16" s="465">
        <v>0</v>
      </c>
      <c r="TA16" s="465">
        <v>0</v>
      </c>
      <c r="TB16" s="465">
        <v>0</v>
      </c>
      <c r="TC16" s="465">
        <v>0</v>
      </c>
      <c r="TD16" s="465">
        <v>0</v>
      </c>
      <c r="TE16" s="465">
        <v>24497514</v>
      </c>
      <c r="TF16" s="465">
        <v>15279391</v>
      </c>
      <c r="TG16" s="465">
        <v>0</v>
      </c>
      <c r="TH16" s="465">
        <v>0</v>
      </c>
      <c r="TI16" s="465">
        <v>4944920</v>
      </c>
      <c r="TJ16" s="465">
        <v>-101235</v>
      </c>
      <c r="TK16" s="465">
        <v>18218</v>
      </c>
      <c r="TL16" s="465">
        <v>4885107</v>
      </c>
      <c r="TM16" s="465">
        <v>104393</v>
      </c>
      <c r="TN16" s="465">
        <v>127029</v>
      </c>
      <c r="TO16" s="465">
        <v>399244</v>
      </c>
      <c r="TP16" s="465">
        <v>5472</v>
      </c>
      <c r="TQ16" s="465">
        <v>89325</v>
      </c>
      <c r="TR16" s="465">
        <v>0</v>
      </c>
      <c r="TS16" s="465">
        <v>0</v>
      </c>
      <c r="TT16" s="465">
        <v>0</v>
      </c>
      <c r="TU16" s="465">
        <v>0</v>
      </c>
      <c r="TV16" s="465">
        <v>388336</v>
      </c>
      <c r="TW16" s="465">
        <v>0</v>
      </c>
      <c r="TX16" s="465">
        <v>0</v>
      </c>
      <c r="TY16" s="465">
        <v>0</v>
      </c>
      <c r="TZ16" s="465">
        <v>0</v>
      </c>
      <c r="UA16" s="465">
        <v>0</v>
      </c>
      <c r="UB16" s="465">
        <v>0</v>
      </c>
      <c r="UC16" s="465">
        <v>0</v>
      </c>
      <c r="UD16" s="465">
        <v>0</v>
      </c>
      <c r="UE16" s="465">
        <v>0</v>
      </c>
      <c r="UF16" s="465">
        <v>0</v>
      </c>
      <c r="UG16" s="465">
        <v>0</v>
      </c>
      <c r="UH16" s="465">
        <v>0</v>
      </c>
      <c r="UI16" s="465">
        <v>0</v>
      </c>
      <c r="UJ16" s="465">
        <v>0</v>
      </c>
      <c r="UK16" s="465">
        <v>0</v>
      </c>
      <c r="UL16" s="465">
        <v>0</v>
      </c>
      <c r="UM16" s="465">
        <v>0</v>
      </c>
      <c r="UN16" s="465">
        <v>0</v>
      </c>
      <c r="UO16" s="465">
        <v>45338838</v>
      </c>
      <c r="UP16" s="465">
        <v>14738752</v>
      </c>
      <c r="UQ16" s="465">
        <v>3437353</v>
      </c>
      <c r="UR16" s="465">
        <v>43920874</v>
      </c>
      <c r="US16" s="465">
        <v>21408116</v>
      </c>
      <c r="UT16" s="465">
        <v>3642889</v>
      </c>
      <c r="UU16" s="465">
        <v>20958</v>
      </c>
      <c r="UV16" s="465">
        <v>3627491</v>
      </c>
      <c r="UW16" s="465">
        <v>1273006</v>
      </c>
      <c r="UX16" s="465">
        <v>1836493</v>
      </c>
      <c r="UY16" s="465">
        <v>2590509</v>
      </c>
      <c r="UZ16" s="465">
        <v>-657730</v>
      </c>
      <c r="VA16" s="465">
        <v>0</v>
      </c>
      <c r="VB16" s="465">
        <v>0</v>
      </c>
      <c r="VC16" s="465" t="s">
        <v>1603</v>
      </c>
      <c r="VD16" s="465" t="s">
        <v>1604</v>
      </c>
      <c r="VE16" s="465" t="s">
        <v>1605</v>
      </c>
    </row>
    <row r="17" spans="1:577" s="331" customFormat="1" ht="30.6" thickBot="1">
      <c r="A17" s="325">
        <v>510</v>
      </c>
      <c r="B17" s="326" t="s">
        <v>29</v>
      </c>
      <c r="C17" s="327" t="s">
        <v>962</v>
      </c>
      <c r="D17" s="331" t="s">
        <v>428</v>
      </c>
      <c r="E17" s="466">
        <v>203658</v>
      </c>
      <c r="F17" s="464">
        <v>669364284</v>
      </c>
      <c r="G17" s="464" t="s">
        <v>1572</v>
      </c>
      <c r="H17" s="464" t="s">
        <v>29</v>
      </c>
      <c r="I17" s="464">
        <v>0</v>
      </c>
      <c r="J17" s="464">
        <v>0</v>
      </c>
      <c r="K17" s="464">
        <v>0</v>
      </c>
      <c r="L17" s="464">
        <v>0</v>
      </c>
      <c r="M17" s="464">
        <v>16760652</v>
      </c>
      <c r="N17" s="464">
        <v>0</v>
      </c>
      <c r="O17" s="464">
        <v>0</v>
      </c>
      <c r="P17" s="464">
        <v>0</v>
      </c>
      <c r="Q17" s="464">
        <v>0</v>
      </c>
      <c r="R17" s="464">
        <v>0</v>
      </c>
      <c r="S17" s="464">
        <v>0</v>
      </c>
      <c r="T17" s="464">
        <v>0</v>
      </c>
      <c r="U17" s="464">
        <v>0</v>
      </c>
      <c r="V17" s="464">
        <v>0</v>
      </c>
      <c r="W17" s="464">
        <v>725865</v>
      </c>
      <c r="X17" s="464">
        <v>0</v>
      </c>
      <c r="Y17" s="464">
        <v>3719461</v>
      </c>
      <c r="Z17" s="464">
        <v>0</v>
      </c>
      <c r="AA17" s="464">
        <v>0</v>
      </c>
      <c r="AB17" s="464">
        <v>0</v>
      </c>
      <c r="AC17" s="464">
        <v>0</v>
      </c>
      <c r="AD17" s="464">
        <v>0</v>
      </c>
      <c r="AE17" s="464">
        <v>0</v>
      </c>
      <c r="AF17" s="464">
        <v>0</v>
      </c>
      <c r="AG17" s="464">
        <v>0</v>
      </c>
      <c r="AH17" s="464">
        <v>0</v>
      </c>
      <c r="AI17" s="464">
        <v>0</v>
      </c>
      <c r="AJ17" s="464">
        <v>0</v>
      </c>
      <c r="AK17" s="464">
        <v>0</v>
      </c>
      <c r="AL17" s="464">
        <v>0</v>
      </c>
      <c r="AM17" s="464">
        <v>0</v>
      </c>
      <c r="AN17" s="464">
        <v>0</v>
      </c>
      <c r="AO17" s="464">
        <v>0</v>
      </c>
      <c r="AP17" s="464">
        <v>0</v>
      </c>
      <c r="AQ17" s="464">
        <v>0</v>
      </c>
      <c r="AR17" s="464">
        <v>0</v>
      </c>
      <c r="AS17" s="464">
        <v>0</v>
      </c>
      <c r="AT17" s="464">
        <v>0</v>
      </c>
      <c r="AU17" s="464">
        <v>0</v>
      </c>
      <c r="AV17" s="464">
        <v>0</v>
      </c>
      <c r="AW17" s="464">
        <v>25010190</v>
      </c>
      <c r="AX17" s="464">
        <v>0</v>
      </c>
      <c r="AY17" s="464">
        <v>0</v>
      </c>
      <c r="AZ17" s="464">
        <v>0</v>
      </c>
      <c r="BA17" s="464">
        <v>0</v>
      </c>
      <c r="BB17" s="464">
        <v>0</v>
      </c>
      <c r="BC17" s="464">
        <v>0</v>
      </c>
      <c r="BD17" s="464">
        <v>0</v>
      </c>
      <c r="BE17" s="464">
        <v>0</v>
      </c>
      <c r="BF17" s="464">
        <v>0</v>
      </c>
      <c r="BG17" s="464">
        <v>0</v>
      </c>
      <c r="BH17" s="464">
        <v>0</v>
      </c>
      <c r="BI17" s="464">
        <v>0</v>
      </c>
      <c r="BJ17" s="464">
        <v>0</v>
      </c>
      <c r="BK17" s="464">
        <v>0</v>
      </c>
      <c r="BL17" s="464">
        <v>0</v>
      </c>
      <c r="BM17" s="464">
        <v>0</v>
      </c>
      <c r="BN17" s="464">
        <v>0</v>
      </c>
      <c r="BO17" s="464">
        <v>0</v>
      </c>
      <c r="BP17" s="464">
        <v>0</v>
      </c>
      <c r="BQ17" s="464">
        <v>0</v>
      </c>
      <c r="BR17" s="464">
        <v>0</v>
      </c>
      <c r="BS17" s="464">
        <v>0</v>
      </c>
      <c r="BT17" s="464">
        <v>0</v>
      </c>
      <c r="BU17" s="464">
        <v>0</v>
      </c>
      <c r="BV17" s="464">
        <v>0</v>
      </c>
      <c r="BW17" s="464">
        <v>0</v>
      </c>
      <c r="BX17" s="464">
        <v>0</v>
      </c>
      <c r="BY17" s="464">
        <v>0</v>
      </c>
      <c r="BZ17" s="464">
        <v>0</v>
      </c>
      <c r="CA17" s="464">
        <v>0</v>
      </c>
      <c r="CB17" s="464">
        <v>0</v>
      </c>
      <c r="CC17" s="464">
        <v>0</v>
      </c>
      <c r="CD17" s="464">
        <v>0</v>
      </c>
      <c r="CE17" s="464">
        <v>0</v>
      </c>
      <c r="CF17" s="464">
        <v>0</v>
      </c>
      <c r="CG17" s="464">
        <v>0</v>
      </c>
      <c r="CH17" s="464">
        <v>0</v>
      </c>
      <c r="CI17" s="464">
        <v>0</v>
      </c>
      <c r="CJ17" s="464">
        <v>0</v>
      </c>
      <c r="CK17" s="464">
        <v>0</v>
      </c>
      <c r="CL17" s="464">
        <v>0</v>
      </c>
      <c r="CM17" s="464">
        <v>0</v>
      </c>
      <c r="CN17" s="464">
        <v>0</v>
      </c>
      <c r="CO17" s="464">
        <v>0</v>
      </c>
      <c r="CP17" s="464">
        <v>1365995</v>
      </c>
      <c r="CQ17" s="464">
        <v>2437306</v>
      </c>
      <c r="CR17" s="464">
        <v>0</v>
      </c>
      <c r="CS17" s="464">
        <v>0</v>
      </c>
      <c r="CT17" s="464">
        <v>0</v>
      </c>
      <c r="CU17" s="464">
        <v>0</v>
      </c>
      <c r="CV17" s="464">
        <v>0</v>
      </c>
      <c r="CW17" s="464">
        <v>0</v>
      </c>
      <c r="CX17" s="464">
        <v>0</v>
      </c>
      <c r="CY17" s="464">
        <v>0</v>
      </c>
      <c r="CZ17" s="464">
        <v>0</v>
      </c>
      <c r="DA17" s="464">
        <v>0</v>
      </c>
      <c r="DB17" s="464">
        <v>0</v>
      </c>
      <c r="DC17" s="464">
        <v>0</v>
      </c>
      <c r="DD17" s="464">
        <v>0</v>
      </c>
      <c r="DE17" s="464">
        <v>0</v>
      </c>
      <c r="DF17" s="464">
        <v>0</v>
      </c>
      <c r="DG17" s="464">
        <v>0</v>
      </c>
      <c r="DH17" s="464">
        <v>0</v>
      </c>
      <c r="DI17" s="464">
        <v>0</v>
      </c>
      <c r="DJ17" s="464">
        <v>0</v>
      </c>
      <c r="DK17" s="464">
        <v>0</v>
      </c>
      <c r="DL17" s="464">
        <v>0</v>
      </c>
      <c r="DM17" s="464">
        <v>0</v>
      </c>
      <c r="DN17" s="464">
        <v>0</v>
      </c>
      <c r="DO17" s="464">
        <v>0</v>
      </c>
      <c r="DP17" s="464">
        <v>0</v>
      </c>
      <c r="DQ17" s="464">
        <v>0</v>
      </c>
      <c r="DR17" s="464">
        <v>0</v>
      </c>
      <c r="DS17" s="464">
        <v>0</v>
      </c>
      <c r="DT17" s="464">
        <v>0</v>
      </c>
      <c r="DU17" s="464">
        <v>0</v>
      </c>
      <c r="DV17" s="464">
        <v>0</v>
      </c>
      <c r="DW17" s="464">
        <v>0</v>
      </c>
      <c r="DX17" s="464">
        <v>0</v>
      </c>
      <c r="DY17" s="464">
        <v>0</v>
      </c>
      <c r="DZ17" s="464">
        <v>0</v>
      </c>
      <c r="EA17" s="464">
        <v>0</v>
      </c>
      <c r="EB17" s="464">
        <v>0</v>
      </c>
      <c r="EC17" s="464">
        <v>0</v>
      </c>
      <c r="ED17" s="464">
        <v>0</v>
      </c>
      <c r="EE17" s="464">
        <v>0</v>
      </c>
      <c r="EF17" s="464">
        <v>0</v>
      </c>
      <c r="EG17" s="464">
        <v>0</v>
      </c>
      <c r="EH17" s="464">
        <v>0</v>
      </c>
      <c r="EI17" s="464">
        <v>-380153</v>
      </c>
      <c r="EJ17" s="464">
        <v>0</v>
      </c>
      <c r="EK17" s="464">
        <v>0</v>
      </c>
      <c r="EL17" s="464">
        <v>0</v>
      </c>
      <c r="EM17" s="464">
        <v>0</v>
      </c>
      <c r="EN17" s="464">
        <v>0</v>
      </c>
      <c r="EO17" s="464">
        <v>0</v>
      </c>
      <c r="EP17" s="464">
        <v>0</v>
      </c>
      <c r="EQ17" s="464">
        <v>0</v>
      </c>
      <c r="ER17" s="464">
        <v>0</v>
      </c>
      <c r="ES17" s="464">
        <v>0</v>
      </c>
      <c r="ET17" s="464">
        <v>0</v>
      </c>
      <c r="EU17" s="464">
        <v>0</v>
      </c>
      <c r="EV17" s="464">
        <v>0</v>
      </c>
      <c r="EW17" s="464">
        <v>0</v>
      </c>
      <c r="EX17" s="464">
        <v>0</v>
      </c>
      <c r="EY17" s="464">
        <v>0</v>
      </c>
      <c r="EZ17" s="464">
        <v>0</v>
      </c>
      <c r="FA17" s="464">
        <v>0</v>
      </c>
      <c r="FB17" s="464">
        <v>0</v>
      </c>
      <c r="FC17" s="464">
        <v>0</v>
      </c>
      <c r="FD17" s="464">
        <v>0</v>
      </c>
      <c r="FE17" s="464">
        <v>0</v>
      </c>
      <c r="FF17" s="464">
        <v>0</v>
      </c>
      <c r="FG17" s="464">
        <v>0</v>
      </c>
      <c r="FH17" s="464">
        <v>0</v>
      </c>
      <c r="FI17" s="464">
        <v>0</v>
      </c>
      <c r="FJ17" s="464">
        <v>0</v>
      </c>
      <c r="FK17" s="464">
        <v>0</v>
      </c>
      <c r="FL17" s="464">
        <v>0</v>
      </c>
      <c r="FM17" s="464">
        <v>0</v>
      </c>
      <c r="FN17" s="464">
        <v>0</v>
      </c>
      <c r="FO17" s="464">
        <v>0</v>
      </c>
      <c r="FP17" s="464">
        <v>0</v>
      </c>
      <c r="FQ17" s="464">
        <v>0</v>
      </c>
      <c r="FR17" s="464">
        <v>0</v>
      </c>
      <c r="FS17" s="464">
        <v>0</v>
      </c>
      <c r="FT17" s="464">
        <v>0</v>
      </c>
      <c r="FU17" s="464">
        <v>0</v>
      </c>
      <c r="FV17" s="464">
        <v>0</v>
      </c>
      <c r="FW17" s="464">
        <v>0</v>
      </c>
      <c r="FX17" s="464">
        <v>0</v>
      </c>
      <c r="FY17" s="464">
        <v>0</v>
      </c>
      <c r="FZ17" s="464">
        <v>0</v>
      </c>
      <c r="GA17" s="464">
        <v>0</v>
      </c>
      <c r="GB17" s="464">
        <v>0</v>
      </c>
      <c r="GC17" s="464">
        <v>1157497</v>
      </c>
      <c r="GD17" s="464">
        <v>0</v>
      </c>
      <c r="GE17" s="464">
        <v>0</v>
      </c>
      <c r="GF17" s="464">
        <v>0</v>
      </c>
      <c r="GG17" s="464">
        <v>0</v>
      </c>
      <c r="GH17" s="464">
        <v>0</v>
      </c>
      <c r="GI17" s="464">
        <v>0</v>
      </c>
      <c r="GJ17" s="464">
        <v>0</v>
      </c>
      <c r="GK17" s="464">
        <v>0</v>
      </c>
      <c r="GL17" s="464">
        <v>0</v>
      </c>
      <c r="GM17" s="464">
        <v>0</v>
      </c>
      <c r="GN17" s="464">
        <v>0</v>
      </c>
      <c r="GO17" s="464">
        <v>0</v>
      </c>
      <c r="GP17" s="464">
        <v>0</v>
      </c>
      <c r="GQ17" s="464">
        <v>0</v>
      </c>
      <c r="GR17" s="464">
        <v>0</v>
      </c>
      <c r="GS17" s="464">
        <v>0</v>
      </c>
      <c r="GT17" s="464">
        <v>0</v>
      </c>
      <c r="GU17" s="464">
        <v>0</v>
      </c>
      <c r="GV17" s="464">
        <v>0</v>
      </c>
      <c r="GW17" s="464">
        <v>0</v>
      </c>
      <c r="GX17" s="464">
        <v>0</v>
      </c>
      <c r="GY17" s="464">
        <v>0</v>
      </c>
      <c r="GZ17" s="464">
        <v>0</v>
      </c>
      <c r="HA17" s="464">
        <v>0</v>
      </c>
      <c r="HB17" s="464">
        <v>0</v>
      </c>
      <c r="HC17" s="464">
        <v>0</v>
      </c>
      <c r="HD17" s="464">
        <v>0</v>
      </c>
      <c r="HE17" s="464">
        <v>0</v>
      </c>
      <c r="HF17" s="464">
        <v>0</v>
      </c>
      <c r="HG17" s="464">
        <v>0</v>
      </c>
      <c r="HH17" s="464">
        <v>0</v>
      </c>
      <c r="HI17" s="464">
        <v>0</v>
      </c>
      <c r="HJ17" s="464">
        <v>0</v>
      </c>
      <c r="HK17" s="464">
        <v>0</v>
      </c>
      <c r="HL17" s="464">
        <v>0</v>
      </c>
      <c r="HM17" s="464">
        <v>0</v>
      </c>
      <c r="HN17" s="464">
        <v>0</v>
      </c>
      <c r="HO17" s="464">
        <v>0</v>
      </c>
      <c r="HP17" s="464">
        <v>0</v>
      </c>
      <c r="HQ17" s="464">
        <v>0</v>
      </c>
      <c r="HR17" s="464">
        <v>0</v>
      </c>
      <c r="HS17" s="464">
        <v>0</v>
      </c>
      <c r="HT17" s="464">
        <v>0</v>
      </c>
      <c r="HU17" s="464">
        <v>0</v>
      </c>
      <c r="HV17" s="464">
        <v>-1091432</v>
      </c>
      <c r="HW17" s="464">
        <v>0</v>
      </c>
      <c r="HX17" s="464">
        <v>0</v>
      </c>
      <c r="HY17" s="464">
        <v>0</v>
      </c>
      <c r="HZ17" s="464">
        <v>0</v>
      </c>
      <c r="IA17" s="464">
        <v>0</v>
      </c>
      <c r="IB17" s="464">
        <v>0</v>
      </c>
      <c r="IC17" s="464">
        <v>0</v>
      </c>
      <c r="ID17" s="464">
        <v>0</v>
      </c>
      <c r="IE17" s="464">
        <v>0</v>
      </c>
      <c r="IF17" s="464">
        <v>0</v>
      </c>
      <c r="IG17" s="464">
        <v>12717100</v>
      </c>
      <c r="IH17" s="464">
        <v>0</v>
      </c>
      <c r="II17" s="464">
        <v>0</v>
      </c>
      <c r="IJ17" s="464">
        <v>0</v>
      </c>
      <c r="IK17" s="464">
        <v>0</v>
      </c>
      <c r="IL17" s="464">
        <v>0</v>
      </c>
      <c r="IM17" s="464">
        <v>0</v>
      </c>
      <c r="IN17" s="464">
        <v>12639757</v>
      </c>
      <c r="IO17" s="464">
        <v>0</v>
      </c>
      <c r="IP17" s="464">
        <v>0</v>
      </c>
      <c r="IQ17" s="464">
        <v>0</v>
      </c>
      <c r="IR17" s="464">
        <v>0</v>
      </c>
      <c r="IS17" s="464">
        <v>0</v>
      </c>
      <c r="IT17" s="464">
        <v>0</v>
      </c>
      <c r="IU17" s="464">
        <v>0</v>
      </c>
      <c r="IV17" s="464">
        <v>0</v>
      </c>
      <c r="IW17" s="464">
        <v>1459467</v>
      </c>
      <c r="IX17" s="464">
        <v>0</v>
      </c>
      <c r="IY17" s="464">
        <v>0</v>
      </c>
      <c r="IZ17" s="464">
        <v>0</v>
      </c>
      <c r="JA17" s="464">
        <v>0</v>
      </c>
      <c r="JB17" s="464">
        <v>0</v>
      </c>
      <c r="JC17" s="464">
        <v>0</v>
      </c>
      <c r="JD17" s="464">
        <v>0</v>
      </c>
      <c r="JE17" s="464">
        <v>0</v>
      </c>
      <c r="JF17" s="464">
        <v>1236744</v>
      </c>
      <c r="JG17" s="464">
        <v>0</v>
      </c>
      <c r="JH17" s="464">
        <v>2108112</v>
      </c>
      <c r="JI17" s="464">
        <v>0</v>
      </c>
      <c r="JJ17" s="464">
        <v>-1293676</v>
      </c>
      <c r="JK17" s="464">
        <v>0</v>
      </c>
      <c r="JL17" s="464">
        <v>0</v>
      </c>
      <c r="JM17" s="464">
        <v>0</v>
      </c>
      <c r="JN17" s="464">
        <v>0</v>
      </c>
      <c r="JO17" s="464">
        <v>35052844</v>
      </c>
      <c r="JP17" s="464">
        <v>0</v>
      </c>
      <c r="JQ17" s="464">
        <v>63060</v>
      </c>
      <c r="JR17" s="464">
        <v>0</v>
      </c>
      <c r="JS17" s="464">
        <v>0</v>
      </c>
      <c r="JT17" s="464">
        <v>0</v>
      </c>
      <c r="JU17" s="464">
        <v>0</v>
      </c>
      <c r="JV17" s="464">
        <v>0</v>
      </c>
      <c r="JW17" s="464">
        <v>0</v>
      </c>
      <c r="JX17" s="464">
        <v>103939365</v>
      </c>
      <c r="JY17" s="464">
        <v>0</v>
      </c>
      <c r="JZ17" s="464">
        <v>16642341</v>
      </c>
      <c r="KA17" s="464">
        <v>0</v>
      </c>
      <c r="KB17" s="464">
        <v>0</v>
      </c>
      <c r="KC17" s="464">
        <v>0</v>
      </c>
      <c r="KD17" s="464">
        <v>0</v>
      </c>
      <c r="KE17" s="464">
        <v>0</v>
      </c>
      <c r="KF17" s="464">
        <v>0</v>
      </c>
      <c r="KG17" s="464">
        <v>3868656</v>
      </c>
      <c r="KH17" s="464">
        <v>0</v>
      </c>
      <c r="KI17" s="464">
        <v>0</v>
      </c>
      <c r="KJ17" s="464">
        <v>0</v>
      </c>
      <c r="KK17" s="464">
        <v>0</v>
      </c>
      <c r="KL17" s="464">
        <v>0</v>
      </c>
      <c r="KM17" s="464">
        <v>0</v>
      </c>
      <c r="KN17" s="464">
        <v>0</v>
      </c>
      <c r="KO17" s="464">
        <v>0</v>
      </c>
      <c r="KP17" s="464">
        <v>0</v>
      </c>
      <c r="KQ17" s="464">
        <v>3148117</v>
      </c>
      <c r="KR17" s="464">
        <v>0</v>
      </c>
      <c r="KS17" s="464">
        <v>0</v>
      </c>
      <c r="KT17" s="464">
        <v>0</v>
      </c>
      <c r="KU17" s="464">
        <v>0</v>
      </c>
      <c r="KV17" s="464">
        <v>0</v>
      </c>
      <c r="KW17" s="464">
        <v>0</v>
      </c>
      <c r="KX17" s="464">
        <v>0</v>
      </c>
      <c r="KY17" s="464">
        <v>1936115</v>
      </c>
      <c r="KZ17" s="464">
        <v>0</v>
      </c>
      <c r="LA17" s="464">
        <v>0</v>
      </c>
      <c r="LB17" s="464">
        <v>0</v>
      </c>
      <c r="LC17" s="464">
        <v>0</v>
      </c>
      <c r="LD17" s="464">
        <v>0</v>
      </c>
      <c r="LE17" s="464">
        <v>0</v>
      </c>
      <c r="LF17" s="464">
        <v>-123159</v>
      </c>
      <c r="LG17" s="464">
        <v>786081</v>
      </c>
      <c r="LH17" s="464">
        <v>5532788</v>
      </c>
      <c r="LI17" s="464">
        <v>0</v>
      </c>
      <c r="LJ17" s="464">
        <v>1898396</v>
      </c>
      <c r="LK17" s="464">
        <v>0</v>
      </c>
      <c r="LL17" s="464">
        <v>0</v>
      </c>
      <c r="LM17" s="464">
        <v>0</v>
      </c>
      <c r="LN17" s="464">
        <v>0</v>
      </c>
      <c r="LO17" s="464">
        <v>0</v>
      </c>
      <c r="LP17" s="464">
        <v>7759866</v>
      </c>
      <c r="LQ17" s="464">
        <v>8727240</v>
      </c>
      <c r="LR17" s="464">
        <v>0</v>
      </c>
      <c r="LS17" s="464">
        <v>23633358</v>
      </c>
      <c r="LT17" s="464">
        <v>0</v>
      </c>
      <c r="LU17" s="464">
        <v>0</v>
      </c>
      <c r="LV17" s="464">
        <v>0</v>
      </c>
      <c r="LW17" s="464">
        <v>0</v>
      </c>
      <c r="LX17" s="464">
        <v>0</v>
      </c>
      <c r="LY17" s="464">
        <v>155998</v>
      </c>
      <c r="LZ17" s="464">
        <v>1777262</v>
      </c>
      <c r="MA17" s="464">
        <v>0</v>
      </c>
      <c r="MB17" s="464">
        <v>2170902</v>
      </c>
      <c r="MC17" s="464">
        <v>0</v>
      </c>
      <c r="MD17" s="464">
        <v>0</v>
      </c>
      <c r="ME17" s="464">
        <v>0</v>
      </c>
      <c r="MF17" s="464">
        <v>0</v>
      </c>
      <c r="MG17" s="464">
        <v>0</v>
      </c>
      <c r="MH17" s="464">
        <v>4993042</v>
      </c>
      <c r="MI17" s="464">
        <v>113855782</v>
      </c>
      <c r="MJ17" s="464">
        <v>0</v>
      </c>
      <c r="MK17" s="464">
        <v>7568708</v>
      </c>
      <c r="ML17" s="464">
        <v>0</v>
      </c>
      <c r="MM17" s="464">
        <v>0</v>
      </c>
      <c r="MN17" s="464">
        <v>0</v>
      </c>
      <c r="MO17" s="464">
        <v>0</v>
      </c>
      <c r="MP17" s="464">
        <v>0</v>
      </c>
      <c r="MQ17" s="464">
        <v>25577810</v>
      </c>
      <c r="MR17" s="464">
        <v>10948846</v>
      </c>
      <c r="MS17" s="464">
        <v>0</v>
      </c>
      <c r="MT17" s="464">
        <v>2152628</v>
      </c>
      <c r="MU17" s="464">
        <v>0</v>
      </c>
      <c r="MV17" s="464">
        <v>0</v>
      </c>
      <c r="MW17" s="464">
        <v>0</v>
      </c>
      <c r="MX17" s="464">
        <v>0</v>
      </c>
      <c r="MY17" s="464">
        <v>0</v>
      </c>
      <c r="MZ17" s="464">
        <v>0</v>
      </c>
      <c r="NA17" s="464">
        <v>0</v>
      </c>
      <c r="NB17" s="464">
        <v>0</v>
      </c>
      <c r="NC17" s="464">
        <v>15621</v>
      </c>
      <c r="ND17" s="464">
        <v>0</v>
      </c>
      <c r="NE17" s="464">
        <v>0</v>
      </c>
      <c r="NF17" s="464">
        <v>0</v>
      </c>
      <c r="NG17" s="464">
        <v>0</v>
      </c>
      <c r="NH17" s="464">
        <v>0</v>
      </c>
      <c r="NI17" s="464">
        <v>7803301</v>
      </c>
      <c r="NJ17" s="464">
        <v>15290763</v>
      </c>
      <c r="NK17" s="464">
        <v>0</v>
      </c>
      <c r="NL17" s="464">
        <v>1528493</v>
      </c>
      <c r="NM17" s="464">
        <v>0</v>
      </c>
      <c r="NN17" s="464">
        <v>0</v>
      </c>
      <c r="NO17" s="464">
        <v>0</v>
      </c>
      <c r="NP17" s="464">
        <v>0</v>
      </c>
      <c r="NQ17" s="464">
        <v>0</v>
      </c>
      <c r="NR17" s="464">
        <v>1871446</v>
      </c>
      <c r="NS17" s="464">
        <v>0</v>
      </c>
      <c r="NT17" s="464">
        <v>0</v>
      </c>
      <c r="NU17" s="464">
        <v>0</v>
      </c>
      <c r="NV17" s="464">
        <v>0</v>
      </c>
      <c r="NW17" s="464">
        <v>0</v>
      </c>
      <c r="NX17" s="464">
        <v>699062</v>
      </c>
      <c r="NY17" s="464">
        <v>0</v>
      </c>
      <c r="NZ17" s="464">
        <v>0</v>
      </c>
      <c r="OA17" s="464">
        <v>91848</v>
      </c>
      <c r="OB17" s="464">
        <v>586769</v>
      </c>
      <c r="OC17" s="464">
        <v>0</v>
      </c>
      <c r="OD17" s="464">
        <v>1775864</v>
      </c>
      <c r="OE17" s="464">
        <v>0</v>
      </c>
      <c r="OF17" s="464">
        <v>0</v>
      </c>
      <c r="OG17" s="464">
        <v>0</v>
      </c>
      <c r="OH17" s="464">
        <v>0</v>
      </c>
      <c r="OI17" s="464">
        <v>0</v>
      </c>
      <c r="OJ17" s="464">
        <v>0</v>
      </c>
      <c r="OK17" s="464">
        <v>0</v>
      </c>
      <c r="OL17" s="464">
        <v>967543</v>
      </c>
      <c r="OM17" s="464">
        <v>0</v>
      </c>
      <c r="ON17" s="464">
        <v>0</v>
      </c>
      <c r="OO17" s="464">
        <v>0</v>
      </c>
      <c r="OP17" s="464">
        <v>0</v>
      </c>
      <c r="OQ17" s="464">
        <v>0</v>
      </c>
      <c r="OR17" s="464">
        <v>0</v>
      </c>
      <c r="OS17" s="464">
        <v>88123</v>
      </c>
      <c r="OT17" s="464">
        <v>18515</v>
      </c>
      <c r="OU17" s="464">
        <v>0</v>
      </c>
      <c r="OV17" s="464">
        <v>145495</v>
      </c>
      <c r="OW17" s="464">
        <v>0</v>
      </c>
      <c r="OX17" s="464">
        <v>0</v>
      </c>
      <c r="OY17" s="464">
        <v>0</v>
      </c>
      <c r="OZ17" s="464">
        <v>0</v>
      </c>
      <c r="PA17" s="464">
        <v>0</v>
      </c>
      <c r="PB17" s="464">
        <v>0</v>
      </c>
      <c r="PC17" s="464">
        <v>2850</v>
      </c>
      <c r="PD17" s="464">
        <v>0</v>
      </c>
      <c r="PE17" s="464">
        <v>0</v>
      </c>
      <c r="PF17" s="464">
        <v>0</v>
      </c>
      <c r="PG17" s="464">
        <v>0</v>
      </c>
      <c r="PH17" s="464">
        <v>0</v>
      </c>
      <c r="PI17" s="464">
        <v>0</v>
      </c>
      <c r="PJ17" s="464">
        <v>0</v>
      </c>
      <c r="PK17" s="464">
        <v>0</v>
      </c>
      <c r="PL17" s="464">
        <v>0</v>
      </c>
      <c r="PM17" s="464">
        <v>0</v>
      </c>
      <c r="PN17" s="464">
        <v>0</v>
      </c>
      <c r="PO17" s="464">
        <v>0</v>
      </c>
      <c r="PP17" s="464">
        <v>0</v>
      </c>
      <c r="PQ17" s="464">
        <v>-4051203</v>
      </c>
      <c r="PR17" s="464">
        <v>0</v>
      </c>
      <c r="PS17" s="464">
        <v>0</v>
      </c>
      <c r="PT17" s="464">
        <v>-33312</v>
      </c>
      <c r="PU17" s="464">
        <v>8745356</v>
      </c>
      <c r="PV17" s="464">
        <v>0</v>
      </c>
      <c r="PW17" s="464">
        <v>211059</v>
      </c>
      <c r="PX17" s="464">
        <v>0</v>
      </c>
      <c r="PY17" s="464">
        <v>0</v>
      </c>
      <c r="PZ17" s="464">
        <v>-15000</v>
      </c>
      <c r="QA17" s="464">
        <v>0</v>
      </c>
      <c r="QB17" s="464">
        <v>0</v>
      </c>
      <c r="QC17" s="464">
        <v>0</v>
      </c>
      <c r="QD17" s="464">
        <v>0</v>
      </c>
      <c r="QE17" s="464">
        <v>0</v>
      </c>
      <c r="QF17" s="464">
        <v>0</v>
      </c>
      <c r="QG17" s="464">
        <v>0</v>
      </c>
      <c r="QH17" s="464">
        <v>0</v>
      </c>
      <c r="QI17" s="464">
        <v>1515547</v>
      </c>
      <c r="QJ17" s="464">
        <v>0</v>
      </c>
      <c r="QK17" s="464">
        <v>0</v>
      </c>
      <c r="QL17" s="464">
        <v>-934423</v>
      </c>
      <c r="QM17" s="464">
        <v>-10301120</v>
      </c>
      <c r="QN17" s="464">
        <v>-3187303</v>
      </c>
      <c r="QO17" s="464">
        <v>0</v>
      </c>
      <c r="QP17" s="464">
        <v>0</v>
      </c>
      <c r="QQ17" s="464">
        <v>0</v>
      </c>
      <c r="QR17" s="464">
        <v>0</v>
      </c>
      <c r="QS17" s="464">
        <v>0</v>
      </c>
      <c r="QT17" s="464">
        <v>0</v>
      </c>
      <c r="QU17" s="464">
        <v>0</v>
      </c>
      <c r="QV17" s="464">
        <v>0</v>
      </c>
      <c r="QW17" s="464">
        <v>0</v>
      </c>
      <c r="QX17" s="464">
        <v>-24722</v>
      </c>
      <c r="QY17" s="464">
        <v>0</v>
      </c>
      <c r="QZ17" s="464">
        <v>-6141137</v>
      </c>
      <c r="RA17" s="464">
        <v>0</v>
      </c>
      <c r="RB17" s="464">
        <v>0</v>
      </c>
      <c r="RC17" s="464">
        <v>0</v>
      </c>
      <c r="RD17" s="464">
        <v>0</v>
      </c>
      <c r="RE17" s="464">
        <v>0</v>
      </c>
      <c r="RF17" s="464">
        <v>0</v>
      </c>
      <c r="RG17" s="464">
        <v>0</v>
      </c>
      <c r="RH17" s="464">
        <v>0</v>
      </c>
      <c r="RI17" s="464">
        <v>2065831</v>
      </c>
      <c r="RJ17" s="464">
        <v>0</v>
      </c>
      <c r="RK17" s="464">
        <v>0</v>
      </c>
      <c r="RL17" s="464">
        <v>0</v>
      </c>
      <c r="RM17" s="464">
        <v>0</v>
      </c>
      <c r="RN17" s="464">
        <v>0</v>
      </c>
      <c r="RO17" s="464">
        <v>0</v>
      </c>
      <c r="RP17" s="464">
        <v>0</v>
      </c>
      <c r="RQ17" s="464">
        <v>0</v>
      </c>
      <c r="RR17" s="464">
        <v>0</v>
      </c>
      <c r="RS17" s="464">
        <v>0</v>
      </c>
      <c r="RT17" s="464">
        <v>0</v>
      </c>
      <c r="RU17" s="464">
        <v>-26062937</v>
      </c>
      <c r="RV17" s="464">
        <v>0</v>
      </c>
      <c r="RW17" s="464">
        <v>0</v>
      </c>
      <c r="RX17" s="464">
        <v>0</v>
      </c>
      <c r="RY17" s="464">
        <v>0</v>
      </c>
      <c r="RZ17" s="464">
        <v>0</v>
      </c>
      <c r="SA17" s="464">
        <v>0</v>
      </c>
      <c r="SB17" s="464">
        <v>0</v>
      </c>
      <c r="SC17" s="464">
        <v>0</v>
      </c>
      <c r="SD17" s="464">
        <v>0</v>
      </c>
      <c r="SE17" s="464">
        <v>0</v>
      </c>
      <c r="SF17" s="464">
        <v>0</v>
      </c>
      <c r="SG17" s="464">
        <v>0</v>
      </c>
      <c r="SH17" s="464">
        <v>0</v>
      </c>
      <c r="SI17" s="464">
        <v>0</v>
      </c>
      <c r="SJ17" s="464">
        <v>0</v>
      </c>
      <c r="SK17" s="464">
        <v>0</v>
      </c>
      <c r="SL17" s="464">
        <v>0</v>
      </c>
      <c r="SM17" s="464">
        <v>0</v>
      </c>
      <c r="SN17" s="464">
        <v>0</v>
      </c>
      <c r="SO17" s="464">
        <v>0</v>
      </c>
      <c r="SP17" s="464">
        <v>0</v>
      </c>
      <c r="SQ17" s="464">
        <v>0</v>
      </c>
      <c r="SR17" s="464">
        <v>0</v>
      </c>
      <c r="SS17" s="464">
        <v>0</v>
      </c>
      <c r="ST17" s="464">
        <v>0</v>
      </c>
      <c r="SU17" s="464">
        <v>0</v>
      </c>
      <c r="SV17" s="464">
        <v>45714</v>
      </c>
      <c r="SW17" s="464">
        <v>0</v>
      </c>
      <c r="SX17" s="464">
        <v>0</v>
      </c>
      <c r="SY17" s="464">
        <v>0</v>
      </c>
      <c r="SZ17" s="464">
        <v>0</v>
      </c>
      <c r="TA17" s="464">
        <v>0</v>
      </c>
      <c r="TB17" s="464">
        <v>0</v>
      </c>
      <c r="TC17" s="464">
        <v>0</v>
      </c>
      <c r="TD17" s="464">
        <v>0</v>
      </c>
      <c r="TE17" s="464">
        <v>4303336</v>
      </c>
      <c r="TF17" s="464">
        <v>-39188490</v>
      </c>
      <c r="TG17" s="464">
        <v>0</v>
      </c>
      <c r="TH17" s="464">
        <v>0</v>
      </c>
      <c r="TI17" s="464">
        <v>4960798</v>
      </c>
      <c r="TJ17" s="464">
        <v>-1471585</v>
      </c>
      <c r="TK17" s="464">
        <v>0</v>
      </c>
      <c r="TL17" s="464">
        <v>192442</v>
      </c>
      <c r="TM17" s="464">
        <v>0</v>
      </c>
      <c r="TN17" s="464">
        <v>0</v>
      </c>
      <c r="TO17" s="464">
        <v>20928</v>
      </c>
      <c r="TP17" s="464">
        <v>0</v>
      </c>
      <c r="TQ17" s="464">
        <v>38763</v>
      </c>
      <c r="TR17" s="464">
        <v>0</v>
      </c>
      <c r="TS17" s="464">
        <v>0</v>
      </c>
      <c r="TT17" s="464">
        <v>0</v>
      </c>
      <c r="TU17" s="464">
        <v>212590</v>
      </c>
      <c r="TV17" s="464">
        <v>4299640</v>
      </c>
      <c r="TW17" s="464">
        <v>431672</v>
      </c>
      <c r="TX17" s="464">
        <v>0</v>
      </c>
      <c r="TY17" s="464">
        <v>0</v>
      </c>
      <c r="TZ17" s="464">
        <v>0</v>
      </c>
      <c r="UA17" s="464">
        <v>0</v>
      </c>
      <c r="UB17" s="464">
        <v>0</v>
      </c>
      <c r="UC17" s="464">
        <v>0</v>
      </c>
      <c r="UD17" s="464">
        <v>0</v>
      </c>
      <c r="UE17" s="464">
        <v>0</v>
      </c>
      <c r="UF17" s="464">
        <v>0</v>
      </c>
      <c r="UG17" s="464">
        <v>0</v>
      </c>
      <c r="UH17" s="464">
        <v>0</v>
      </c>
      <c r="UI17" s="464">
        <v>0</v>
      </c>
      <c r="UJ17" s="464">
        <v>0</v>
      </c>
      <c r="UK17" s="464">
        <v>0</v>
      </c>
      <c r="UL17" s="464">
        <v>0</v>
      </c>
      <c r="UM17" s="464">
        <v>0</v>
      </c>
      <c r="UN17" s="464">
        <v>0</v>
      </c>
      <c r="UO17" s="464">
        <v>8217265</v>
      </c>
      <c r="UP17" s="464">
        <v>40120464</v>
      </c>
      <c r="UQ17" s="464">
        <v>4104162</v>
      </c>
      <c r="UR17" s="464">
        <v>126417532</v>
      </c>
      <c r="US17" s="464">
        <v>38679284</v>
      </c>
      <c r="UT17" s="464">
        <v>15621</v>
      </c>
      <c r="UU17" s="464">
        <v>24622557</v>
      </c>
      <c r="UV17" s="464">
        <v>2570508</v>
      </c>
      <c r="UW17" s="464">
        <v>2454481</v>
      </c>
      <c r="UX17" s="464">
        <v>967543</v>
      </c>
      <c r="UY17" s="464">
        <v>0</v>
      </c>
      <c r="UZ17" s="464">
        <v>-6165859</v>
      </c>
      <c r="VA17" s="464">
        <v>0</v>
      </c>
      <c r="VB17" s="464">
        <v>0</v>
      </c>
      <c r="VC17" s="464" t="s">
        <v>1606</v>
      </c>
      <c r="VD17" s="464" t="s">
        <v>1607</v>
      </c>
      <c r="VE17" s="464" t="s">
        <v>1608</v>
      </c>
    </row>
    <row r="18" spans="1:577" s="331" customFormat="1" ht="30.6" thickBot="1">
      <c r="A18" s="325">
        <v>520</v>
      </c>
      <c r="B18" s="326" t="s">
        <v>31</v>
      </c>
      <c r="C18" s="332" t="s">
        <v>964</v>
      </c>
      <c r="D18" s="329" t="s">
        <v>428</v>
      </c>
      <c r="E18" s="396">
        <v>203652</v>
      </c>
      <c r="F18" s="464">
        <v>68657070</v>
      </c>
      <c r="G18" s="329" t="s">
        <v>1572</v>
      </c>
      <c r="H18" s="331" t="s">
        <v>31</v>
      </c>
      <c r="M18" s="465">
        <v>14889291</v>
      </c>
      <c r="N18" s="465">
        <v>0</v>
      </c>
      <c r="O18" s="465">
        <v>0</v>
      </c>
      <c r="P18" s="465">
        <v>0</v>
      </c>
      <c r="Q18" s="465">
        <v>0</v>
      </c>
      <c r="R18" s="465">
        <v>0</v>
      </c>
      <c r="S18" s="465">
        <v>0</v>
      </c>
      <c r="T18" s="465">
        <v>0</v>
      </c>
      <c r="U18" s="465">
        <v>0</v>
      </c>
      <c r="V18" s="465">
        <v>0</v>
      </c>
      <c r="W18" s="465">
        <v>0</v>
      </c>
      <c r="X18" s="465">
        <v>0</v>
      </c>
      <c r="Y18" s="465">
        <v>50972</v>
      </c>
      <c r="Z18" s="465">
        <v>0</v>
      </c>
      <c r="AA18" s="465">
        <v>0</v>
      </c>
      <c r="AB18" s="465">
        <v>0</v>
      </c>
      <c r="AC18" s="465">
        <v>0</v>
      </c>
      <c r="AD18" s="465">
        <v>0</v>
      </c>
      <c r="AE18" s="465">
        <v>0</v>
      </c>
      <c r="AF18" s="465">
        <v>0</v>
      </c>
      <c r="AG18" s="465">
        <v>0</v>
      </c>
      <c r="AH18" s="465">
        <v>0</v>
      </c>
      <c r="AI18" s="465">
        <v>0</v>
      </c>
      <c r="AJ18" s="465">
        <v>0</v>
      </c>
      <c r="AK18" s="465">
        <v>0</v>
      </c>
      <c r="AL18" s="465">
        <v>0</v>
      </c>
      <c r="AM18" s="465">
        <v>0</v>
      </c>
      <c r="AN18" s="465">
        <v>0</v>
      </c>
      <c r="AO18" s="465">
        <v>0</v>
      </c>
      <c r="AP18" s="465">
        <v>0</v>
      </c>
      <c r="AQ18" s="465">
        <v>0</v>
      </c>
      <c r="AR18" s="465">
        <v>0</v>
      </c>
      <c r="AS18" s="465">
        <v>0</v>
      </c>
      <c r="AT18" s="465">
        <v>0</v>
      </c>
      <c r="AU18" s="465">
        <v>0</v>
      </c>
      <c r="AV18" s="465">
        <v>0</v>
      </c>
      <c r="AW18" s="465">
        <v>0</v>
      </c>
      <c r="AX18" s="465">
        <v>0</v>
      </c>
      <c r="AY18" s="465">
        <v>0</v>
      </c>
      <c r="AZ18" s="465">
        <v>0</v>
      </c>
      <c r="BA18" s="465">
        <v>0</v>
      </c>
      <c r="BB18" s="465">
        <v>0</v>
      </c>
      <c r="BC18" s="465">
        <v>0</v>
      </c>
      <c r="BD18" s="465">
        <v>0</v>
      </c>
      <c r="BE18" s="465">
        <v>0</v>
      </c>
      <c r="BF18" s="465">
        <v>0</v>
      </c>
      <c r="BG18" s="465">
        <v>0</v>
      </c>
      <c r="BH18" s="465">
        <v>0</v>
      </c>
      <c r="BI18" s="465">
        <v>0</v>
      </c>
      <c r="BJ18" s="465">
        <v>0</v>
      </c>
      <c r="BK18" s="465">
        <v>0</v>
      </c>
      <c r="BL18" s="465">
        <v>0</v>
      </c>
      <c r="BM18" s="465">
        <v>0</v>
      </c>
      <c r="BN18" s="465">
        <v>0</v>
      </c>
      <c r="BO18" s="465">
        <v>0</v>
      </c>
      <c r="BP18" s="465">
        <v>0</v>
      </c>
      <c r="BQ18" s="465">
        <v>0</v>
      </c>
      <c r="BR18" s="465">
        <v>0</v>
      </c>
      <c r="BS18" s="465">
        <v>0</v>
      </c>
      <c r="BT18" s="465">
        <v>0</v>
      </c>
      <c r="BU18" s="465">
        <v>0</v>
      </c>
      <c r="BV18" s="465">
        <v>0</v>
      </c>
      <c r="BW18" s="465">
        <v>0</v>
      </c>
      <c r="BX18" s="465">
        <v>0</v>
      </c>
      <c r="BY18" s="465">
        <v>0</v>
      </c>
      <c r="BZ18" s="465">
        <v>0</v>
      </c>
      <c r="CA18" s="465">
        <v>0</v>
      </c>
      <c r="CB18" s="465">
        <v>0</v>
      </c>
      <c r="CC18" s="465">
        <v>0</v>
      </c>
      <c r="CD18" s="465">
        <v>0</v>
      </c>
      <c r="CE18" s="465">
        <v>0</v>
      </c>
      <c r="CF18" s="465">
        <v>0</v>
      </c>
      <c r="CG18" s="465">
        <v>0</v>
      </c>
      <c r="CH18" s="465">
        <v>0</v>
      </c>
      <c r="CI18" s="465">
        <v>0</v>
      </c>
      <c r="CJ18" s="465">
        <v>0</v>
      </c>
      <c r="CK18" s="465">
        <v>0</v>
      </c>
      <c r="CL18" s="465">
        <v>0</v>
      </c>
      <c r="CM18" s="465">
        <v>0</v>
      </c>
      <c r="CN18" s="465">
        <v>0</v>
      </c>
      <c r="CO18" s="465">
        <v>0</v>
      </c>
      <c r="CP18" s="465">
        <v>778926</v>
      </c>
      <c r="CQ18" s="465">
        <v>380551</v>
      </c>
      <c r="CR18" s="465">
        <v>0</v>
      </c>
      <c r="CS18" s="465">
        <v>0</v>
      </c>
      <c r="CT18" s="465">
        <v>0</v>
      </c>
      <c r="CU18" s="465">
        <v>0</v>
      </c>
      <c r="CV18" s="465">
        <v>0</v>
      </c>
      <c r="CW18" s="465">
        <v>0</v>
      </c>
      <c r="CX18" s="465">
        <v>0</v>
      </c>
      <c r="CY18" s="465">
        <v>0</v>
      </c>
      <c r="CZ18" s="465">
        <v>0</v>
      </c>
      <c r="DA18" s="465">
        <v>0</v>
      </c>
      <c r="DB18" s="465">
        <v>0</v>
      </c>
      <c r="DC18" s="465">
        <v>0</v>
      </c>
      <c r="DD18" s="465">
        <v>0</v>
      </c>
      <c r="DE18" s="465">
        <v>0</v>
      </c>
      <c r="DF18" s="465">
        <v>0</v>
      </c>
      <c r="DG18" s="465">
        <v>0</v>
      </c>
      <c r="DH18" s="465">
        <v>0</v>
      </c>
      <c r="DI18" s="465">
        <v>0</v>
      </c>
      <c r="DJ18" s="465">
        <v>0</v>
      </c>
      <c r="DK18" s="465">
        <v>0</v>
      </c>
      <c r="DL18" s="465">
        <v>0</v>
      </c>
      <c r="DM18" s="465">
        <v>0</v>
      </c>
      <c r="DN18" s="465">
        <v>0</v>
      </c>
      <c r="DO18" s="465">
        <v>0</v>
      </c>
      <c r="DP18" s="465">
        <v>0</v>
      </c>
      <c r="DQ18" s="465">
        <v>0</v>
      </c>
      <c r="DR18" s="465">
        <v>0</v>
      </c>
      <c r="DS18" s="465">
        <v>0</v>
      </c>
      <c r="DT18" s="465">
        <v>0</v>
      </c>
      <c r="DU18" s="465">
        <v>0</v>
      </c>
      <c r="DV18" s="465">
        <v>0</v>
      </c>
      <c r="DW18" s="465">
        <v>0</v>
      </c>
      <c r="DX18" s="465">
        <v>0</v>
      </c>
      <c r="DY18" s="465">
        <v>0</v>
      </c>
      <c r="DZ18" s="465">
        <v>0</v>
      </c>
      <c r="EA18" s="465">
        <v>0</v>
      </c>
      <c r="EB18" s="465">
        <v>0</v>
      </c>
      <c r="EC18" s="465">
        <v>0</v>
      </c>
      <c r="ED18" s="465">
        <v>0</v>
      </c>
      <c r="EE18" s="465">
        <v>0</v>
      </c>
      <c r="EF18" s="465">
        <v>0</v>
      </c>
      <c r="EG18" s="465">
        <v>0</v>
      </c>
      <c r="EH18" s="465">
        <v>0</v>
      </c>
      <c r="EI18" s="465">
        <v>-252455</v>
      </c>
      <c r="EJ18" s="465">
        <v>-123339</v>
      </c>
      <c r="EK18" s="465">
        <v>0</v>
      </c>
      <c r="EL18" s="465">
        <v>0</v>
      </c>
      <c r="EM18" s="465">
        <v>0</v>
      </c>
      <c r="EN18" s="465">
        <v>0</v>
      </c>
      <c r="EO18" s="465">
        <v>0</v>
      </c>
      <c r="EP18" s="465">
        <v>0</v>
      </c>
      <c r="EQ18" s="465">
        <v>0</v>
      </c>
      <c r="ER18" s="465">
        <v>0</v>
      </c>
      <c r="ES18" s="465">
        <v>0</v>
      </c>
      <c r="ET18" s="465">
        <v>0</v>
      </c>
      <c r="EU18" s="465">
        <v>0</v>
      </c>
      <c r="EV18" s="465">
        <v>0</v>
      </c>
      <c r="EW18" s="465">
        <v>0</v>
      </c>
      <c r="EX18" s="465">
        <v>0</v>
      </c>
      <c r="EY18" s="465">
        <v>0</v>
      </c>
      <c r="EZ18" s="465">
        <v>0</v>
      </c>
      <c r="FA18" s="465">
        <v>0</v>
      </c>
      <c r="FB18" s="465">
        <v>0</v>
      </c>
      <c r="FC18" s="465">
        <v>0</v>
      </c>
      <c r="FD18" s="465">
        <v>0</v>
      </c>
      <c r="FE18" s="465">
        <v>0</v>
      </c>
      <c r="FF18" s="465">
        <v>0</v>
      </c>
      <c r="FG18" s="465">
        <v>0</v>
      </c>
      <c r="FH18" s="465">
        <v>0</v>
      </c>
      <c r="FI18" s="465">
        <v>0</v>
      </c>
      <c r="FJ18" s="465">
        <v>0</v>
      </c>
      <c r="FK18" s="465">
        <v>0</v>
      </c>
      <c r="FL18" s="465">
        <v>0</v>
      </c>
      <c r="FM18" s="465">
        <v>0</v>
      </c>
      <c r="FN18" s="465">
        <v>0</v>
      </c>
      <c r="FO18" s="465">
        <v>0</v>
      </c>
      <c r="FP18" s="465">
        <v>0</v>
      </c>
      <c r="FQ18" s="465">
        <v>0</v>
      </c>
      <c r="FR18" s="465">
        <v>0</v>
      </c>
      <c r="FS18" s="465">
        <v>0</v>
      </c>
      <c r="FT18" s="465">
        <v>0</v>
      </c>
      <c r="FU18" s="465">
        <v>0</v>
      </c>
      <c r="FV18" s="465">
        <v>0</v>
      </c>
      <c r="FW18" s="465">
        <v>0</v>
      </c>
      <c r="FX18" s="465">
        <v>0</v>
      </c>
      <c r="FY18" s="465">
        <v>0</v>
      </c>
      <c r="FZ18" s="465">
        <v>0</v>
      </c>
      <c r="GA18" s="465">
        <v>0</v>
      </c>
      <c r="GB18" s="465">
        <v>0</v>
      </c>
      <c r="GC18" s="465">
        <v>381796</v>
      </c>
      <c r="GD18" s="465">
        <v>75366</v>
      </c>
      <c r="GE18" s="465">
        <v>0</v>
      </c>
      <c r="GF18" s="465">
        <v>0</v>
      </c>
      <c r="GG18" s="465">
        <v>0</v>
      </c>
      <c r="GH18" s="465">
        <v>0</v>
      </c>
      <c r="GI18" s="465">
        <v>0</v>
      </c>
      <c r="GJ18" s="465">
        <v>0</v>
      </c>
      <c r="GK18" s="465">
        <v>0</v>
      </c>
      <c r="GL18" s="465">
        <v>0</v>
      </c>
      <c r="GM18" s="465">
        <v>0</v>
      </c>
      <c r="GN18" s="465">
        <v>0</v>
      </c>
      <c r="GO18" s="465">
        <v>0</v>
      </c>
      <c r="GP18" s="465">
        <v>0</v>
      </c>
      <c r="GQ18" s="465">
        <v>0</v>
      </c>
      <c r="GR18" s="465">
        <v>0</v>
      </c>
      <c r="GS18" s="465">
        <v>0</v>
      </c>
      <c r="GT18" s="465">
        <v>0</v>
      </c>
      <c r="GU18" s="465">
        <v>0</v>
      </c>
      <c r="GV18" s="465">
        <v>0</v>
      </c>
      <c r="GW18" s="465">
        <v>0</v>
      </c>
      <c r="GX18" s="465">
        <v>0</v>
      </c>
      <c r="GY18" s="465">
        <v>0</v>
      </c>
      <c r="GZ18" s="465">
        <v>0</v>
      </c>
      <c r="HA18" s="465">
        <v>0</v>
      </c>
      <c r="HB18" s="465">
        <v>0</v>
      </c>
      <c r="HC18" s="465">
        <v>0</v>
      </c>
      <c r="HD18" s="465">
        <v>0</v>
      </c>
      <c r="HE18" s="465">
        <v>0</v>
      </c>
      <c r="HF18" s="465">
        <v>0</v>
      </c>
      <c r="HG18" s="465">
        <v>0</v>
      </c>
      <c r="HH18" s="465">
        <v>0</v>
      </c>
      <c r="HI18" s="465">
        <v>0</v>
      </c>
      <c r="HJ18" s="465">
        <v>0</v>
      </c>
      <c r="HK18" s="465">
        <v>0</v>
      </c>
      <c r="HL18" s="465">
        <v>0</v>
      </c>
      <c r="HM18" s="465">
        <v>0</v>
      </c>
      <c r="HN18" s="465">
        <v>0</v>
      </c>
      <c r="HO18" s="465">
        <v>0</v>
      </c>
      <c r="HP18" s="465">
        <v>0</v>
      </c>
      <c r="HQ18" s="465">
        <v>0</v>
      </c>
      <c r="HR18" s="465">
        <v>0</v>
      </c>
      <c r="HS18" s="465">
        <v>0</v>
      </c>
      <c r="HT18" s="465">
        <v>0</v>
      </c>
      <c r="HU18" s="465">
        <v>0</v>
      </c>
      <c r="HV18" s="465">
        <v>-123744</v>
      </c>
      <c r="HW18" s="465">
        <v>-24426</v>
      </c>
      <c r="HX18" s="465">
        <v>0</v>
      </c>
      <c r="HY18" s="465">
        <v>0</v>
      </c>
      <c r="HZ18" s="465">
        <v>0</v>
      </c>
      <c r="IA18" s="465">
        <v>0</v>
      </c>
      <c r="IB18" s="465">
        <v>0</v>
      </c>
      <c r="IC18" s="465">
        <v>0</v>
      </c>
      <c r="ID18" s="465">
        <v>0</v>
      </c>
      <c r="IE18" s="465">
        <v>0</v>
      </c>
      <c r="IF18" s="465">
        <v>0</v>
      </c>
      <c r="IG18" s="465">
        <v>531356</v>
      </c>
      <c r="IH18" s="465">
        <v>0</v>
      </c>
      <c r="II18" s="465">
        <v>0</v>
      </c>
      <c r="IJ18" s="465">
        <v>0</v>
      </c>
      <c r="IK18" s="465">
        <v>0</v>
      </c>
      <c r="IL18" s="465">
        <v>0</v>
      </c>
      <c r="IM18" s="465">
        <v>0</v>
      </c>
      <c r="IN18" s="465">
        <v>0</v>
      </c>
      <c r="IO18" s="465">
        <v>0</v>
      </c>
      <c r="IP18" s="465">
        <v>0</v>
      </c>
      <c r="IQ18" s="465">
        <v>0</v>
      </c>
      <c r="IR18" s="465">
        <v>0</v>
      </c>
      <c r="IS18" s="465">
        <v>0</v>
      </c>
      <c r="IT18" s="465">
        <v>0</v>
      </c>
      <c r="IU18" s="465">
        <v>0</v>
      </c>
      <c r="IV18" s="465">
        <v>0</v>
      </c>
      <c r="IW18" s="465">
        <v>0</v>
      </c>
      <c r="IX18" s="465">
        <v>0</v>
      </c>
      <c r="IY18" s="465">
        <v>0</v>
      </c>
      <c r="IZ18" s="465">
        <v>0</v>
      </c>
      <c r="JA18" s="465">
        <v>0</v>
      </c>
      <c r="JB18" s="465">
        <v>0</v>
      </c>
      <c r="JC18" s="465">
        <v>0</v>
      </c>
      <c r="JD18" s="465">
        <v>0</v>
      </c>
      <c r="JE18" s="465">
        <v>0</v>
      </c>
      <c r="JF18" s="465">
        <v>0</v>
      </c>
      <c r="JG18" s="465">
        <v>0</v>
      </c>
      <c r="JH18" s="465">
        <v>0</v>
      </c>
      <c r="JI18" s="465">
        <v>0</v>
      </c>
      <c r="JJ18" s="465">
        <v>0</v>
      </c>
      <c r="JK18" s="465">
        <v>0</v>
      </c>
      <c r="JL18" s="465">
        <v>0</v>
      </c>
      <c r="JM18" s="465">
        <v>0</v>
      </c>
      <c r="JN18" s="465">
        <v>0</v>
      </c>
      <c r="JO18" s="465">
        <v>0</v>
      </c>
      <c r="JP18" s="465">
        <v>0</v>
      </c>
      <c r="JQ18" s="465">
        <v>236857</v>
      </c>
      <c r="JR18" s="465">
        <v>0</v>
      </c>
      <c r="JS18" s="465">
        <v>0</v>
      </c>
      <c r="JT18" s="465">
        <v>0</v>
      </c>
      <c r="JU18" s="465">
        <v>0</v>
      </c>
      <c r="JV18" s="465">
        <v>0</v>
      </c>
      <c r="JW18" s="465">
        <v>0</v>
      </c>
      <c r="JX18" s="465">
        <v>695</v>
      </c>
      <c r="JY18" s="465">
        <v>0</v>
      </c>
      <c r="JZ18" s="465">
        <v>3204018</v>
      </c>
      <c r="KA18" s="465">
        <v>0</v>
      </c>
      <c r="KB18" s="465">
        <v>0</v>
      </c>
      <c r="KC18" s="465">
        <v>0</v>
      </c>
      <c r="KD18" s="465">
        <v>0</v>
      </c>
      <c r="KE18" s="465">
        <v>0</v>
      </c>
      <c r="KF18" s="465">
        <v>1102623</v>
      </c>
      <c r="KG18" s="465">
        <v>0</v>
      </c>
      <c r="KH18" s="465">
        <v>0</v>
      </c>
      <c r="KI18" s="465">
        <v>0</v>
      </c>
      <c r="KJ18" s="465">
        <v>0</v>
      </c>
      <c r="KK18" s="465">
        <v>0</v>
      </c>
      <c r="KL18" s="465">
        <v>0</v>
      </c>
      <c r="KM18" s="465">
        <v>0</v>
      </c>
      <c r="KN18" s="465">
        <v>0</v>
      </c>
      <c r="KO18" s="465">
        <v>0</v>
      </c>
      <c r="KP18" s="465">
        <v>0</v>
      </c>
      <c r="KQ18" s="465">
        <v>0</v>
      </c>
      <c r="KR18" s="465">
        <v>0</v>
      </c>
      <c r="KS18" s="465">
        <v>0</v>
      </c>
      <c r="KT18" s="465">
        <v>0</v>
      </c>
      <c r="KU18" s="465">
        <v>0</v>
      </c>
      <c r="KV18" s="465">
        <v>0</v>
      </c>
      <c r="KW18" s="465">
        <v>0</v>
      </c>
      <c r="KX18" s="465">
        <v>0</v>
      </c>
      <c r="KY18" s="465">
        <v>1021879</v>
      </c>
      <c r="KZ18" s="465">
        <v>0</v>
      </c>
      <c r="LA18" s="465">
        <v>43304</v>
      </c>
      <c r="LB18" s="465">
        <v>0</v>
      </c>
      <c r="LC18" s="465">
        <v>0</v>
      </c>
      <c r="LD18" s="465">
        <v>0</v>
      </c>
      <c r="LE18" s="465">
        <v>0</v>
      </c>
      <c r="LF18" s="465">
        <v>0</v>
      </c>
      <c r="LG18" s="465">
        <v>7725940</v>
      </c>
      <c r="LH18" s="465">
        <v>737421</v>
      </c>
      <c r="LI18" s="465">
        <v>0</v>
      </c>
      <c r="LJ18" s="465">
        <v>118380</v>
      </c>
      <c r="LK18" s="465">
        <v>0</v>
      </c>
      <c r="LL18" s="465">
        <v>0</v>
      </c>
      <c r="LM18" s="465">
        <v>0</v>
      </c>
      <c r="LN18" s="465">
        <v>0</v>
      </c>
      <c r="LO18" s="465">
        <v>0</v>
      </c>
      <c r="LP18" s="465">
        <v>4618</v>
      </c>
      <c r="LQ18" s="465">
        <v>250</v>
      </c>
      <c r="LR18" s="465">
        <v>0</v>
      </c>
      <c r="LS18" s="465">
        <v>790334</v>
      </c>
      <c r="LT18" s="465">
        <v>0</v>
      </c>
      <c r="LU18" s="465">
        <v>0</v>
      </c>
      <c r="LV18" s="465">
        <v>0</v>
      </c>
      <c r="LW18" s="465">
        <v>0</v>
      </c>
      <c r="LX18" s="465">
        <v>0</v>
      </c>
      <c r="LY18" s="465">
        <v>0</v>
      </c>
      <c r="LZ18" s="465">
        <v>2036680</v>
      </c>
      <c r="MA18" s="465">
        <v>0</v>
      </c>
      <c r="MB18" s="465">
        <v>0</v>
      </c>
      <c r="MC18" s="465">
        <v>0</v>
      </c>
      <c r="MD18" s="465">
        <v>0</v>
      </c>
      <c r="ME18" s="465">
        <v>0</v>
      </c>
      <c r="MF18" s="465">
        <v>0</v>
      </c>
      <c r="MG18" s="465">
        <v>0</v>
      </c>
      <c r="MH18" s="465">
        <v>0</v>
      </c>
      <c r="MI18" s="465">
        <v>0</v>
      </c>
      <c r="MJ18" s="465">
        <v>0</v>
      </c>
      <c r="MK18" s="465">
        <v>0</v>
      </c>
      <c r="ML18" s="465">
        <v>0</v>
      </c>
      <c r="MM18" s="465">
        <v>0</v>
      </c>
      <c r="MN18" s="465">
        <v>0</v>
      </c>
      <c r="MO18" s="465">
        <v>0</v>
      </c>
      <c r="MP18" s="465">
        <v>0</v>
      </c>
      <c r="MQ18" s="465">
        <v>6385656</v>
      </c>
      <c r="MR18" s="465">
        <v>1626440</v>
      </c>
      <c r="MS18" s="465">
        <v>0</v>
      </c>
      <c r="MT18" s="465">
        <v>1157890</v>
      </c>
      <c r="MU18" s="465">
        <v>0</v>
      </c>
      <c r="MV18" s="465">
        <v>0</v>
      </c>
      <c r="MW18" s="465">
        <v>0</v>
      </c>
      <c r="MX18" s="465">
        <v>0</v>
      </c>
      <c r="MY18" s="465">
        <v>0</v>
      </c>
      <c r="MZ18" s="465">
        <v>0</v>
      </c>
      <c r="NA18" s="465">
        <v>0</v>
      </c>
      <c r="NB18" s="465">
        <v>0</v>
      </c>
      <c r="NC18" s="465">
        <v>0</v>
      </c>
      <c r="ND18" s="465">
        <v>0</v>
      </c>
      <c r="NE18" s="465">
        <v>0</v>
      </c>
      <c r="NF18" s="465">
        <v>0</v>
      </c>
      <c r="NG18" s="465">
        <v>0</v>
      </c>
      <c r="NH18" s="465">
        <v>0</v>
      </c>
      <c r="NI18" s="465">
        <v>339945</v>
      </c>
      <c r="NJ18" s="465">
        <v>13378</v>
      </c>
      <c r="NK18" s="465">
        <v>0</v>
      </c>
      <c r="NL18" s="465">
        <v>0</v>
      </c>
      <c r="NM18" s="465">
        <v>0</v>
      </c>
      <c r="NN18" s="465">
        <v>0</v>
      </c>
      <c r="NO18" s="465">
        <v>0</v>
      </c>
      <c r="NP18" s="465">
        <v>0</v>
      </c>
      <c r="NQ18" s="465">
        <v>0</v>
      </c>
      <c r="NR18" s="465">
        <v>230281</v>
      </c>
      <c r="NS18" s="465">
        <v>0</v>
      </c>
      <c r="NT18" s="465">
        <v>0</v>
      </c>
      <c r="NU18" s="465">
        <v>0</v>
      </c>
      <c r="NV18" s="465">
        <v>0</v>
      </c>
      <c r="NW18" s="465">
        <v>0</v>
      </c>
      <c r="NX18" s="465">
        <v>0</v>
      </c>
      <c r="NY18" s="465">
        <v>0</v>
      </c>
      <c r="NZ18" s="465">
        <v>0</v>
      </c>
      <c r="OA18" s="465">
        <v>0</v>
      </c>
      <c r="OB18" s="465">
        <v>0</v>
      </c>
      <c r="OC18" s="465">
        <v>0</v>
      </c>
      <c r="OD18" s="465">
        <v>933229</v>
      </c>
      <c r="OE18" s="465">
        <v>0</v>
      </c>
      <c r="OF18" s="465">
        <v>0</v>
      </c>
      <c r="OG18" s="465">
        <v>0</v>
      </c>
      <c r="OH18" s="465">
        <v>0</v>
      </c>
      <c r="OI18" s="465">
        <v>0</v>
      </c>
      <c r="OJ18" s="465">
        <v>0</v>
      </c>
      <c r="OK18" s="465">
        <v>0</v>
      </c>
      <c r="OL18" s="465">
        <v>0</v>
      </c>
      <c r="OM18" s="465">
        <v>0</v>
      </c>
      <c r="ON18" s="465">
        <v>0</v>
      </c>
      <c r="OO18" s="465">
        <v>0</v>
      </c>
      <c r="OP18" s="465">
        <v>0</v>
      </c>
      <c r="OQ18" s="465">
        <v>0</v>
      </c>
      <c r="OR18" s="465">
        <v>0</v>
      </c>
      <c r="OS18" s="465">
        <v>0</v>
      </c>
      <c r="OT18" s="465">
        <v>0</v>
      </c>
      <c r="OU18" s="465">
        <v>0</v>
      </c>
      <c r="OV18" s="465">
        <v>0</v>
      </c>
      <c r="OW18" s="465">
        <v>0</v>
      </c>
      <c r="OX18" s="465">
        <v>0</v>
      </c>
      <c r="OY18" s="465">
        <v>0</v>
      </c>
      <c r="OZ18" s="465">
        <v>0</v>
      </c>
      <c r="PA18" s="465">
        <v>0</v>
      </c>
      <c r="PB18" s="465">
        <v>0</v>
      </c>
      <c r="PC18" s="465">
        <v>0</v>
      </c>
      <c r="PD18" s="465">
        <v>0</v>
      </c>
      <c r="PE18" s="465">
        <v>0</v>
      </c>
      <c r="PF18" s="465">
        <v>0</v>
      </c>
      <c r="PG18" s="465">
        <v>0</v>
      </c>
      <c r="PH18" s="465">
        <v>0</v>
      </c>
      <c r="PI18" s="465">
        <v>0</v>
      </c>
      <c r="PJ18" s="465">
        <v>0</v>
      </c>
      <c r="PK18" s="465">
        <v>0</v>
      </c>
      <c r="PL18" s="465">
        <v>0</v>
      </c>
      <c r="PM18" s="465">
        <v>0</v>
      </c>
      <c r="PN18" s="465">
        <v>0</v>
      </c>
      <c r="PO18" s="465">
        <v>0</v>
      </c>
      <c r="PP18" s="465">
        <v>0</v>
      </c>
      <c r="PQ18" s="465">
        <v>0</v>
      </c>
      <c r="PR18" s="465">
        <v>0</v>
      </c>
      <c r="PS18" s="465">
        <v>0</v>
      </c>
      <c r="PT18" s="465">
        <v>-720498</v>
      </c>
      <c r="PU18" s="465">
        <v>991710</v>
      </c>
      <c r="PV18" s="465">
        <v>0</v>
      </c>
      <c r="PW18" s="465">
        <v>8699</v>
      </c>
      <c r="PX18" s="465">
        <v>0</v>
      </c>
      <c r="PY18" s="465">
        <v>0</v>
      </c>
      <c r="PZ18" s="465">
        <v>0</v>
      </c>
      <c r="QA18" s="465">
        <v>0</v>
      </c>
      <c r="QB18" s="465">
        <v>0</v>
      </c>
      <c r="QC18" s="465">
        <v>0</v>
      </c>
      <c r="QD18" s="465">
        <v>0</v>
      </c>
      <c r="QE18" s="465">
        <v>0</v>
      </c>
      <c r="QF18" s="465">
        <v>0</v>
      </c>
      <c r="QG18" s="465">
        <v>0</v>
      </c>
      <c r="QH18" s="465">
        <v>0</v>
      </c>
      <c r="QI18" s="465">
        <v>0</v>
      </c>
      <c r="QJ18" s="465">
        <v>0</v>
      </c>
      <c r="QK18" s="465">
        <v>0</v>
      </c>
      <c r="QL18" s="465">
        <v>0</v>
      </c>
      <c r="QM18" s="465">
        <v>0</v>
      </c>
      <c r="QN18" s="465">
        <v>0</v>
      </c>
      <c r="QO18" s="465">
        <v>0</v>
      </c>
      <c r="QP18" s="465">
        <v>0</v>
      </c>
      <c r="QQ18" s="465">
        <v>0</v>
      </c>
      <c r="QR18" s="465">
        <v>0</v>
      </c>
      <c r="QS18" s="465">
        <v>0</v>
      </c>
      <c r="QT18" s="465">
        <v>0</v>
      </c>
      <c r="QU18" s="465">
        <v>0</v>
      </c>
      <c r="QV18" s="465">
        <v>0</v>
      </c>
      <c r="QW18" s="465">
        <v>0</v>
      </c>
      <c r="QX18" s="465">
        <v>0</v>
      </c>
      <c r="QY18" s="465">
        <v>0</v>
      </c>
      <c r="QZ18" s="465">
        <v>0</v>
      </c>
      <c r="RA18" s="465">
        <v>0</v>
      </c>
      <c r="RB18" s="465">
        <v>0</v>
      </c>
      <c r="RC18" s="465">
        <v>0</v>
      </c>
      <c r="RD18" s="465">
        <v>0</v>
      </c>
      <c r="RE18" s="465">
        <v>0</v>
      </c>
      <c r="RF18" s="465">
        <v>0</v>
      </c>
      <c r="RG18" s="465">
        <v>0</v>
      </c>
      <c r="RH18" s="465">
        <v>0</v>
      </c>
      <c r="RI18" s="465">
        <v>0</v>
      </c>
      <c r="RJ18" s="465">
        <v>0</v>
      </c>
      <c r="RK18" s="465">
        <v>0</v>
      </c>
      <c r="RL18" s="465">
        <v>0</v>
      </c>
      <c r="RM18" s="465">
        <v>0</v>
      </c>
      <c r="RN18" s="465">
        <v>0</v>
      </c>
      <c r="RO18" s="465">
        <v>0</v>
      </c>
      <c r="RP18" s="465">
        <v>0</v>
      </c>
      <c r="RQ18" s="465">
        <v>0</v>
      </c>
      <c r="RR18" s="465">
        <v>0</v>
      </c>
      <c r="RS18" s="465">
        <v>0</v>
      </c>
      <c r="RT18" s="465">
        <v>0</v>
      </c>
      <c r="RU18" s="465">
        <v>0</v>
      </c>
      <c r="RV18" s="465">
        <v>0</v>
      </c>
      <c r="RW18" s="465">
        <v>0</v>
      </c>
      <c r="RX18" s="465">
        <v>0</v>
      </c>
      <c r="RY18" s="465">
        <v>0</v>
      </c>
      <c r="RZ18" s="465">
        <v>0</v>
      </c>
      <c r="SA18" s="465">
        <v>0</v>
      </c>
      <c r="SB18" s="465">
        <v>0</v>
      </c>
      <c r="SC18" s="465">
        <v>0</v>
      </c>
      <c r="SD18" s="465">
        <v>0</v>
      </c>
      <c r="SE18" s="465">
        <v>0</v>
      </c>
      <c r="SF18" s="465">
        <v>0</v>
      </c>
      <c r="SG18" s="465">
        <v>0</v>
      </c>
      <c r="SH18" s="465">
        <v>0</v>
      </c>
      <c r="SI18" s="465">
        <v>0</v>
      </c>
      <c r="SJ18" s="465">
        <v>0</v>
      </c>
      <c r="SK18" s="465">
        <v>0</v>
      </c>
      <c r="SL18" s="465">
        <v>0</v>
      </c>
      <c r="SM18" s="465">
        <v>0</v>
      </c>
      <c r="SN18" s="465">
        <v>0</v>
      </c>
      <c r="SO18" s="465">
        <v>0</v>
      </c>
      <c r="SP18" s="465">
        <v>0</v>
      </c>
      <c r="SQ18" s="465">
        <v>0</v>
      </c>
      <c r="SR18" s="465">
        <v>0</v>
      </c>
      <c r="SS18" s="465">
        <v>0</v>
      </c>
      <c r="ST18" s="465">
        <v>0</v>
      </c>
      <c r="SU18" s="465">
        <v>0</v>
      </c>
      <c r="SV18" s="465">
        <v>0</v>
      </c>
      <c r="SW18" s="465">
        <v>0</v>
      </c>
      <c r="SX18" s="465">
        <v>0</v>
      </c>
      <c r="SY18" s="465">
        <v>0</v>
      </c>
      <c r="SZ18" s="465">
        <v>0</v>
      </c>
      <c r="TA18" s="465">
        <v>0</v>
      </c>
      <c r="TB18" s="465">
        <v>0</v>
      </c>
      <c r="TC18" s="465">
        <v>0</v>
      </c>
      <c r="TD18" s="465">
        <v>0</v>
      </c>
      <c r="TE18" s="465">
        <v>0</v>
      </c>
      <c r="TF18" s="465">
        <v>353139</v>
      </c>
      <c r="TG18" s="465">
        <v>0</v>
      </c>
      <c r="TH18" s="465">
        <v>0</v>
      </c>
      <c r="TI18" s="465">
        <v>1616639</v>
      </c>
      <c r="TJ18" s="465">
        <v>-523964</v>
      </c>
      <c r="TK18" s="465">
        <v>0</v>
      </c>
      <c r="TL18" s="465">
        <v>0</v>
      </c>
      <c r="TM18" s="465">
        <v>0</v>
      </c>
      <c r="TN18" s="465">
        <v>0</v>
      </c>
      <c r="TO18" s="465">
        <v>0</v>
      </c>
      <c r="TP18" s="465">
        <v>0</v>
      </c>
      <c r="TQ18" s="465">
        <v>0</v>
      </c>
      <c r="TR18" s="465">
        <v>0</v>
      </c>
      <c r="TS18" s="465">
        <v>0</v>
      </c>
      <c r="TT18" s="465">
        <v>0</v>
      </c>
      <c r="TU18" s="465">
        <v>0</v>
      </c>
      <c r="TV18" s="465">
        <v>0</v>
      </c>
      <c r="TW18" s="465">
        <v>0</v>
      </c>
      <c r="TX18" s="465">
        <v>0</v>
      </c>
      <c r="TY18" s="465">
        <v>0</v>
      </c>
      <c r="TZ18" s="465">
        <v>0</v>
      </c>
      <c r="UA18" s="465">
        <v>0</v>
      </c>
      <c r="UB18" s="465">
        <v>0</v>
      </c>
      <c r="UC18" s="465">
        <v>0</v>
      </c>
      <c r="UD18" s="465">
        <v>0</v>
      </c>
      <c r="UE18" s="465">
        <v>0</v>
      </c>
      <c r="UF18" s="465">
        <v>0</v>
      </c>
      <c r="UG18" s="465">
        <v>0</v>
      </c>
      <c r="UH18" s="465">
        <v>0</v>
      </c>
      <c r="UI18" s="465">
        <v>0</v>
      </c>
      <c r="UJ18" s="465">
        <v>0</v>
      </c>
      <c r="UK18" s="465">
        <v>0</v>
      </c>
      <c r="UL18" s="465">
        <v>0</v>
      </c>
      <c r="UM18" s="465">
        <v>0</v>
      </c>
      <c r="UN18" s="465">
        <v>0</v>
      </c>
      <c r="UO18" s="465">
        <v>8581741</v>
      </c>
      <c r="UP18" s="465">
        <v>795202</v>
      </c>
      <c r="UQ18" s="465">
        <v>2036680</v>
      </c>
      <c r="UR18" s="465">
        <v>0</v>
      </c>
      <c r="US18" s="465">
        <v>9169986</v>
      </c>
      <c r="UT18" s="465">
        <v>0</v>
      </c>
      <c r="UU18" s="465">
        <v>353323</v>
      </c>
      <c r="UV18" s="465">
        <v>230281</v>
      </c>
      <c r="UW18" s="465">
        <v>933229</v>
      </c>
      <c r="UX18" s="465">
        <v>0</v>
      </c>
      <c r="UY18" s="465">
        <v>353139</v>
      </c>
      <c r="UZ18" s="465">
        <v>0</v>
      </c>
      <c r="VA18" s="465">
        <v>0</v>
      </c>
      <c r="VB18" s="465">
        <v>0</v>
      </c>
      <c r="VC18" s="465" t="s">
        <v>1609</v>
      </c>
      <c r="VD18" s="465" t="s">
        <v>1610</v>
      </c>
      <c r="VE18" s="465" t="s">
        <v>1611</v>
      </c>
    </row>
    <row r="19" spans="1:577" s="331" customFormat="1" ht="30.6" thickBot="1">
      <c r="A19" s="469">
        <v>530</v>
      </c>
      <c r="B19" s="326" t="s">
        <v>32</v>
      </c>
      <c r="C19" s="332" t="s">
        <v>966</v>
      </c>
      <c r="D19" s="329" t="s">
        <v>428</v>
      </c>
      <c r="E19" s="329">
        <v>103606</v>
      </c>
      <c r="F19" s="464">
        <v>57079546</v>
      </c>
      <c r="G19" s="464" t="s">
        <v>1572</v>
      </c>
      <c r="H19" s="464" t="s">
        <v>32</v>
      </c>
      <c r="I19" s="464">
        <v>0</v>
      </c>
      <c r="J19" s="464">
        <v>0</v>
      </c>
      <c r="K19" s="464">
        <v>0</v>
      </c>
      <c r="L19" s="464">
        <v>0</v>
      </c>
      <c r="M19" s="464">
        <v>0</v>
      </c>
      <c r="N19" s="464">
        <v>0</v>
      </c>
      <c r="O19" s="464">
        <v>0</v>
      </c>
      <c r="P19" s="464">
        <v>0</v>
      </c>
      <c r="Q19" s="464">
        <v>0</v>
      </c>
      <c r="R19" s="464">
        <v>0</v>
      </c>
      <c r="S19" s="464">
        <v>0</v>
      </c>
      <c r="T19" s="464">
        <v>0</v>
      </c>
      <c r="U19" s="464">
        <v>0</v>
      </c>
      <c r="V19" s="464">
        <v>0</v>
      </c>
      <c r="W19" s="464">
        <v>0</v>
      </c>
      <c r="X19" s="464">
        <v>0</v>
      </c>
      <c r="Y19" s="464">
        <v>1141959</v>
      </c>
      <c r="Z19" s="464">
        <v>0</v>
      </c>
      <c r="AA19" s="464">
        <v>0</v>
      </c>
      <c r="AB19" s="464">
        <v>0</v>
      </c>
      <c r="AC19" s="464">
        <v>0</v>
      </c>
      <c r="AD19" s="464">
        <v>0</v>
      </c>
      <c r="AE19" s="464">
        <v>0</v>
      </c>
      <c r="AF19" s="464">
        <v>0</v>
      </c>
      <c r="AG19" s="464">
        <v>0</v>
      </c>
      <c r="AH19" s="464">
        <v>0</v>
      </c>
      <c r="AI19" s="464">
        <v>0</v>
      </c>
      <c r="AJ19" s="464">
        <v>0</v>
      </c>
      <c r="AK19" s="464">
        <v>0</v>
      </c>
      <c r="AL19" s="464">
        <v>0</v>
      </c>
      <c r="AM19" s="464">
        <v>0</v>
      </c>
      <c r="AN19" s="464">
        <v>0</v>
      </c>
      <c r="AO19" s="464">
        <v>0</v>
      </c>
      <c r="AP19" s="464">
        <v>0</v>
      </c>
      <c r="AQ19" s="464">
        <v>0</v>
      </c>
      <c r="AR19" s="464">
        <v>0</v>
      </c>
      <c r="AS19" s="464">
        <v>0</v>
      </c>
      <c r="AT19" s="464">
        <v>0</v>
      </c>
      <c r="AU19" s="464">
        <v>0</v>
      </c>
      <c r="AV19" s="464">
        <v>0</v>
      </c>
      <c r="AW19" s="464">
        <v>0</v>
      </c>
      <c r="AX19" s="464">
        <v>0</v>
      </c>
      <c r="AY19" s="464">
        <v>0</v>
      </c>
      <c r="AZ19" s="464">
        <v>0</v>
      </c>
      <c r="BA19" s="464">
        <v>0</v>
      </c>
      <c r="BB19" s="464">
        <v>0</v>
      </c>
      <c r="BC19" s="464">
        <v>0</v>
      </c>
      <c r="BD19" s="464">
        <v>0</v>
      </c>
      <c r="BE19" s="464">
        <v>0</v>
      </c>
      <c r="BF19" s="464">
        <v>0</v>
      </c>
      <c r="BG19" s="464">
        <v>0</v>
      </c>
      <c r="BH19" s="464">
        <v>0</v>
      </c>
      <c r="BI19" s="464">
        <v>0</v>
      </c>
      <c r="BJ19" s="464">
        <v>0</v>
      </c>
      <c r="BK19" s="464">
        <v>0</v>
      </c>
      <c r="BL19" s="464">
        <v>0</v>
      </c>
      <c r="BM19" s="464">
        <v>0</v>
      </c>
      <c r="BN19" s="464">
        <v>0</v>
      </c>
      <c r="BO19" s="464">
        <v>0</v>
      </c>
      <c r="BP19" s="464">
        <v>0</v>
      </c>
      <c r="BQ19" s="464">
        <v>0</v>
      </c>
      <c r="BR19" s="464">
        <v>0</v>
      </c>
      <c r="BS19" s="464">
        <v>0</v>
      </c>
      <c r="BT19" s="464">
        <v>0</v>
      </c>
      <c r="BU19" s="464">
        <v>0</v>
      </c>
      <c r="BV19" s="464">
        <v>0</v>
      </c>
      <c r="BW19" s="464">
        <v>0</v>
      </c>
      <c r="BX19" s="464">
        <v>0</v>
      </c>
      <c r="BY19" s="464">
        <v>0</v>
      </c>
      <c r="BZ19" s="464">
        <v>0</v>
      </c>
      <c r="CA19" s="464">
        <v>0</v>
      </c>
      <c r="CB19" s="464">
        <v>0</v>
      </c>
      <c r="CC19" s="464">
        <v>0</v>
      </c>
      <c r="CD19" s="464">
        <v>0</v>
      </c>
      <c r="CE19" s="464">
        <v>0</v>
      </c>
      <c r="CF19" s="464">
        <v>0</v>
      </c>
      <c r="CG19" s="464">
        <v>0</v>
      </c>
      <c r="CH19" s="464">
        <v>0</v>
      </c>
      <c r="CI19" s="464">
        <v>0</v>
      </c>
      <c r="CJ19" s="464">
        <v>0</v>
      </c>
      <c r="CK19" s="464">
        <v>0</v>
      </c>
      <c r="CL19" s="464">
        <v>0</v>
      </c>
      <c r="CM19" s="464">
        <v>0</v>
      </c>
      <c r="CN19" s="464">
        <v>0</v>
      </c>
      <c r="CO19" s="464">
        <v>0</v>
      </c>
      <c r="CP19" s="464">
        <v>0</v>
      </c>
      <c r="CQ19" s="464">
        <v>10092500</v>
      </c>
      <c r="CR19" s="464">
        <v>0</v>
      </c>
      <c r="CS19" s="464">
        <v>0</v>
      </c>
      <c r="CT19" s="464">
        <v>0</v>
      </c>
      <c r="CU19" s="464">
        <v>0</v>
      </c>
      <c r="CV19" s="464">
        <v>0</v>
      </c>
      <c r="CW19" s="464">
        <v>0</v>
      </c>
      <c r="CX19" s="464">
        <v>0</v>
      </c>
      <c r="CY19" s="464">
        <v>0</v>
      </c>
      <c r="CZ19" s="464">
        <v>0</v>
      </c>
      <c r="DA19" s="464">
        <v>0</v>
      </c>
      <c r="DB19" s="464">
        <v>0</v>
      </c>
      <c r="DC19" s="464">
        <v>0</v>
      </c>
      <c r="DD19" s="464">
        <v>0</v>
      </c>
      <c r="DE19" s="464">
        <v>0</v>
      </c>
      <c r="DF19" s="464">
        <v>0</v>
      </c>
      <c r="DG19" s="464">
        <v>0</v>
      </c>
      <c r="DH19" s="464">
        <v>0</v>
      </c>
      <c r="DI19" s="464">
        <v>0</v>
      </c>
      <c r="DJ19" s="464">
        <v>0</v>
      </c>
      <c r="DK19" s="464">
        <v>0</v>
      </c>
      <c r="DL19" s="464">
        <v>0</v>
      </c>
      <c r="DM19" s="464">
        <v>0</v>
      </c>
      <c r="DN19" s="464">
        <v>0</v>
      </c>
      <c r="DO19" s="464">
        <v>0</v>
      </c>
      <c r="DP19" s="464">
        <v>0</v>
      </c>
      <c r="DQ19" s="464">
        <v>0</v>
      </c>
      <c r="DR19" s="464">
        <v>0</v>
      </c>
      <c r="DS19" s="464">
        <v>0</v>
      </c>
      <c r="DT19" s="464">
        <v>0</v>
      </c>
      <c r="DU19" s="464">
        <v>0</v>
      </c>
      <c r="DV19" s="464">
        <v>0</v>
      </c>
      <c r="DW19" s="464">
        <v>0</v>
      </c>
      <c r="DX19" s="464">
        <v>0</v>
      </c>
      <c r="DY19" s="464">
        <v>0</v>
      </c>
      <c r="DZ19" s="464">
        <v>0</v>
      </c>
      <c r="EA19" s="464">
        <v>0</v>
      </c>
      <c r="EB19" s="464">
        <v>0</v>
      </c>
      <c r="EC19" s="464">
        <v>0</v>
      </c>
      <c r="ED19" s="464">
        <v>0</v>
      </c>
      <c r="EE19" s="464">
        <v>0</v>
      </c>
      <c r="EF19" s="464">
        <v>0</v>
      </c>
      <c r="EG19" s="464">
        <v>0</v>
      </c>
      <c r="EH19" s="464">
        <v>0</v>
      </c>
      <c r="EI19" s="464">
        <v>0</v>
      </c>
      <c r="EJ19" s="464">
        <v>0</v>
      </c>
      <c r="EK19" s="464">
        <v>0</v>
      </c>
      <c r="EL19" s="464">
        <v>0</v>
      </c>
      <c r="EM19" s="464">
        <v>0</v>
      </c>
      <c r="EN19" s="464">
        <v>0</v>
      </c>
      <c r="EO19" s="464">
        <v>0</v>
      </c>
      <c r="EP19" s="464">
        <v>0</v>
      </c>
      <c r="EQ19" s="464">
        <v>0</v>
      </c>
      <c r="ER19" s="464">
        <v>0</v>
      </c>
      <c r="ES19" s="464">
        <v>0</v>
      </c>
      <c r="ET19" s="464">
        <v>0</v>
      </c>
      <c r="EU19" s="464">
        <v>0</v>
      </c>
      <c r="EV19" s="464">
        <v>0</v>
      </c>
      <c r="EW19" s="464">
        <v>0</v>
      </c>
      <c r="EX19" s="464">
        <v>0</v>
      </c>
      <c r="EY19" s="464">
        <v>0</v>
      </c>
      <c r="EZ19" s="464">
        <v>0</v>
      </c>
      <c r="FA19" s="464">
        <v>0</v>
      </c>
      <c r="FB19" s="464">
        <v>0</v>
      </c>
      <c r="FC19" s="464">
        <v>0</v>
      </c>
      <c r="FD19" s="464">
        <v>0</v>
      </c>
      <c r="FE19" s="464">
        <v>0</v>
      </c>
      <c r="FF19" s="464">
        <v>0</v>
      </c>
      <c r="FG19" s="464">
        <v>0</v>
      </c>
      <c r="FH19" s="464">
        <v>0</v>
      </c>
      <c r="FI19" s="464">
        <v>0</v>
      </c>
      <c r="FJ19" s="464">
        <v>0</v>
      </c>
      <c r="FK19" s="464">
        <v>0</v>
      </c>
      <c r="FL19" s="464">
        <v>0</v>
      </c>
      <c r="FM19" s="464">
        <v>0</v>
      </c>
      <c r="FN19" s="464">
        <v>0</v>
      </c>
      <c r="FO19" s="464">
        <v>0</v>
      </c>
      <c r="FP19" s="464">
        <v>0</v>
      </c>
      <c r="FQ19" s="464">
        <v>0</v>
      </c>
      <c r="FR19" s="464">
        <v>0</v>
      </c>
      <c r="FS19" s="464">
        <v>0</v>
      </c>
      <c r="FT19" s="464">
        <v>0</v>
      </c>
      <c r="FU19" s="464">
        <v>0</v>
      </c>
      <c r="FV19" s="464">
        <v>0</v>
      </c>
      <c r="FW19" s="464">
        <v>0</v>
      </c>
      <c r="FX19" s="464">
        <v>0</v>
      </c>
      <c r="FY19" s="464">
        <v>0</v>
      </c>
      <c r="FZ19" s="464">
        <v>0</v>
      </c>
      <c r="GA19" s="464">
        <v>0</v>
      </c>
      <c r="GB19" s="464">
        <v>0</v>
      </c>
      <c r="GC19" s="464">
        <v>0</v>
      </c>
      <c r="GD19" s="464">
        <v>0</v>
      </c>
      <c r="GE19" s="464">
        <v>0</v>
      </c>
      <c r="GF19" s="464">
        <v>0</v>
      </c>
      <c r="GG19" s="464">
        <v>0</v>
      </c>
      <c r="GH19" s="464">
        <v>0</v>
      </c>
      <c r="GI19" s="464">
        <v>0</v>
      </c>
      <c r="GJ19" s="464">
        <v>0</v>
      </c>
      <c r="GK19" s="464">
        <v>0</v>
      </c>
      <c r="GL19" s="464">
        <v>0</v>
      </c>
      <c r="GM19" s="464">
        <v>0</v>
      </c>
      <c r="GN19" s="464">
        <v>0</v>
      </c>
      <c r="GO19" s="464">
        <v>0</v>
      </c>
      <c r="GP19" s="464">
        <v>0</v>
      </c>
      <c r="GQ19" s="464">
        <v>0</v>
      </c>
      <c r="GR19" s="464">
        <v>0</v>
      </c>
      <c r="GS19" s="464">
        <v>0</v>
      </c>
      <c r="GT19" s="464">
        <v>0</v>
      </c>
      <c r="GU19" s="464">
        <v>0</v>
      </c>
      <c r="GV19" s="464">
        <v>0</v>
      </c>
      <c r="GW19" s="464">
        <v>0</v>
      </c>
      <c r="GX19" s="464">
        <v>0</v>
      </c>
      <c r="GY19" s="464">
        <v>0</v>
      </c>
      <c r="GZ19" s="464">
        <v>0</v>
      </c>
      <c r="HA19" s="464">
        <v>0</v>
      </c>
      <c r="HB19" s="464">
        <v>0</v>
      </c>
      <c r="HC19" s="464">
        <v>0</v>
      </c>
      <c r="HD19" s="464">
        <v>0</v>
      </c>
      <c r="HE19" s="464">
        <v>0</v>
      </c>
      <c r="HF19" s="464">
        <v>0</v>
      </c>
      <c r="HG19" s="464">
        <v>0</v>
      </c>
      <c r="HH19" s="464">
        <v>0</v>
      </c>
      <c r="HI19" s="464">
        <v>0</v>
      </c>
      <c r="HJ19" s="464">
        <v>0</v>
      </c>
      <c r="HK19" s="464">
        <v>0</v>
      </c>
      <c r="HL19" s="464">
        <v>0</v>
      </c>
      <c r="HM19" s="464">
        <v>0</v>
      </c>
      <c r="HN19" s="464">
        <v>0</v>
      </c>
      <c r="HO19" s="464">
        <v>0</v>
      </c>
      <c r="HP19" s="464">
        <v>0</v>
      </c>
      <c r="HQ19" s="464">
        <v>0</v>
      </c>
      <c r="HR19" s="464">
        <v>0</v>
      </c>
      <c r="HS19" s="464">
        <v>0</v>
      </c>
      <c r="HT19" s="464">
        <v>0</v>
      </c>
      <c r="HU19" s="464">
        <v>0</v>
      </c>
      <c r="HV19" s="464">
        <v>0</v>
      </c>
      <c r="HW19" s="464">
        <v>0</v>
      </c>
      <c r="HX19" s="464">
        <v>0</v>
      </c>
      <c r="HY19" s="464">
        <v>0</v>
      </c>
      <c r="HZ19" s="464">
        <v>0</v>
      </c>
      <c r="IA19" s="464">
        <v>0</v>
      </c>
      <c r="IB19" s="464">
        <v>0</v>
      </c>
      <c r="IC19" s="464">
        <v>0</v>
      </c>
      <c r="ID19" s="464">
        <v>0</v>
      </c>
      <c r="IE19" s="464">
        <v>0</v>
      </c>
      <c r="IF19" s="464">
        <v>0</v>
      </c>
      <c r="IG19" s="464">
        <v>277251</v>
      </c>
      <c r="IH19" s="464">
        <v>0</v>
      </c>
      <c r="II19" s="464">
        <v>0</v>
      </c>
      <c r="IJ19" s="464">
        <v>0</v>
      </c>
      <c r="IK19" s="464">
        <v>0</v>
      </c>
      <c r="IL19" s="464">
        <v>0</v>
      </c>
      <c r="IM19" s="464">
        <v>0</v>
      </c>
      <c r="IN19" s="464">
        <v>0</v>
      </c>
      <c r="IO19" s="464">
        <v>0</v>
      </c>
      <c r="IP19" s="464">
        <v>0</v>
      </c>
      <c r="IQ19" s="464">
        <v>0</v>
      </c>
      <c r="IR19" s="464">
        <v>0</v>
      </c>
      <c r="IS19" s="464">
        <v>0</v>
      </c>
      <c r="IT19" s="464">
        <v>0</v>
      </c>
      <c r="IU19" s="464">
        <v>0</v>
      </c>
      <c r="IV19" s="464">
        <v>0</v>
      </c>
      <c r="IW19" s="464">
        <v>0</v>
      </c>
      <c r="IX19" s="464">
        <v>0</v>
      </c>
      <c r="IY19" s="464">
        <v>0</v>
      </c>
      <c r="IZ19" s="464">
        <v>0</v>
      </c>
      <c r="JA19" s="464">
        <v>0</v>
      </c>
      <c r="JB19" s="464">
        <v>0</v>
      </c>
      <c r="JC19" s="464">
        <v>0</v>
      </c>
      <c r="JD19" s="464">
        <v>0</v>
      </c>
      <c r="JE19" s="464">
        <v>0</v>
      </c>
      <c r="JF19" s="464">
        <v>0</v>
      </c>
      <c r="JG19" s="464">
        <v>0</v>
      </c>
      <c r="JH19" s="464">
        <v>2667</v>
      </c>
      <c r="JI19" s="464">
        <v>0</v>
      </c>
      <c r="JJ19" s="464">
        <v>5454</v>
      </c>
      <c r="JK19" s="464">
        <v>0</v>
      </c>
      <c r="JL19" s="464">
        <v>0</v>
      </c>
      <c r="JM19" s="464">
        <v>0</v>
      </c>
      <c r="JN19" s="464">
        <v>0</v>
      </c>
      <c r="JO19" s="464">
        <v>0</v>
      </c>
      <c r="JP19" s="464">
        <v>0</v>
      </c>
      <c r="JQ19" s="464">
        <v>15755</v>
      </c>
      <c r="JR19" s="464">
        <v>0</v>
      </c>
      <c r="JS19" s="464">
        <v>0</v>
      </c>
      <c r="JT19" s="464">
        <v>0</v>
      </c>
      <c r="JU19" s="464">
        <v>0</v>
      </c>
      <c r="JV19" s="464">
        <v>0</v>
      </c>
      <c r="JW19" s="464">
        <v>0</v>
      </c>
      <c r="JX19" s="464">
        <v>250</v>
      </c>
      <c r="JY19" s="464">
        <v>0</v>
      </c>
      <c r="JZ19" s="464">
        <v>457410</v>
      </c>
      <c r="KA19" s="464">
        <v>0</v>
      </c>
      <c r="KB19" s="464">
        <v>0</v>
      </c>
      <c r="KC19" s="464">
        <v>0</v>
      </c>
      <c r="KD19" s="464">
        <v>0</v>
      </c>
      <c r="KE19" s="464">
        <v>0</v>
      </c>
      <c r="KF19" s="464">
        <v>0</v>
      </c>
      <c r="KG19" s="464">
        <v>146190</v>
      </c>
      <c r="KH19" s="464">
        <v>0</v>
      </c>
      <c r="KI19" s="464">
        <v>0</v>
      </c>
      <c r="KJ19" s="464">
        <v>0</v>
      </c>
      <c r="KK19" s="464">
        <v>0</v>
      </c>
      <c r="KL19" s="464">
        <v>0</v>
      </c>
      <c r="KM19" s="464">
        <v>0</v>
      </c>
      <c r="KN19" s="464">
        <v>0</v>
      </c>
      <c r="KO19" s="464">
        <v>0</v>
      </c>
      <c r="KP19" s="464">
        <v>0</v>
      </c>
      <c r="KQ19" s="464">
        <v>605605</v>
      </c>
      <c r="KR19" s="464">
        <v>0</v>
      </c>
      <c r="KS19" s="464">
        <v>0</v>
      </c>
      <c r="KT19" s="464">
        <v>0</v>
      </c>
      <c r="KU19" s="464">
        <v>0</v>
      </c>
      <c r="KV19" s="464">
        <v>0</v>
      </c>
      <c r="KW19" s="464">
        <v>0</v>
      </c>
      <c r="KX19" s="464">
        <v>0</v>
      </c>
      <c r="KY19" s="464">
        <v>52389</v>
      </c>
      <c r="KZ19" s="464">
        <v>0</v>
      </c>
      <c r="LA19" s="464">
        <v>360059</v>
      </c>
      <c r="LB19" s="464">
        <v>0</v>
      </c>
      <c r="LC19" s="464">
        <v>0</v>
      </c>
      <c r="LD19" s="464">
        <v>0</v>
      </c>
      <c r="LE19" s="464">
        <v>0</v>
      </c>
      <c r="LF19" s="464">
        <v>0</v>
      </c>
      <c r="LG19" s="464">
        <v>0</v>
      </c>
      <c r="LH19" s="464">
        <v>9412392</v>
      </c>
      <c r="LI19" s="464">
        <v>0</v>
      </c>
      <c r="LJ19" s="464">
        <v>280606</v>
      </c>
      <c r="LK19" s="464">
        <v>0</v>
      </c>
      <c r="LL19" s="464">
        <v>0</v>
      </c>
      <c r="LM19" s="464">
        <v>0</v>
      </c>
      <c r="LN19" s="464">
        <v>0</v>
      </c>
      <c r="LO19" s="464">
        <v>0</v>
      </c>
      <c r="LP19" s="464">
        <v>0</v>
      </c>
      <c r="LQ19" s="464">
        <v>160495</v>
      </c>
      <c r="LR19" s="464">
        <v>0</v>
      </c>
      <c r="LS19" s="464">
        <v>191222</v>
      </c>
      <c r="LT19" s="464">
        <v>0</v>
      </c>
      <c r="LU19" s="464">
        <v>0</v>
      </c>
      <c r="LV19" s="464">
        <v>0</v>
      </c>
      <c r="LW19" s="464">
        <v>0</v>
      </c>
      <c r="LX19" s="464">
        <v>0</v>
      </c>
      <c r="LY19" s="464">
        <v>0</v>
      </c>
      <c r="LZ19" s="464">
        <v>0</v>
      </c>
      <c r="MA19" s="464">
        <v>0</v>
      </c>
      <c r="MB19" s="464">
        <v>166411</v>
      </c>
      <c r="MC19" s="464">
        <v>0</v>
      </c>
      <c r="MD19" s="464">
        <v>0</v>
      </c>
      <c r="ME19" s="464">
        <v>0</v>
      </c>
      <c r="MF19" s="464">
        <v>0</v>
      </c>
      <c r="MG19" s="464">
        <v>0</v>
      </c>
      <c r="MH19" s="464">
        <v>0</v>
      </c>
      <c r="MI19" s="464">
        <v>0</v>
      </c>
      <c r="MJ19" s="464">
        <v>928264</v>
      </c>
      <c r="MK19" s="464">
        <v>0</v>
      </c>
      <c r="ML19" s="464">
        <v>0</v>
      </c>
      <c r="MM19" s="464">
        <v>0</v>
      </c>
      <c r="MN19" s="464">
        <v>0</v>
      </c>
      <c r="MO19" s="464">
        <v>0</v>
      </c>
      <c r="MP19" s="464">
        <v>0</v>
      </c>
      <c r="MQ19" s="464">
        <v>0</v>
      </c>
      <c r="MR19" s="464">
        <v>3477076</v>
      </c>
      <c r="MS19" s="464">
        <v>0</v>
      </c>
      <c r="MT19" s="464">
        <v>1132178</v>
      </c>
      <c r="MU19" s="464">
        <v>0</v>
      </c>
      <c r="MV19" s="464">
        <v>0</v>
      </c>
      <c r="MW19" s="464">
        <v>0</v>
      </c>
      <c r="MX19" s="464">
        <v>0</v>
      </c>
      <c r="MY19" s="464">
        <v>0</v>
      </c>
      <c r="MZ19" s="464">
        <v>0</v>
      </c>
      <c r="NA19" s="464">
        <v>1711382</v>
      </c>
      <c r="NB19" s="464">
        <v>0</v>
      </c>
      <c r="NC19" s="464">
        <v>7607</v>
      </c>
      <c r="ND19" s="464">
        <v>0</v>
      </c>
      <c r="NE19" s="464">
        <v>0</v>
      </c>
      <c r="NF19" s="464">
        <v>0</v>
      </c>
      <c r="NG19" s="464">
        <v>0</v>
      </c>
      <c r="NH19" s="464">
        <v>0</v>
      </c>
      <c r="NI19" s="464">
        <v>0</v>
      </c>
      <c r="NJ19" s="464">
        <v>0</v>
      </c>
      <c r="NK19" s="464">
        <v>0</v>
      </c>
      <c r="NL19" s="464">
        <v>0</v>
      </c>
      <c r="NM19" s="464">
        <v>0</v>
      </c>
      <c r="NN19" s="464">
        <v>0</v>
      </c>
      <c r="NO19" s="464">
        <v>0</v>
      </c>
      <c r="NP19" s="464">
        <v>0</v>
      </c>
      <c r="NQ19" s="464">
        <v>0</v>
      </c>
      <c r="NR19" s="464">
        <v>0</v>
      </c>
      <c r="NS19" s="464">
        <v>639393</v>
      </c>
      <c r="NT19" s="464">
        <v>0</v>
      </c>
      <c r="NU19" s="464">
        <v>116</v>
      </c>
      <c r="NV19" s="464">
        <v>0</v>
      </c>
      <c r="NW19" s="464">
        <v>0</v>
      </c>
      <c r="NX19" s="464">
        <v>0</v>
      </c>
      <c r="NY19" s="464">
        <v>0</v>
      </c>
      <c r="NZ19" s="464">
        <v>0</v>
      </c>
      <c r="OA19" s="464">
        <v>0</v>
      </c>
      <c r="OB19" s="464">
        <v>27266</v>
      </c>
      <c r="OC19" s="464">
        <v>0</v>
      </c>
      <c r="OD19" s="464">
        <v>60020</v>
      </c>
      <c r="OE19" s="464">
        <v>0</v>
      </c>
      <c r="OF19" s="464">
        <v>0</v>
      </c>
      <c r="OG19" s="464">
        <v>0</v>
      </c>
      <c r="OH19" s="464">
        <v>0</v>
      </c>
      <c r="OI19" s="464">
        <v>0</v>
      </c>
      <c r="OJ19" s="464">
        <v>0</v>
      </c>
      <c r="OK19" s="464">
        <v>0</v>
      </c>
      <c r="OL19" s="464">
        <v>0</v>
      </c>
      <c r="OM19" s="464">
        <v>0</v>
      </c>
      <c r="ON19" s="464">
        <v>0</v>
      </c>
      <c r="OO19" s="464">
        <v>0</v>
      </c>
      <c r="OP19" s="464">
        <v>0</v>
      </c>
      <c r="OQ19" s="464">
        <v>0</v>
      </c>
      <c r="OR19" s="464">
        <v>0</v>
      </c>
      <c r="OS19" s="464">
        <v>0</v>
      </c>
      <c r="OT19" s="464">
        <v>139443</v>
      </c>
      <c r="OU19" s="464">
        <v>0</v>
      </c>
      <c r="OV19" s="464">
        <v>109604</v>
      </c>
      <c r="OW19" s="464">
        <v>0</v>
      </c>
      <c r="OX19" s="464">
        <v>0</v>
      </c>
      <c r="OY19" s="464">
        <v>0</v>
      </c>
      <c r="OZ19" s="464">
        <v>0</v>
      </c>
      <c r="PA19" s="464">
        <v>0</v>
      </c>
      <c r="PB19" s="464">
        <v>0</v>
      </c>
      <c r="PC19" s="464">
        <v>0</v>
      </c>
      <c r="PD19" s="464">
        <v>0</v>
      </c>
      <c r="PE19" s="464">
        <v>0</v>
      </c>
      <c r="PF19" s="464">
        <v>0</v>
      </c>
      <c r="PG19" s="464">
        <v>0</v>
      </c>
      <c r="PH19" s="464">
        <v>0</v>
      </c>
      <c r="PI19" s="464">
        <v>0</v>
      </c>
      <c r="PJ19" s="464">
        <v>0</v>
      </c>
      <c r="PK19" s="464">
        <v>0</v>
      </c>
      <c r="PL19" s="464">
        <v>0</v>
      </c>
      <c r="PM19" s="464">
        <v>0</v>
      </c>
      <c r="PN19" s="464">
        <v>0</v>
      </c>
      <c r="PO19" s="464">
        <v>0</v>
      </c>
      <c r="PP19" s="464">
        <v>0</v>
      </c>
      <c r="PQ19" s="464">
        <v>0</v>
      </c>
      <c r="PR19" s="464">
        <v>0</v>
      </c>
      <c r="PS19" s="464">
        <v>0</v>
      </c>
      <c r="PT19" s="464">
        <v>0</v>
      </c>
      <c r="PU19" s="464">
        <v>-575180</v>
      </c>
      <c r="PV19" s="464">
        <v>371121</v>
      </c>
      <c r="PW19" s="464">
        <v>14018</v>
      </c>
      <c r="PX19" s="464">
        <v>0</v>
      </c>
      <c r="PY19" s="464">
        <v>117049</v>
      </c>
      <c r="PZ19" s="464">
        <v>20848</v>
      </c>
      <c r="QA19" s="464">
        <v>0</v>
      </c>
      <c r="QB19" s="464">
        <v>0</v>
      </c>
      <c r="QC19" s="464">
        <v>0</v>
      </c>
      <c r="QD19" s="464">
        <v>0</v>
      </c>
      <c r="QE19" s="464">
        <v>0</v>
      </c>
      <c r="QF19" s="464">
        <v>0</v>
      </c>
      <c r="QG19" s="464">
        <v>0</v>
      </c>
      <c r="QH19" s="464">
        <v>0</v>
      </c>
      <c r="QI19" s="464">
        <v>0</v>
      </c>
      <c r="QJ19" s="464">
        <v>0</v>
      </c>
      <c r="QK19" s="464">
        <v>0</v>
      </c>
      <c r="QL19" s="464">
        <v>0</v>
      </c>
      <c r="QM19" s="464">
        <v>0</v>
      </c>
      <c r="QN19" s="464">
        <v>0</v>
      </c>
      <c r="QO19" s="464">
        <v>0</v>
      </c>
      <c r="QP19" s="464">
        <v>0</v>
      </c>
      <c r="QQ19" s="464">
        <v>0</v>
      </c>
      <c r="QR19" s="464">
        <v>0</v>
      </c>
      <c r="QS19" s="464">
        <v>0</v>
      </c>
      <c r="QT19" s="464">
        <v>0</v>
      </c>
      <c r="QU19" s="464">
        <v>0</v>
      </c>
      <c r="QV19" s="464">
        <v>0</v>
      </c>
      <c r="QW19" s="464">
        <v>0</v>
      </c>
      <c r="QX19" s="464">
        <v>0</v>
      </c>
      <c r="QY19" s="464">
        <v>0</v>
      </c>
      <c r="QZ19" s="464">
        <v>-36508</v>
      </c>
      <c r="RA19" s="464">
        <v>0</v>
      </c>
      <c r="RB19" s="464">
        <v>0</v>
      </c>
      <c r="RC19" s="464">
        <v>0</v>
      </c>
      <c r="RD19" s="464">
        <v>0</v>
      </c>
      <c r="RE19" s="464">
        <v>0</v>
      </c>
      <c r="RF19" s="464">
        <v>0</v>
      </c>
      <c r="RG19" s="464">
        <v>0</v>
      </c>
      <c r="RH19" s="464">
        <v>0</v>
      </c>
      <c r="RI19" s="464">
        <v>76270</v>
      </c>
      <c r="RJ19" s="464">
        <v>0</v>
      </c>
      <c r="RK19" s="464">
        <v>0</v>
      </c>
      <c r="RL19" s="464">
        <v>0</v>
      </c>
      <c r="RM19" s="464">
        <v>0</v>
      </c>
      <c r="RN19" s="464">
        <v>0</v>
      </c>
      <c r="RO19" s="464">
        <v>0</v>
      </c>
      <c r="RP19" s="464">
        <v>0</v>
      </c>
      <c r="RQ19" s="464">
        <v>0</v>
      </c>
      <c r="RR19" s="464">
        <v>0</v>
      </c>
      <c r="RS19" s="464">
        <v>-441024</v>
      </c>
      <c r="RT19" s="464">
        <v>0</v>
      </c>
      <c r="RU19" s="464">
        <v>0</v>
      </c>
      <c r="RV19" s="464">
        <v>0</v>
      </c>
      <c r="RW19" s="464">
        <v>0</v>
      </c>
      <c r="RX19" s="464">
        <v>0</v>
      </c>
      <c r="RY19" s="464">
        <v>0</v>
      </c>
      <c r="RZ19" s="464">
        <v>0</v>
      </c>
      <c r="SA19" s="464">
        <v>0</v>
      </c>
      <c r="SB19" s="464">
        <v>0</v>
      </c>
      <c r="SC19" s="464">
        <v>0</v>
      </c>
      <c r="SD19" s="464">
        <v>0</v>
      </c>
      <c r="SE19" s="464">
        <v>0</v>
      </c>
      <c r="SF19" s="464">
        <v>0</v>
      </c>
      <c r="SG19" s="464">
        <v>0</v>
      </c>
      <c r="SH19" s="464">
        <v>0</v>
      </c>
      <c r="SI19" s="464">
        <v>0</v>
      </c>
      <c r="SJ19" s="464">
        <v>0</v>
      </c>
      <c r="SK19" s="464">
        <v>0</v>
      </c>
      <c r="SL19" s="464">
        <v>0</v>
      </c>
      <c r="SM19" s="464">
        <v>0</v>
      </c>
      <c r="SN19" s="464">
        <v>0</v>
      </c>
      <c r="SO19" s="464">
        <v>0</v>
      </c>
      <c r="SP19" s="464">
        <v>0</v>
      </c>
      <c r="SQ19" s="464">
        <v>0</v>
      </c>
      <c r="SR19" s="464">
        <v>0</v>
      </c>
      <c r="SS19" s="464">
        <v>0</v>
      </c>
      <c r="ST19" s="464">
        <v>0</v>
      </c>
      <c r="SU19" s="464">
        <v>0</v>
      </c>
      <c r="SV19" s="464">
        <v>0</v>
      </c>
      <c r="SW19" s="464">
        <v>0</v>
      </c>
      <c r="SX19" s="464">
        <v>139443</v>
      </c>
      <c r="SY19" s="464">
        <v>0</v>
      </c>
      <c r="SZ19" s="464">
        <v>109604</v>
      </c>
      <c r="TA19" s="464">
        <v>0</v>
      </c>
      <c r="TB19" s="464">
        <v>0</v>
      </c>
      <c r="TC19" s="464">
        <v>0</v>
      </c>
      <c r="TD19" s="464">
        <v>0</v>
      </c>
      <c r="TE19" s="464">
        <v>0</v>
      </c>
      <c r="TF19" s="464">
        <v>-5490345</v>
      </c>
      <c r="TG19" s="464">
        <v>0</v>
      </c>
      <c r="TH19" s="464">
        <v>0</v>
      </c>
      <c r="TI19" s="464">
        <v>10092500</v>
      </c>
      <c r="TJ19" s="464">
        <v>0</v>
      </c>
      <c r="TK19" s="464">
        <v>63459</v>
      </c>
      <c r="TL19" s="464">
        <v>113793</v>
      </c>
      <c r="TM19" s="464">
        <v>5076</v>
      </c>
      <c r="TN19" s="464">
        <v>0</v>
      </c>
      <c r="TO19" s="464">
        <v>66719</v>
      </c>
      <c r="TP19" s="464">
        <v>0</v>
      </c>
      <c r="TQ19" s="464">
        <v>0</v>
      </c>
      <c r="TR19" s="464">
        <v>0</v>
      </c>
      <c r="TS19" s="464">
        <v>0</v>
      </c>
      <c r="TT19" s="464">
        <v>0</v>
      </c>
      <c r="TU19" s="464">
        <v>0</v>
      </c>
      <c r="TV19" s="464">
        <v>0</v>
      </c>
      <c r="TW19" s="464">
        <v>0</v>
      </c>
      <c r="TX19" s="464">
        <v>0</v>
      </c>
      <c r="TY19" s="464">
        <v>0</v>
      </c>
      <c r="TZ19" s="464">
        <v>0</v>
      </c>
      <c r="UA19" s="464">
        <v>0</v>
      </c>
      <c r="UB19" s="464">
        <v>0</v>
      </c>
      <c r="UC19" s="464">
        <v>0</v>
      </c>
      <c r="UD19" s="464">
        <v>0</v>
      </c>
      <c r="UE19" s="464">
        <v>0</v>
      </c>
      <c r="UF19" s="464">
        <v>0</v>
      </c>
      <c r="UG19" s="464">
        <v>0</v>
      </c>
      <c r="UH19" s="464">
        <v>0</v>
      </c>
      <c r="UI19" s="464">
        <v>0</v>
      </c>
      <c r="UJ19" s="464">
        <v>0</v>
      </c>
      <c r="UK19" s="464">
        <v>0</v>
      </c>
      <c r="UL19" s="464">
        <v>0</v>
      </c>
      <c r="UM19" s="464">
        <v>1569655</v>
      </c>
      <c r="UN19" s="464">
        <v>964050</v>
      </c>
      <c r="UO19" s="464">
        <v>9692998</v>
      </c>
      <c r="UP19" s="464">
        <v>351717</v>
      </c>
      <c r="UQ19" s="464">
        <v>166411</v>
      </c>
      <c r="UR19" s="464">
        <v>928264</v>
      </c>
      <c r="US19" s="464">
        <v>4609254</v>
      </c>
      <c r="UT19" s="464">
        <v>1718989</v>
      </c>
      <c r="UU19" s="464">
        <v>0</v>
      </c>
      <c r="UV19" s="464">
        <v>639509</v>
      </c>
      <c r="UW19" s="464">
        <v>87286</v>
      </c>
      <c r="UX19" s="464">
        <v>0</v>
      </c>
      <c r="UY19" s="464">
        <v>0</v>
      </c>
      <c r="UZ19" s="464">
        <v>0</v>
      </c>
      <c r="VA19" s="464">
        <v>0</v>
      </c>
      <c r="VB19" s="464">
        <v>0</v>
      </c>
      <c r="VC19" s="464" t="s">
        <v>1612</v>
      </c>
      <c r="VD19" s="464" t="s">
        <v>1613</v>
      </c>
      <c r="VE19" s="464" t="s">
        <v>1614</v>
      </c>
    </row>
    <row r="20" spans="1:577" s="331" customFormat="1" ht="63" customHeight="1" thickBot="1">
      <c r="A20" s="469">
        <v>540</v>
      </c>
      <c r="B20" s="326" t="s">
        <v>33</v>
      </c>
      <c r="C20" s="332" t="s">
        <v>968</v>
      </c>
      <c r="D20" s="329" t="s">
        <v>428</v>
      </c>
      <c r="E20" s="329">
        <v>100130</v>
      </c>
      <c r="F20" s="470">
        <v>656531</v>
      </c>
      <c r="G20" s="329" t="s">
        <v>1572</v>
      </c>
      <c r="H20" s="331" t="s">
        <v>33</v>
      </c>
      <c r="M20" s="465">
        <v>0</v>
      </c>
      <c r="N20" s="465">
        <v>0</v>
      </c>
      <c r="O20" s="465">
        <v>0</v>
      </c>
      <c r="P20" s="465">
        <v>0</v>
      </c>
      <c r="Q20" s="465">
        <v>0</v>
      </c>
      <c r="R20" s="465">
        <v>0</v>
      </c>
      <c r="S20" s="465">
        <v>0</v>
      </c>
      <c r="T20" s="465">
        <v>0</v>
      </c>
      <c r="U20" s="465">
        <v>0</v>
      </c>
      <c r="V20" s="465">
        <v>0</v>
      </c>
      <c r="W20" s="465">
        <v>0</v>
      </c>
      <c r="X20" s="465">
        <v>0</v>
      </c>
      <c r="Y20" s="465">
        <v>0</v>
      </c>
      <c r="Z20" s="465">
        <v>0</v>
      </c>
      <c r="AA20" s="465">
        <v>0</v>
      </c>
      <c r="AB20" s="465">
        <v>0</v>
      </c>
      <c r="AC20" s="465">
        <v>0</v>
      </c>
      <c r="AD20" s="465">
        <v>0</v>
      </c>
      <c r="AE20" s="465">
        <v>0</v>
      </c>
      <c r="AF20" s="465">
        <v>0</v>
      </c>
      <c r="AG20" s="465">
        <v>0</v>
      </c>
      <c r="AH20" s="465">
        <v>0</v>
      </c>
      <c r="AI20" s="465">
        <v>0</v>
      </c>
      <c r="AJ20" s="465">
        <v>0</v>
      </c>
      <c r="AK20" s="465">
        <v>0</v>
      </c>
      <c r="AL20" s="465">
        <v>0</v>
      </c>
      <c r="AM20" s="465">
        <v>0</v>
      </c>
      <c r="AN20" s="465">
        <v>0</v>
      </c>
      <c r="AO20" s="465">
        <v>0</v>
      </c>
      <c r="AP20" s="465">
        <v>0</v>
      </c>
      <c r="AQ20" s="465">
        <v>0</v>
      </c>
      <c r="AR20" s="465">
        <v>0</v>
      </c>
      <c r="AS20" s="465">
        <v>0</v>
      </c>
      <c r="AT20" s="465">
        <v>0</v>
      </c>
      <c r="AU20" s="465">
        <v>0</v>
      </c>
      <c r="AV20" s="465">
        <v>0</v>
      </c>
      <c r="AW20" s="465">
        <v>0</v>
      </c>
      <c r="AX20" s="465">
        <v>0</v>
      </c>
      <c r="AY20" s="465">
        <v>0</v>
      </c>
      <c r="AZ20" s="465">
        <v>0</v>
      </c>
      <c r="BA20" s="465">
        <v>0</v>
      </c>
      <c r="BB20" s="465">
        <v>0</v>
      </c>
      <c r="BC20" s="465">
        <v>0</v>
      </c>
      <c r="BD20" s="465">
        <v>0</v>
      </c>
      <c r="BE20" s="465">
        <v>0</v>
      </c>
      <c r="BF20" s="465">
        <v>0</v>
      </c>
      <c r="BG20" s="465">
        <v>0</v>
      </c>
      <c r="BH20" s="465">
        <v>0</v>
      </c>
      <c r="BI20" s="465">
        <v>0</v>
      </c>
      <c r="BJ20" s="465">
        <v>0</v>
      </c>
      <c r="BK20" s="465">
        <v>0</v>
      </c>
      <c r="BL20" s="465">
        <v>0</v>
      </c>
      <c r="BM20" s="465">
        <v>0</v>
      </c>
      <c r="BN20" s="465">
        <v>0</v>
      </c>
      <c r="BO20" s="465">
        <v>0</v>
      </c>
      <c r="BP20" s="465">
        <v>0</v>
      </c>
      <c r="BQ20" s="465">
        <v>0</v>
      </c>
      <c r="BR20" s="465">
        <v>0</v>
      </c>
      <c r="BS20" s="465">
        <v>0</v>
      </c>
      <c r="BT20" s="465">
        <v>0</v>
      </c>
      <c r="BU20" s="465">
        <v>0</v>
      </c>
      <c r="BV20" s="465">
        <v>0</v>
      </c>
      <c r="BW20" s="465">
        <v>0</v>
      </c>
      <c r="BX20" s="465">
        <v>0</v>
      </c>
      <c r="BY20" s="465">
        <v>0</v>
      </c>
      <c r="BZ20" s="465">
        <v>0</v>
      </c>
      <c r="CA20" s="465">
        <v>0</v>
      </c>
      <c r="CB20" s="465">
        <v>0</v>
      </c>
      <c r="CC20" s="465">
        <v>0</v>
      </c>
      <c r="CD20" s="465">
        <v>0</v>
      </c>
      <c r="CE20" s="465">
        <v>0</v>
      </c>
      <c r="CF20" s="465">
        <v>0</v>
      </c>
      <c r="CG20" s="465">
        <v>0</v>
      </c>
      <c r="CH20" s="465">
        <v>0</v>
      </c>
      <c r="CI20" s="465">
        <v>0</v>
      </c>
      <c r="CJ20" s="465">
        <v>0</v>
      </c>
      <c r="CK20" s="465">
        <v>0</v>
      </c>
      <c r="CL20" s="465">
        <v>0</v>
      </c>
      <c r="CM20" s="465">
        <v>0</v>
      </c>
      <c r="CN20" s="465">
        <v>0</v>
      </c>
      <c r="CO20" s="465">
        <v>0</v>
      </c>
      <c r="CP20" s="465">
        <v>0</v>
      </c>
      <c r="CQ20" s="465">
        <v>0</v>
      </c>
      <c r="CR20" s="465">
        <v>0</v>
      </c>
      <c r="CS20" s="465">
        <v>0</v>
      </c>
      <c r="CT20" s="465">
        <v>0</v>
      </c>
      <c r="CU20" s="465">
        <v>0</v>
      </c>
      <c r="CV20" s="465">
        <v>0</v>
      </c>
      <c r="CW20" s="465">
        <v>0</v>
      </c>
      <c r="CX20" s="465">
        <v>0</v>
      </c>
      <c r="CY20" s="465">
        <v>0</v>
      </c>
      <c r="CZ20" s="465">
        <v>0</v>
      </c>
      <c r="DA20" s="465">
        <v>0</v>
      </c>
      <c r="DB20" s="465">
        <v>0</v>
      </c>
      <c r="DC20" s="465">
        <v>0</v>
      </c>
      <c r="DD20" s="465">
        <v>0</v>
      </c>
      <c r="DE20" s="465">
        <v>0</v>
      </c>
      <c r="DF20" s="465">
        <v>0</v>
      </c>
      <c r="DG20" s="465">
        <v>0</v>
      </c>
      <c r="DH20" s="465">
        <v>0</v>
      </c>
      <c r="DI20" s="465">
        <v>0</v>
      </c>
      <c r="DJ20" s="465">
        <v>0</v>
      </c>
      <c r="DK20" s="465">
        <v>0</v>
      </c>
      <c r="DL20" s="465">
        <v>0</v>
      </c>
      <c r="DM20" s="465">
        <v>0</v>
      </c>
      <c r="DN20" s="465">
        <v>0</v>
      </c>
      <c r="DO20" s="465">
        <v>0</v>
      </c>
      <c r="DP20" s="465">
        <v>0</v>
      </c>
      <c r="DQ20" s="465">
        <v>0</v>
      </c>
      <c r="DR20" s="465">
        <v>0</v>
      </c>
      <c r="DS20" s="465">
        <v>0</v>
      </c>
      <c r="DT20" s="465">
        <v>0</v>
      </c>
      <c r="DU20" s="465">
        <v>0</v>
      </c>
      <c r="DV20" s="465">
        <v>0</v>
      </c>
      <c r="DW20" s="465">
        <v>0</v>
      </c>
      <c r="DX20" s="465">
        <v>0</v>
      </c>
      <c r="DY20" s="465">
        <v>0</v>
      </c>
      <c r="DZ20" s="465">
        <v>0</v>
      </c>
      <c r="EA20" s="465">
        <v>0</v>
      </c>
      <c r="EB20" s="465">
        <v>0</v>
      </c>
      <c r="EC20" s="465">
        <v>0</v>
      </c>
      <c r="ED20" s="465">
        <v>0</v>
      </c>
      <c r="EE20" s="465">
        <v>0</v>
      </c>
      <c r="EF20" s="465">
        <v>0</v>
      </c>
      <c r="EG20" s="465">
        <v>0</v>
      </c>
      <c r="EH20" s="465">
        <v>0</v>
      </c>
      <c r="EI20" s="465">
        <v>0</v>
      </c>
      <c r="EJ20" s="465">
        <v>0</v>
      </c>
      <c r="EK20" s="465">
        <v>0</v>
      </c>
      <c r="EL20" s="465">
        <v>0</v>
      </c>
      <c r="EM20" s="465">
        <v>0</v>
      </c>
      <c r="EN20" s="465">
        <v>0</v>
      </c>
      <c r="EO20" s="465">
        <v>0</v>
      </c>
      <c r="EP20" s="465">
        <v>0</v>
      </c>
      <c r="EQ20" s="465">
        <v>0</v>
      </c>
      <c r="ER20" s="465">
        <v>0</v>
      </c>
      <c r="ES20" s="465">
        <v>0</v>
      </c>
      <c r="ET20" s="465">
        <v>0</v>
      </c>
      <c r="EU20" s="465">
        <v>0</v>
      </c>
      <c r="EV20" s="465">
        <v>0</v>
      </c>
      <c r="EW20" s="465">
        <v>0</v>
      </c>
      <c r="EX20" s="465">
        <v>0</v>
      </c>
      <c r="EY20" s="465">
        <v>0</v>
      </c>
      <c r="EZ20" s="465">
        <v>0</v>
      </c>
      <c r="FA20" s="465">
        <v>0</v>
      </c>
      <c r="FB20" s="465">
        <v>0</v>
      </c>
      <c r="FC20" s="465">
        <v>0</v>
      </c>
      <c r="FD20" s="465">
        <v>0</v>
      </c>
      <c r="FE20" s="465">
        <v>0</v>
      </c>
      <c r="FF20" s="465">
        <v>0</v>
      </c>
      <c r="FG20" s="465">
        <v>0</v>
      </c>
      <c r="FH20" s="465">
        <v>0</v>
      </c>
      <c r="FI20" s="465">
        <v>0</v>
      </c>
      <c r="FJ20" s="465">
        <v>0</v>
      </c>
      <c r="FK20" s="465">
        <v>0</v>
      </c>
      <c r="FL20" s="465">
        <v>0</v>
      </c>
      <c r="FM20" s="465">
        <v>0</v>
      </c>
      <c r="FN20" s="465">
        <v>0</v>
      </c>
      <c r="FO20" s="465">
        <v>0</v>
      </c>
      <c r="FP20" s="465">
        <v>0</v>
      </c>
      <c r="FQ20" s="465">
        <v>0</v>
      </c>
      <c r="FR20" s="465">
        <v>0</v>
      </c>
      <c r="FS20" s="465">
        <v>0</v>
      </c>
      <c r="FT20" s="465">
        <v>0</v>
      </c>
      <c r="FU20" s="465">
        <v>0</v>
      </c>
      <c r="FV20" s="465">
        <v>0</v>
      </c>
      <c r="FW20" s="465">
        <v>0</v>
      </c>
      <c r="FX20" s="465">
        <v>0</v>
      </c>
      <c r="FY20" s="465">
        <v>0</v>
      </c>
      <c r="FZ20" s="465">
        <v>0</v>
      </c>
      <c r="GA20" s="465">
        <v>0</v>
      </c>
      <c r="GB20" s="465">
        <v>0</v>
      </c>
      <c r="GC20" s="465">
        <v>0</v>
      </c>
      <c r="GD20" s="465">
        <v>0</v>
      </c>
      <c r="GE20" s="465">
        <v>0</v>
      </c>
      <c r="GF20" s="465">
        <v>0</v>
      </c>
      <c r="GG20" s="465">
        <v>0</v>
      </c>
      <c r="GH20" s="465">
        <v>0</v>
      </c>
      <c r="GI20" s="465">
        <v>0</v>
      </c>
      <c r="GJ20" s="465">
        <v>0</v>
      </c>
      <c r="GK20" s="465">
        <v>0</v>
      </c>
      <c r="GL20" s="465">
        <v>0</v>
      </c>
      <c r="GM20" s="465">
        <v>0</v>
      </c>
      <c r="GN20" s="465">
        <v>0</v>
      </c>
      <c r="GO20" s="465">
        <v>0</v>
      </c>
      <c r="GP20" s="465">
        <v>0</v>
      </c>
      <c r="GQ20" s="465">
        <v>0</v>
      </c>
      <c r="GR20" s="465">
        <v>0</v>
      </c>
      <c r="GS20" s="465">
        <v>0</v>
      </c>
      <c r="GT20" s="465">
        <v>0</v>
      </c>
      <c r="GU20" s="465">
        <v>0</v>
      </c>
      <c r="GV20" s="465">
        <v>0</v>
      </c>
      <c r="GW20" s="465">
        <v>0</v>
      </c>
      <c r="GX20" s="465">
        <v>0</v>
      </c>
      <c r="GY20" s="465">
        <v>0</v>
      </c>
      <c r="GZ20" s="465">
        <v>0</v>
      </c>
      <c r="HA20" s="465">
        <v>0</v>
      </c>
      <c r="HB20" s="465">
        <v>0</v>
      </c>
      <c r="HC20" s="465">
        <v>0</v>
      </c>
      <c r="HD20" s="465">
        <v>0</v>
      </c>
      <c r="HE20" s="465">
        <v>0</v>
      </c>
      <c r="HF20" s="465">
        <v>0</v>
      </c>
      <c r="HG20" s="465">
        <v>0</v>
      </c>
      <c r="HH20" s="465">
        <v>0</v>
      </c>
      <c r="HI20" s="465">
        <v>0</v>
      </c>
      <c r="HJ20" s="465">
        <v>0</v>
      </c>
      <c r="HK20" s="465">
        <v>0</v>
      </c>
      <c r="HL20" s="465">
        <v>0</v>
      </c>
      <c r="HM20" s="465">
        <v>0</v>
      </c>
      <c r="HN20" s="465">
        <v>0</v>
      </c>
      <c r="HO20" s="465">
        <v>0</v>
      </c>
      <c r="HP20" s="465">
        <v>0</v>
      </c>
      <c r="HQ20" s="465">
        <v>0</v>
      </c>
      <c r="HR20" s="465">
        <v>0</v>
      </c>
      <c r="HS20" s="465">
        <v>0</v>
      </c>
      <c r="HT20" s="465">
        <v>0</v>
      </c>
      <c r="HU20" s="465">
        <v>0</v>
      </c>
      <c r="HV20" s="465">
        <v>0</v>
      </c>
      <c r="HW20" s="465">
        <v>0</v>
      </c>
      <c r="HX20" s="465">
        <v>0</v>
      </c>
      <c r="HY20" s="465">
        <v>0</v>
      </c>
      <c r="HZ20" s="465">
        <v>0</v>
      </c>
      <c r="IA20" s="465">
        <v>0</v>
      </c>
      <c r="IB20" s="465">
        <v>0</v>
      </c>
      <c r="IC20" s="465">
        <v>0</v>
      </c>
      <c r="ID20" s="465">
        <v>0</v>
      </c>
      <c r="IE20" s="465">
        <v>0</v>
      </c>
      <c r="IF20" s="465">
        <v>0</v>
      </c>
      <c r="IG20" s="465">
        <v>0</v>
      </c>
      <c r="IH20" s="465">
        <v>0</v>
      </c>
      <c r="II20" s="465">
        <v>0</v>
      </c>
      <c r="IJ20" s="465">
        <v>0</v>
      </c>
      <c r="IK20" s="465">
        <v>0</v>
      </c>
      <c r="IL20" s="465">
        <v>0</v>
      </c>
      <c r="IM20" s="465">
        <v>0</v>
      </c>
      <c r="IN20" s="465">
        <v>0</v>
      </c>
      <c r="IO20" s="465">
        <v>0</v>
      </c>
      <c r="IP20" s="465">
        <v>0</v>
      </c>
      <c r="IQ20" s="465">
        <v>0</v>
      </c>
      <c r="IR20" s="465">
        <v>0</v>
      </c>
      <c r="IS20" s="465">
        <v>0</v>
      </c>
      <c r="IT20" s="465">
        <v>0</v>
      </c>
      <c r="IU20" s="465">
        <v>0</v>
      </c>
      <c r="IV20" s="465">
        <v>0</v>
      </c>
      <c r="IW20" s="465">
        <v>0</v>
      </c>
      <c r="IX20" s="465">
        <v>0</v>
      </c>
      <c r="IY20" s="465">
        <v>0</v>
      </c>
      <c r="IZ20" s="465">
        <v>0</v>
      </c>
      <c r="JA20" s="465">
        <v>0</v>
      </c>
      <c r="JB20" s="465">
        <v>0</v>
      </c>
      <c r="JC20" s="465">
        <v>0</v>
      </c>
      <c r="JD20" s="465">
        <v>0</v>
      </c>
      <c r="JE20" s="465">
        <v>0</v>
      </c>
      <c r="JF20" s="465">
        <v>0</v>
      </c>
      <c r="JG20" s="465">
        <v>0</v>
      </c>
      <c r="JH20" s="465">
        <v>0</v>
      </c>
      <c r="JI20" s="465">
        <v>0</v>
      </c>
      <c r="JJ20" s="465">
        <v>0</v>
      </c>
      <c r="JK20" s="465">
        <v>0</v>
      </c>
      <c r="JL20" s="465">
        <v>0</v>
      </c>
      <c r="JM20" s="465">
        <v>0</v>
      </c>
      <c r="JN20" s="465">
        <v>0</v>
      </c>
      <c r="JO20" s="465">
        <v>0</v>
      </c>
      <c r="JP20" s="465">
        <v>0</v>
      </c>
      <c r="JQ20" s="465">
        <v>0</v>
      </c>
      <c r="JR20" s="465">
        <v>0</v>
      </c>
      <c r="JS20" s="465">
        <v>0</v>
      </c>
      <c r="JT20" s="465">
        <v>0</v>
      </c>
      <c r="JU20" s="465">
        <v>0</v>
      </c>
      <c r="JV20" s="465">
        <v>0</v>
      </c>
      <c r="JW20" s="465">
        <v>0</v>
      </c>
      <c r="JX20" s="465">
        <v>0</v>
      </c>
      <c r="JY20" s="465">
        <v>0</v>
      </c>
      <c r="JZ20" s="465">
        <v>0</v>
      </c>
      <c r="KA20" s="465">
        <v>0</v>
      </c>
      <c r="KB20" s="465">
        <v>0</v>
      </c>
      <c r="KC20" s="465">
        <v>0</v>
      </c>
      <c r="KD20" s="465">
        <v>0</v>
      </c>
      <c r="KE20" s="465">
        <v>0</v>
      </c>
      <c r="KF20" s="465">
        <v>0</v>
      </c>
      <c r="KG20" s="465">
        <v>0</v>
      </c>
      <c r="KH20" s="465">
        <v>0</v>
      </c>
      <c r="KI20" s="465">
        <v>0</v>
      </c>
      <c r="KJ20" s="465">
        <v>0</v>
      </c>
      <c r="KK20" s="465">
        <v>0</v>
      </c>
      <c r="KL20" s="465">
        <v>0</v>
      </c>
      <c r="KM20" s="465">
        <v>0</v>
      </c>
      <c r="KN20" s="465">
        <v>0</v>
      </c>
      <c r="KO20" s="465">
        <v>0</v>
      </c>
      <c r="KP20" s="465">
        <v>0</v>
      </c>
      <c r="KQ20" s="465">
        <v>0</v>
      </c>
      <c r="KR20" s="465">
        <v>0</v>
      </c>
      <c r="KS20" s="465">
        <v>0</v>
      </c>
      <c r="KT20" s="465">
        <v>0</v>
      </c>
      <c r="KU20" s="465">
        <v>0</v>
      </c>
      <c r="KV20" s="465">
        <v>0</v>
      </c>
      <c r="KW20" s="465">
        <v>0</v>
      </c>
      <c r="KX20" s="465">
        <v>0</v>
      </c>
      <c r="KY20" s="465">
        <v>0</v>
      </c>
      <c r="KZ20" s="465">
        <v>0</v>
      </c>
      <c r="LA20" s="465">
        <v>0</v>
      </c>
      <c r="LB20" s="465">
        <v>0</v>
      </c>
      <c r="LC20" s="465">
        <v>0</v>
      </c>
      <c r="LD20" s="465">
        <v>0</v>
      </c>
      <c r="LE20" s="465">
        <v>0</v>
      </c>
      <c r="LF20" s="465">
        <v>0</v>
      </c>
      <c r="LG20" s="465">
        <v>0</v>
      </c>
      <c r="LH20" s="465">
        <v>21649</v>
      </c>
      <c r="LI20" s="465">
        <v>0</v>
      </c>
      <c r="LJ20" s="465">
        <v>0</v>
      </c>
      <c r="LK20" s="465">
        <v>0</v>
      </c>
      <c r="LL20" s="465">
        <v>0</v>
      </c>
      <c r="LM20" s="465">
        <v>0</v>
      </c>
      <c r="LN20" s="465">
        <v>0</v>
      </c>
      <c r="LO20" s="465">
        <v>0</v>
      </c>
      <c r="LP20" s="465">
        <v>0</v>
      </c>
      <c r="LQ20" s="465">
        <v>0</v>
      </c>
      <c r="LR20" s="465">
        <v>0</v>
      </c>
      <c r="LS20" s="465">
        <v>0</v>
      </c>
      <c r="LT20" s="465">
        <v>0</v>
      </c>
      <c r="LU20" s="465">
        <v>0</v>
      </c>
      <c r="LV20" s="465">
        <v>0</v>
      </c>
      <c r="LW20" s="465">
        <v>0</v>
      </c>
      <c r="LX20" s="465">
        <v>0</v>
      </c>
      <c r="LY20" s="465">
        <v>0</v>
      </c>
      <c r="LZ20" s="465">
        <v>0</v>
      </c>
      <c r="MA20" s="465">
        <v>0</v>
      </c>
      <c r="MB20" s="465">
        <v>0</v>
      </c>
      <c r="MC20" s="465">
        <v>0</v>
      </c>
      <c r="MD20" s="465">
        <v>0</v>
      </c>
      <c r="ME20" s="465">
        <v>0</v>
      </c>
      <c r="MF20" s="465">
        <v>0</v>
      </c>
      <c r="MG20" s="465">
        <v>0</v>
      </c>
      <c r="MH20" s="465">
        <v>0</v>
      </c>
      <c r="MI20" s="465">
        <v>0</v>
      </c>
      <c r="MJ20" s="465">
        <v>0</v>
      </c>
      <c r="MK20" s="465">
        <v>0</v>
      </c>
      <c r="ML20" s="465">
        <v>0</v>
      </c>
      <c r="MM20" s="465">
        <v>0</v>
      </c>
      <c r="MN20" s="465">
        <v>0</v>
      </c>
      <c r="MO20" s="465">
        <v>0</v>
      </c>
      <c r="MP20" s="465">
        <v>0</v>
      </c>
      <c r="MQ20" s="465">
        <v>0</v>
      </c>
      <c r="MR20" s="465">
        <v>534571</v>
      </c>
      <c r="MS20" s="465">
        <v>0</v>
      </c>
      <c r="MT20" s="465">
        <v>0</v>
      </c>
      <c r="MU20" s="465">
        <v>0</v>
      </c>
      <c r="MV20" s="465">
        <v>0</v>
      </c>
      <c r="MW20" s="465">
        <v>0</v>
      </c>
      <c r="MX20" s="465">
        <v>0</v>
      </c>
      <c r="MY20" s="465">
        <v>0</v>
      </c>
      <c r="MZ20" s="465">
        <v>0</v>
      </c>
      <c r="NA20" s="465">
        <v>0</v>
      </c>
      <c r="NB20" s="465">
        <v>0</v>
      </c>
      <c r="NC20" s="465">
        <v>0</v>
      </c>
      <c r="ND20" s="465">
        <v>0</v>
      </c>
      <c r="NE20" s="465">
        <v>0</v>
      </c>
      <c r="NF20" s="465">
        <v>0</v>
      </c>
      <c r="NG20" s="465">
        <v>0</v>
      </c>
      <c r="NH20" s="465">
        <v>0</v>
      </c>
      <c r="NI20" s="465">
        <v>0</v>
      </c>
      <c r="NJ20" s="465">
        <v>181</v>
      </c>
      <c r="NK20" s="465">
        <v>0</v>
      </c>
      <c r="NL20" s="465">
        <v>0</v>
      </c>
      <c r="NM20" s="465">
        <v>0</v>
      </c>
      <c r="NN20" s="465">
        <v>0</v>
      </c>
      <c r="NO20" s="465">
        <v>0</v>
      </c>
      <c r="NP20" s="465">
        <v>0</v>
      </c>
      <c r="NQ20" s="465">
        <v>0</v>
      </c>
      <c r="NR20" s="465">
        <v>0</v>
      </c>
      <c r="NS20" s="465">
        <v>0</v>
      </c>
      <c r="NT20" s="465">
        <v>0</v>
      </c>
      <c r="NU20" s="465">
        <v>0</v>
      </c>
      <c r="NV20" s="465">
        <v>0</v>
      </c>
      <c r="NW20" s="465">
        <v>0</v>
      </c>
      <c r="NX20" s="465">
        <v>0</v>
      </c>
      <c r="NY20" s="465">
        <v>0</v>
      </c>
      <c r="NZ20" s="465">
        <v>0</v>
      </c>
      <c r="OA20" s="465">
        <v>0</v>
      </c>
      <c r="OB20" s="465">
        <v>0</v>
      </c>
      <c r="OC20" s="465">
        <v>0</v>
      </c>
      <c r="OD20" s="465">
        <v>0</v>
      </c>
      <c r="OE20" s="465">
        <v>0</v>
      </c>
      <c r="OF20" s="465">
        <v>0</v>
      </c>
      <c r="OG20" s="465">
        <v>0</v>
      </c>
      <c r="OH20" s="465">
        <v>0</v>
      </c>
      <c r="OI20" s="465">
        <v>0</v>
      </c>
      <c r="OJ20" s="465">
        <v>0</v>
      </c>
      <c r="OK20" s="465">
        <v>0</v>
      </c>
      <c r="OL20" s="465">
        <v>0</v>
      </c>
      <c r="OM20" s="465">
        <v>0</v>
      </c>
      <c r="ON20" s="465">
        <v>0</v>
      </c>
      <c r="OO20" s="465">
        <v>0</v>
      </c>
      <c r="OP20" s="465">
        <v>0</v>
      </c>
      <c r="OQ20" s="465">
        <v>0</v>
      </c>
      <c r="OR20" s="465">
        <v>0</v>
      </c>
      <c r="OS20" s="465">
        <v>0</v>
      </c>
      <c r="OT20" s="465">
        <v>0</v>
      </c>
      <c r="OU20" s="465">
        <v>0</v>
      </c>
      <c r="OV20" s="465">
        <v>0</v>
      </c>
      <c r="OW20" s="465">
        <v>0</v>
      </c>
      <c r="OX20" s="465">
        <v>0</v>
      </c>
      <c r="OY20" s="465">
        <v>0</v>
      </c>
      <c r="OZ20" s="465">
        <v>0</v>
      </c>
      <c r="PA20" s="465">
        <v>0</v>
      </c>
      <c r="PB20" s="465">
        <v>0</v>
      </c>
      <c r="PC20" s="465">
        <v>0</v>
      </c>
      <c r="PD20" s="465">
        <v>0</v>
      </c>
      <c r="PE20" s="465">
        <v>0</v>
      </c>
      <c r="PF20" s="465">
        <v>0</v>
      </c>
      <c r="PG20" s="465">
        <v>0</v>
      </c>
      <c r="PH20" s="465">
        <v>0</v>
      </c>
      <c r="PI20" s="465">
        <v>0</v>
      </c>
      <c r="PJ20" s="465">
        <v>0</v>
      </c>
      <c r="PK20" s="465">
        <v>0</v>
      </c>
      <c r="PL20" s="465">
        <v>0</v>
      </c>
      <c r="PM20" s="465">
        <v>0</v>
      </c>
      <c r="PN20" s="465">
        <v>0</v>
      </c>
      <c r="PO20" s="465">
        <v>0</v>
      </c>
      <c r="PP20" s="465">
        <v>0</v>
      </c>
      <c r="PQ20" s="465">
        <v>0</v>
      </c>
      <c r="PR20" s="465">
        <v>0</v>
      </c>
      <c r="PS20" s="465">
        <v>0</v>
      </c>
      <c r="PT20" s="465">
        <v>0</v>
      </c>
      <c r="PU20" s="465">
        <v>0</v>
      </c>
      <c r="PV20" s="465">
        <v>0</v>
      </c>
      <c r="PW20" s="465">
        <v>0</v>
      </c>
      <c r="PX20" s="465">
        <v>0</v>
      </c>
      <c r="PY20" s="465">
        <v>0</v>
      </c>
      <c r="PZ20" s="465">
        <v>0</v>
      </c>
      <c r="QA20" s="465">
        <v>0</v>
      </c>
      <c r="QB20" s="465">
        <v>0</v>
      </c>
      <c r="QC20" s="465">
        <v>0</v>
      </c>
      <c r="QD20" s="465">
        <v>0</v>
      </c>
      <c r="QE20" s="465">
        <v>0</v>
      </c>
      <c r="QF20" s="465">
        <v>0</v>
      </c>
      <c r="QG20" s="465">
        <v>0</v>
      </c>
      <c r="QH20" s="465">
        <v>0</v>
      </c>
      <c r="QI20" s="465">
        <v>0</v>
      </c>
      <c r="QJ20" s="465">
        <v>0</v>
      </c>
      <c r="QK20" s="465">
        <v>0</v>
      </c>
      <c r="QL20" s="465">
        <v>0</v>
      </c>
      <c r="QM20" s="465">
        <v>0</v>
      </c>
      <c r="QN20" s="465">
        <v>0</v>
      </c>
      <c r="QO20" s="465">
        <v>0</v>
      </c>
      <c r="QP20" s="465">
        <v>0</v>
      </c>
      <c r="QQ20" s="465">
        <v>0</v>
      </c>
      <c r="QR20" s="465">
        <v>0</v>
      </c>
      <c r="QS20" s="465">
        <v>0</v>
      </c>
      <c r="QT20" s="465">
        <v>0</v>
      </c>
      <c r="QU20" s="465">
        <v>0</v>
      </c>
      <c r="QV20" s="465">
        <v>0</v>
      </c>
      <c r="QW20" s="465">
        <v>0</v>
      </c>
      <c r="QX20" s="465">
        <v>0</v>
      </c>
      <c r="QY20" s="465">
        <v>0</v>
      </c>
      <c r="QZ20" s="465">
        <v>0</v>
      </c>
      <c r="RA20" s="465">
        <v>0</v>
      </c>
      <c r="RB20" s="465">
        <v>0</v>
      </c>
      <c r="RC20" s="465">
        <v>0</v>
      </c>
      <c r="RD20" s="465">
        <v>0</v>
      </c>
      <c r="RE20" s="465">
        <v>0</v>
      </c>
      <c r="RF20" s="465">
        <v>0</v>
      </c>
      <c r="RG20" s="465">
        <v>0</v>
      </c>
      <c r="RH20" s="465">
        <v>0</v>
      </c>
      <c r="RI20" s="465">
        <v>0</v>
      </c>
      <c r="RJ20" s="465">
        <v>0</v>
      </c>
      <c r="RK20" s="465">
        <v>0</v>
      </c>
      <c r="RL20" s="465">
        <v>0</v>
      </c>
      <c r="RM20" s="465">
        <v>0</v>
      </c>
      <c r="RN20" s="465">
        <v>0</v>
      </c>
      <c r="RO20" s="465">
        <v>0</v>
      </c>
      <c r="RP20" s="465">
        <v>0</v>
      </c>
      <c r="RQ20" s="465">
        <v>0</v>
      </c>
      <c r="RR20" s="465">
        <v>0</v>
      </c>
      <c r="RS20" s="465">
        <v>0</v>
      </c>
      <c r="RT20" s="465">
        <v>0</v>
      </c>
      <c r="RU20" s="465">
        <v>0</v>
      </c>
      <c r="RV20" s="465">
        <v>0</v>
      </c>
      <c r="RW20" s="465">
        <v>0</v>
      </c>
      <c r="RX20" s="465">
        <v>0</v>
      </c>
      <c r="RY20" s="465">
        <v>0</v>
      </c>
      <c r="RZ20" s="465">
        <v>0</v>
      </c>
      <c r="SA20" s="465">
        <v>0</v>
      </c>
      <c r="SB20" s="465">
        <v>0</v>
      </c>
      <c r="SC20" s="465">
        <v>0</v>
      </c>
      <c r="SD20" s="465">
        <v>0</v>
      </c>
      <c r="SE20" s="465">
        <v>0</v>
      </c>
      <c r="SF20" s="465">
        <v>0</v>
      </c>
      <c r="SG20" s="465">
        <v>0</v>
      </c>
      <c r="SH20" s="465">
        <v>0</v>
      </c>
      <c r="SI20" s="465">
        <v>0</v>
      </c>
      <c r="SJ20" s="465">
        <v>0</v>
      </c>
      <c r="SK20" s="465">
        <v>0</v>
      </c>
      <c r="SL20" s="465">
        <v>0</v>
      </c>
      <c r="SM20" s="465">
        <v>0</v>
      </c>
      <c r="SN20" s="465">
        <v>0</v>
      </c>
      <c r="SO20" s="465">
        <v>0</v>
      </c>
      <c r="SP20" s="465">
        <v>0</v>
      </c>
      <c r="SQ20" s="465">
        <v>0</v>
      </c>
      <c r="SR20" s="465">
        <v>0</v>
      </c>
      <c r="SS20" s="465">
        <v>0</v>
      </c>
      <c r="ST20" s="465">
        <v>0</v>
      </c>
      <c r="SU20" s="465">
        <v>0</v>
      </c>
      <c r="SV20" s="465">
        <v>0</v>
      </c>
      <c r="SW20" s="465">
        <v>0</v>
      </c>
      <c r="SX20" s="465">
        <v>0</v>
      </c>
      <c r="SY20" s="465">
        <v>0</v>
      </c>
      <c r="SZ20" s="465">
        <v>0</v>
      </c>
      <c r="TA20" s="465">
        <v>0</v>
      </c>
      <c r="TB20" s="465">
        <v>0</v>
      </c>
      <c r="TC20" s="465">
        <v>0</v>
      </c>
      <c r="TD20" s="465">
        <v>0</v>
      </c>
      <c r="TE20" s="465">
        <v>0</v>
      </c>
      <c r="TF20" s="465">
        <v>-556401</v>
      </c>
      <c r="TG20" s="465">
        <v>0</v>
      </c>
      <c r="TH20" s="465">
        <v>0</v>
      </c>
      <c r="TI20" s="465">
        <v>0</v>
      </c>
      <c r="TJ20" s="465">
        <v>0</v>
      </c>
      <c r="TK20" s="465">
        <v>0</v>
      </c>
      <c r="TL20" s="465">
        <v>0</v>
      </c>
      <c r="TM20" s="465">
        <v>0</v>
      </c>
      <c r="TN20" s="465">
        <v>0</v>
      </c>
      <c r="TO20" s="465">
        <v>0</v>
      </c>
      <c r="TP20" s="465">
        <v>0</v>
      </c>
      <c r="TQ20" s="465">
        <v>0</v>
      </c>
      <c r="TR20" s="465">
        <v>0</v>
      </c>
      <c r="TS20" s="465">
        <v>0</v>
      </c>
      <c r="TT20" s="465">
        <v>0</v>
      </c>
      <c r="TU20" s="465">
        <v>0</v>
      </c>
      <c r="TV20" s="465">
        <v>0</v>
      </c>
      <c r="TW20" s="465">
        <v>0</v>
      </c>
      <c r="TX20" s="465">
        <v>0</v>
      </c>
      <c r="TY20" s="465">
        <v>0</v>
      </c>
      <c r="TZ20" s="465">
        <v>0</v>
      </c>
      <c r="UA20" s="465">
        <v>0</v>
      </c>
      <c r="UB20" s="465">
        <v>0</v>
      </c>
      <c r="UC20" s="465">
        <v>0</v>
      </c>
      <c r="UD20" s="465">
        <v>0</v>
      </c>
      <c r="UE20" s="465">
        <v>0</v>
      </c>
      <c r="UF20" s="465">
        <v>0</v>
      </c>
      <c r="UG20" s="465">
        <v>0</v>
      </c>
      <c r="UH20" s="465">
        <v>0</v>
      </c>
      <c r="UI20" s="465">
        <v>0</v>
      </c>
      <c r="UJ20" s="465">
        <v>0</v>
      </c>
      <c r="UK20" s="465">
        <v>0</v>
      </c>
      <c r="UL20" s="465">
        <v>0</v>
      </c>
      <c r="UM20" s="465">
        <v>0</v>
      </c>
      <c r="UN20" s="465">
        <v>0</v>
      </c>
      <c r="UO20" s="465">
        <v>21649</v>
      </c>
      <c r="UP20" s="465">
        <v>0</v>
      </c>
      <c r="UQ20" s="465">
        <v>0</v>
      </c>
      <c r="UR20" s="465">
        <v>0</v>
      </c>
      <c r="US20" s="465">
        <v>534571</v>
      </c>
      <c r="UT20" s="465">
        <v>0</v>
      </c>
      <c r="UU20" s="465">
        <v>181</v>
      </c>
      <c r="UV20" s="465">
        <v>0</v>
      </c>
      <c r="UW20" s="465">
        <v>0</v>
      </c>
      <c r="UX20" s="465">
        <v>0</v>
      </c>
      <c r="UY20" s="465">
        <v>0</v>
      </c>
      <c r="UZ20" s="465">
        <v>0</v>
      </c>
      <c r="VA20" s="465">
        <v>0</v>
      </c>
      <c r="VB20" s="465">
        <v>0</v>
      </c>
      <c r="VC20" s="465" t="s">
        <v>1594</v>
      </c>
      <c r="VD20" s="465" t="s">
        <v>1595</v>
      </c>
      <c r="VE20" s="465" t="s">
        <v>1596</v>
      </c>
    </row>
    <row r="21" spans="1:577" s="331" customFormat="1" ht="60.6" thickBot="1">
      <c r="A21" s="469">
        <v>460</v>
      </c>
      <c r="B21" s="326" t="s">
        <v>34</v>
      </c>
      <c r="C21" s="332" t="s">
        <v>944</v>
      </c>
      <c r="D21" s="329" t="s">
        <v>428</v>
      </c>
      <c r="E21" s="329">
        <v>999130</v>
      </c>
      <c r="F21" s="464">
        <v>797390811</v>
      </c>
      <c r="G21" s="329" t="s">
        <v>1572</v>
      </c>
      <c r="H21" s="331" t="s">
        <v>34</v>
      </c>
      <c r="M21" s="465">
        <v>112276178</v>
      </c>
      <c r="N21" s="465">
        <v>0</v>
      </c>
      <c r="O21" s="465">
        <v>0</v>
      </c>
      <c r="P21" s="465">
        <v>0</v>
      </c>
      <c r="Q21" s="465">
        <v>0</v>
      </c>
      <c r="R21" s="465">
        <v>0</v>
      </c>
      <c r="S21" s="465">
        <v>0</v>
      </c>
      <c r="T21" s="465">
        <v>0</v>
      </c>
      <c r="U21" s="465">
        <v>0</v>
      </c>
      <c r="V21" s="465">
        <v>900772</v>
      </c>
      <c r="W21" s="465">
        <v>0</v>
      </c>
      <c r="X21" s="465">
        <v>0</v>
      </c>
      <c r="Y21" s="465">
        <v>1191897</v>
      </c>
      <c r="Z21" s="465">
        <v>0</v>
      </c>
      <c r="AA21" s="465">
        <v>0</v>
      </c>
      <c r="AB21" s="465">
        <v>0</v>
      </c>
      <c r="AC21" s="465">
        <v>0</v>
      </c>
      <c r="AD21" s="465">
        <v>0</v>
      </c>
      <c r="AE21" s="465">
        <v>0</v>
      </c>
      <c r="AF21" s="465">
        <v>0</v>
      </c>
      <c r="AG21" s="465">
        <v>0</v>
      </c>
      <c r="AH21" s="465">
        <v>0</v>
      </c>
      <c r="AI21" s="465">
        <v>0</v>
      </c>
      <c r="AJ21" s="465">
        <v>0</v>
      </c>
      <c r="AK21" s="465">
        <v>0</v>
      </c>
      <c r="AL21" s="465">
        <v>0</v>
      </c>
      <c r="AM21" s="465">
        <v>0</v>
      </c>
      <c r="AN21" s="465">
        <v>15125502</v>
      </c>
      <c r="AO21" s="465">
        <v>0</v>
      </c>
      <c r="AP21" s="465">
        <v>0</v>
      </c>
      <c r="AQ21" s="465">
        <v>0</v>
      </c>
      <c r="AR21" s="465">
        <v>0</v>
      </c>
      <c r="AS21" s="465">
        <v>0</v>
      </c>
      <c r="AT21" s="465">
        <v>0</v>
      </c>
      <c r="AU21" s="465">
        <v>0</v>
      </c>
      <c r="AV21" s="465">
        <v>0</v>
      </c>
      <c r="AW21" s="465">
        <v>0</v>
      </c>
      <c r="AX21" s="465">
        <v>0</v>
      </c>
      <c r="AY21" s="465">
        <v>0</v>
      </c>
      <c r="AZ21" s="465">
        <v>0</v>
      </c>
      <c r="BA21" s="465">
        <v>0</v>
      </c>
      <c r="BB21" s="465">
        <v>0</v>
      </c>
      <c r="BC21" s="465">
        <v>0</v>
      </c>
      <c r="BD21" s="465">
        <v>0</v>
      </c>
      <c r="BE21" s="465">
        <v>0</v>
      </c>
      <c r="BF21" s="465">
        <v>0</v>
      </c>
      <c r="BG21" s="465">
        <v>0</v>
      </c>
      <c r="BH21" s="465">
        <v>0</v>
      </c>
      <c r="BI21" s="465">
        <v>0</v>
      </c>
      <c r="BJ21" s="465">
        <v>0</v>
      </c>
      <c r="BK21" s="465">
        <v>0</v>
      </c>
      <c r="BL21" s="465">
        <v>0</v>
      </c>
      <c r="BM21" s="465">
        <v>0</v>
      </c>
      <c r="BN21" s="465">
        <v>0</v>
      </c>
      <c r="BO21" s="465">
        <v>-1658001</v>
      </c>
      <c r="BP21" s="465">
        <v>-546181</v>
      </c>
      <c r="BQ21" s="465">
        <v>0</v>
      </c>
      <c r="BR21" s="465">
        <v>0</v>
      </c>
      <c r="BS21" s="465">
        <v>0</v>
      </c>
      <c r="BT21" s="465">
        <v>0</v>
      </c>
      <c r="BU21" s="465">
        <v>0</v>
      </c>
      <c r="BV21" s="465">
        <v>0</v>
      </c>
      <c r="BW21" s="465">
        <v>0</v>
      </c>
      <c r="BX21" s="465">
        <v>0</v>
      </c>
      <c r="BY21" s="465">
        <v>0</v>
      </c>
      <c r="BZ21" s="465">
        <v>0</v>
      </c>
      <c r="CA21" s="465">
        <v>0</v>
      </c>
      <c r="CB21" s="465">
        <v>0</v>
      </c>
      <c r="CC21" s="465">
        <v>0</v>
      </c>
      <c r="CD21" s="465">
        <v>0</v>
      </c>
      <c r="CE21" s="465">
        <v>0</v>
      </c>
      <c r="CF21" s="465">
        <v>0</v>
      </c>
      <c r="CG21" s="465">
        <v>0</v>
      </c>
      <c r="CH21" s="465">
        <v>0</v>
      </c>
      <c r="CI21" s="465">
        <v>0</v>
      </c>
      <c r="CJ21" s="465">
        <v>0</v>
      </c>
      <c r="CK21" s="465">
        <v>0</v>
      </c>
      <c r="CL21" s="465">
        <v>0</v>
      </c>
      <c r="CM21" s="465">
        <v>0</v>
      </c>
      <c r="CN21" s="465">
        <v>0</v>
      </c>
      <c r="CO21" s="465">
        <v>0</v>
      </c>
      <c r="CP21" s="465">
        <v>12607301</v>
      </c>
      <c r="CQ21" s="465">
        <v>12831590</v>
      </c>
      <c r="CR21" s="465">
        <v>0</v>
      </c>
      <c r="CS21" s="465">
        <v>0</v>
      </c>
      <c r="CT21" s="465">
        <v>0</v>
      </c>
      <c r="CU21" s="465">
        <v>0</v>
      </c>
      <c r="CV21" s="465">
        <v>0</v>
      </c>
      <c r="CW21" s="465">
        <v>0</v>
      </c>
      <c r="CX21" s="465">
        <v>0</v>
      </c>
      <c r="CY21" s="465">
        <v>0</v>
      </c>
      <c r="CZ21" s="465">
        <v>0</v>
      </c>
      <c r="DA21" s="465">
        <v>0</v>
      </c>
      <c r="DB21" s="465">
        <v>0</v>
      </c>
      <c r="DC21" s="465">
        <v>0</v>
      </c>
      <c r="DD21" s="465">
        <v>0</v>
      </c>
      <c r="DE21" s="465">
        <v>0</v>
      </c>
      <c r="DF21" s="465">
        <v>0</v>
      </c>
      <c r="DG21" s="465">
        <v>0</v>
      </c>
      <c r="DH21" s="465">
        <v>0</v>
      </c>
      <c r="DI21" s="465">
        <v>0</v>
      </c>
      <c r="DJ21" s="465">
        <v>0</v>
      </c>
      <c r="DK21" s="465">
        <v>0</v>
      </c>
      <c r="DL21" s="465">
        <v>0</v>
      </c>
      <c r="DM21" s="465">
        <v>0</v>
      </c>
      <c r="DN21" s="465">
        <v>0</v>
      </c>
      <c r="DO21" s="465">
        <v>0</v>
      </c>
      <c r="DP21" s="465">
        <v>0</v>
      </c>
      <c r="DQ21" s="465">
        <v>0</v>
      </c>
      <c r="DR21" s="465">
        <v>0</v>
      </c>
      <c r="DS21" s="465">
        <v>0</v>
      </c>
      <c r="DT21" s="465">
        <v>0</v>
      </c>
      <c r="DU21" s="465">
        <v>0</v>
      </c>
      <c r="DV21" s="465">
        <v>0</v>
      </c>
      <c r="DW21" s="465">
        <v>0</v>
      </c>
      <c r="DX21" s="465">
        <v>0</v>
      </c>
      <c r="DY21" s="465">
        <v>0</v>
      </c>
      <c r="DZ21" s="465">
        <v>0</v>
      </c>
      <c r="EA21" s="465">
        <v>0</v>
      </c>
      <c r="EB21" s="465">
        <v>0</v>
      </c>
      <c r="EC21" s="465">
        <v>0</v>
      </c>
      <c r="ED21" s="465">
        <v>0</v>
      </c>
      <c r="EE21" s="465">
        <v>0</v>
      </c>
      <c r="EF21" s="465">
        <v>0</v>
      </c>
      <c r="EG21" s="465">
        <v>0</v>
      </c>
      <c r="EH21" s="465">
        <v>0</v>
      </c>
      <c r="EI21" s="465">
        <v>-894513</v>
      </c>
      <c r="EJ21" s="465">
        <v>-1373941</v>
      </c>
      <c r="EK21" s="465">
        <v>0</v>
      </c>
      <c r="EL21" s="465">
        <v>0</v>
      </c>
      <c r="EM21" s="465">
        <v>0</v>
      </c>
      <c r="EN21" s="465">
        <v>0</v>
      </c>
      <c r="EO21" s="465">
        <v>0</v>
      </c>
      <c r="EP21" s="465">
        <v>0</v>
      </c>
      <c r="EQ21" s="465">
        <v>0</v>
      </c>
      <c r="ER21" s="465">
        <v>0</v>
      </c>
      <c r="ES21" s="465">
        <v>0</v>
      </c>
      <c r="ET21" s="465">
        <v>0</v>
      </c>
      <c r="EU21" s="465">
        <v>0</v>
      </c>
      <c r="EV21" s="465">
        <v>0</v>
      </c>
      <c r="EW21" s="465">
        <v>0</v>
      </c>
      <c r="EX21" s="465">
        <v>0</v>
      </c>
      <c r="EY21" s="465">
        <v>0</v>
      </c>
      <c r="EZ21" s="465">
        <v>0</v>
      </c>
      <c r="FA21" s="465">
        <v>0</v>
      </c>
      <c r="FB21" s="465">
        <v>0</v>
      </c>
      <c r="FC21" s="465">
        <v>0</v>
      </c>
      <c r="FD21" s="465">
        <v>0</v>
      </c>
      <c r="FE21" s="465">
        <v>0</v>
      </c>
      <c r="FF21" s="465">
        <v>0</v>
      </c>
      <c r="FG21" s="465">
        <v>0</v>
      </c>
      <c r="FH21" s="465">
        <v>0</v>
      </c>
      <c r="FI21" s="465">
        <v>0</v>
      </c>
      <c r="FJ21" s="465">
        <v>0</v>
      </c>
      <c r="FK21" s="465">
        <v>0</v>
      </c>
      <c r="FL21" s="465">
        <v>0</v>
      </c>
      <c r="FM21" s="465">
        <v>0</v>
      </c>
      <c r="FN21" s="465">
        <v>0</v>
      </c>
      <c r="FO21" s="465">
        <v>0</v>
      </c>
      <c r="FP21" s="465">
        <v>0</v>
      </c>
      <c r="FQ21" s="465">
        <v>0</v>
      </c>
      <c r="FR21" s="465">
        <v>0</v>
      </c>
      <c r="FS21" s="465">
        <v>0</v>
      </c>
      <c r="FT21" s="465">
        <v>0</v>
      </c>
      <c r="FU21" s="465">
        <v>0</v>
      </c>
      <c r="FV21" s="465">
        <v>0</v>
      </c>
      <c r="FW21" s="465">
        <v>0</v>
      </c>
      <c r="FX21" s="465">
        <v>0</v>
      </c>
      <c r="FY21" s="465">
        <v>0</v>
      </c>
      <c r="FZ21" s="465">
        <v>0</v>
      </c>
      <c r="GA21" s="465">
        <v>0</v>
      </c>
      <c r="GB21" s="465">
        <v>24149</v>
      </c>
      <c r="GC21" s="465">
        <v>11872058</v>
      </c>
      <c r="GD21" s="465">
        <v>0</v>
      </c>
      <c r="GE21" s="465">
        <v>0</v>
      </c>
      <c r="GF21" s="465">
        <v>0</v>
      </c>
      <c r="GG21" s="465">
        <v>0</v>
      </c>
      <c r="GH21" s="465">
        <v>0</v>
      </c>
      <c r="GI21" s="465">
        <v>0</v>
      </c>
      <c r="GJ21" s="465">
        <v>0</v>
      </c>
      <c r="GK21" s="465">
        <v>0</v>
      </c>
      <c r="GL21" s="465">
        <v>0</v>
      </c>
      <c r="GM21" s="465">
        <v>0</v>
      </c>
      <c r="GN21" s="465">
        <v>0</v>
      </c>
      <c r="GO21" s="465">
        <v>0</v>
      </c>
      <c r="GP21" s="465">
        <v>0</v>
      </c>
      <c r="GQ21" s="465">
        <v>0</v>
      </c>
      <c r="GR21" s="465">
        <v>0</v>
      </c>
      <c r="GS21" s="465">
        <v>0</v>
      </c>
      <c r="GT21" s="465">
        <v>0</v>
      </c>
      <c r="GU21" s="465">
        <v>0</v>
      </c>
      <c r="GV21" s="465">
        <v>0</v>
      </c>
      <c r="GW21" s="465">
        <v>0</v>
      </c>
      <c r="GX21" s="465">
        <v>0</v>
      </c>
      <c r="GY21" s="465">
        <v>0</v>
      </c>
      <c r="GZ21" s="465">
        <v>0</v>
      </c>
      <c r="HA21" s="465">
        <v>0</v>
      </c>
      <c r="HB21" s="465">
        <v>0</v>
      </c>
      <c r="HC21" s="465">
        <v>0</v>
      </c>
      <c r="HD21" s="465">
        <v>0</v>
      </c>
      <c r="HE21" s="465">
        <v>0</v>
      </c>
      <c r="HF21" s="465">
        <v>0</v>
      </c>
      <c r="HG21" s="465">
        <v>0</v>
      </c>
      <c r="HH21" s="465">
        <v>0</v>
      </c>
      <c r="HI21" s="465">
        <v>0</v>
      </c>
      <c r="HJ21" s="465">
        <v>0</v>
      </c>
      <c r="HK21" s="465">
        <v>0</v>
      </c>
      <c r="HL21" s="465">
        <v>0</v>
      </c>
      <c r="HM21" s="465">
        <v>0</v>
      </c>
      <c r="HN21" s="465">
        <v>0</v>
      </c>
      <c r="HO21" s="465">
        <v>0</v>
      </c>
      <c r="HP21" s="465">
        <v>0</v>
      </c>
      <c r="HQ21" s="465">
        <v>0</v>
      </c>
      <c r="HR21" s="465">
        <v>0</v>
      </c>
      <c r="HS21" s="465">
        <v>0</v>
      </c>
      <c r="HT21" s="465">
        <v>0</v>
      </c>
      <c r="HU21" s="465">
        <v>0</v>
      </c>
      <c r="HV21" s="465">
        <v>-588832</v>
      </c>
      <c r="HW21" s="465">
        <v>0</v>
      </c>
      <c r="HX21" s="465">
        <v>0</v>
      </c>
      <c r="HY21" s="465">
        <v>0</v>
      </c>
      <c r="HZ21" s="465">
        <v>0</v>
      </c>
      <c r="IA21" s="465">
        <v>0</v>
      </c>
      <c r="IB21" s="465">
        <v>0</v>
      </c>
      <c r="IC21" s="465">
        <v>0</v>
      </c>
      <c r="ID21" s="465">
        <v>0</v>
      </c>
      <c r="IE21" s="465">
        <v>5131698</v>
      </c>
      <c r="IF21" s="465">
        <v>0</v>
      </c>
      <c r="IG21" s="465">
        <v>50130030</v>
      </c>
      <c r="IH21" s="465">
        <v>0</v>
      </c>
      <c r="II21" s="465">
        <v>0</v>
      </c>
      <c r="IJ21" s="465">
        <v>0</v>
      </c>
      <c r="IK21" s="465">
        <v>0</v>
      </c>
      <c r="IL21" s="465">
        <v>0</v>
      </c>
      <c r="IM21" s="465">
        <v>0</v>
      </c>
      <c r="IN21" s="465">
        <v>12885666</v>
      </c>
      <c r="IO21" s="465">
        <v>0</v>
      </c>
      <c r="IP21" s="465">
        <v>0</v>
      </c>
      <c r="IQ21" s="465">
        <v>0</v>
      </c>
      <c r="IR21" s="465">
        <v>0</v>
      </c>
      <c r="IS21" s="465">
        <v>0</v>
      </c>
      <c r="IT21" s="465">
        <v>0</v>
      </c>
      <c r="IU21" s="465">
        <v>0</v>
      </c>
      <c r="IV21" s="465">
        <v>0</v>
      </c>
      <c r="IW21" s="465">
        <v>0</v>
      </c>
      <c r="IX21" s="465">
        <v>0</v>
      </c>
      <c r="IY21" s="465">
        <v>0</v>
      </c>
      <c r="IZ21" s="465">
        <v>0</v>
      </c>
      <c r="JA21" s="465">
        <v>0</v>
      </c>
      <c r="JB21" s="465">
        <v>0</v>
      </c>
      <c r="JC21" s="465">
        <v>0</v>
      </c>
      <c r="JD21" s="465">
        <v>0</v>
      </c>
      <c r="JE21" s="465">
        <v>20398</v>
      </c>
      <c r="JF21" s="465">
        <v>12506165</v>
      </c>
      <c r="JG21" s="465">
        <v>0</v>
      </c>
      <c r="JH21" s="465">
        <v>2634087</v>
      </c>
      <c r="JI21" s="465">
        <v>-4949</v>
      </c>
      <c r="JJ21" s="465">
        <v>1461478</v>
      </c>
      <c r="JK21" s="465">
        <v>0</v>
      </c>
      <c r="JL21" s="465">
        <v>0</v>
      </c>
      <c r="JM21" s="465">
        <v>0</v>
      </c>
      <c r="JN21" s="465">
        <v>0</v>
      </c>
      <c r="JO21" s="465">
        <v>389369</v>
      </c>
      <c r="JP21" s="465">
        <v>0</v>
      </c>
      <c r="JQ21" s="465">
        <v>657487</v>
      </c>
      <c r="JR21" s="465">
        <v>0</v>
      </c>
      <c r="JS21" s="465">
        <v>0</v>
      </c>
      <c r="JT21" s="465">
        <v>0</v>
      </c>
      <c r="JU21" s="465">
        <v>0</v>
      </c>
      <c r="JV21" s="465">
        <v>0</v>
      </c>
      <c r="JW21" s="465">
        <v>0</v>
      </c>
      <c r="JX21" s="465">
        <v>2071497</v>
      </c>
      <c r="JY21" s="465">
        <v>0</v>
      </c>
      <c r="JZ21" s="465">
        <v>1880346</v>
      </c>
      <c r="KA21" s="465">
        <v>0</v>
      </c>
      <c r="KB21" s="465">
        <v>0</v>
      </c>
      <c r="KC21" s="465">
        <v>0</v>
      </c>
      <c r="KD21" s="465">
        <v>0</v>
      </c>
      <c r="KE21" s="465">
        <v>0</v>
      </c>
      <c r="KF21" s="465">
        <v>0</v>
      </c>
      <c r="KG21" s="465">
        <v>52433326</v>
      </c>
      <c r="KH21" s="465">
        <v>0</v>
      </c>
      <c r="KI21" s="465">
        <v>56851</v>
      </c>
      <c r="KJ21" s="465">
        <v>322</v>
      </c>
      <c r="KK21" s="465">
        <v>0</v>
      </c>
      <c r="KL21" s="465">
        <v>0</v>
      </c>
      <c r="KM21" s="465">
        <v>0</v>
      </c>
      <c r="KN21" s="465">
        <v>0</v>
      </c>
      <c r="KO21" s="465">
        <v>0</v>
      </c>
      <c r="KP21" s="465">
        <v>0</v>
      </c>
      <c r="KQ21" s="465">
        <v>695653</v>
      </c>
      <c r="KR21" s="465">
        <v>0</v>
      </c>
      <c r="KS21" s="465">
        <v>0</v>
      </c>
      <c r="KT21" s="465">
        <v>0</v>
      </c>
      <c r="KU21" s="465">
        <v>0</v>
      </c>
      <c r="KV21" s="465">
        <v>0</v>
      </c>
      <c r="KW21" s="465">
        <v>0</v>
      </c>
      <c r="KX21" s="465">
        <v>275</v>
      </c>
      <c r="KY21" s="465">
        <v>6681558</v>
      </c>
      <c r="KZ21" s="465">
        <v>0</v>
      </c>
      <c r="LA21" s="465">
        <v>143011</v>
      </c>
      <c r="LB21" s="465">
        <v>30590</v>
      </c>
      <c r="LC21" s="465">
        <v>0</v>
      </c>
      <c r="LD21" s="465">
        <v>0</v>
      </c>
      <c r="LE21" s="465">
        <v>0</v>
      </c>
      <c r="LF21" s="465">
        <v>-732139</v>
      </c>
      <c r="LG21" s="465">
        <v>46750586</v>
      </c>
      <c r="LH21" s="465">
        <v>30509622</v>
      </c>
      <c r="LI21" s="465">
        <v>0</v>
      </c>
      <c r="LJ21" s="465">
        <v>2300177</v>
      </c>
      <c r="LK21" s="465">
        <v>0</v>
      </c>
      <c r="LL21" s="465">
        <v>0</v>
      </c>
      <c r="LM21" s="465">
        <v>0</v>
      </c>
      <c r="LN21" s="465">
        <v>0</v>
      </c>
      <c r="LO21" s="465">
        <v>0</v>
      </c>
      <c r="LP21" s="465">
        <v>2993099</v>
      </c>
      <c r="LQ21" s="465">
        <v>8129319</v>
      </c>
      <c r="LR21" s="465">
        <v>0</v>
      </c>
      <c r="LS21" s="465">
        <v>35293862</v>
      </c>
      <c r="LT21" s="465">
        <v>0</v>
      </c>
      <c r="LU21" s="465">
        <v>0</v>
      </c>
      <c r="LV21" s="465">
        <v>0</v>
      </c>
      <c r="LW21" s="465">
        <v>0</v>
      </c>
      <c r="LX21" s="465">
        <v>0</v>
      </c>
      <c r="LY21" s="465">
        <v>19194062</v>
      </c>
      <c r="LZ21" s="465">
        <v>21050906</v>
      </c>
      <c r="MA21" s="465">
        <v>0</v>
      </c>
      <c r="MB21" s="465">
        <v>6271699</v>
      </c>
      <c r="MC21" s="465">
        <v>0</v>
      </c>
      <c r="MD21" s="465">
        <v>0</v>
      </c>
      <c r="ME21" s="465">
        <v>0</v>
      </c>
      <c r="MF21" s="465">
        <v>0</v>
      </c>
      <c r="MG21" s="465">
        <v>0</v>
      </c>
      <c r="MH21" s="465">
        <v>0</v>
      </c>
      <c r="MI21" s="465">
        <v>0</v>
      </c>
      <c r="MJ21" s="465">
        <v>0</v>
      </c>
      <c r="MK21" s="465">
        <v>0</v>
      </c>
      <c r="ML21" s="465">
        <v>0</v>
      </c>
      <c r="MM21" s="465">
        <v>0</v>
      </c>
      <c r="MN21" s="465">
        <v>0</v>
      </c>
      <c r="MO21" s="465">
        <v>0</v>
      </c>
      <c r="MP21" s="465">
        <v>0</v>
      </c>
      <c r="MQ21" s="465">
        <v>16043698</v>
      </c>
      <c r="MR21" s="465">
        <v>11571035</v>
      </c>
      <c r="MS21" s="465">
        <v>0</v>
      </c>
      <c r="MT21" s="465">
        <v>329496</v>
      </c>
      <c r="MU21" s="465">
        <v>0</v>
      </c>
      <c r="MV21" s="465">
        <v>0</v>
      </c>
      <c r="MW21" s="465">
        <v>0</v>
      </c>
      <c r="MX21" s="465">
        <v>0</v>
      </c>
      <c r="MY21" s="465">
        <v>0</v>
      </c>
      <c r="MZ21" s="465">
        <v>4205952</v>
      </c>
      <c r="NA21" s="465">
        <v>3762476</v>
      </c>
      <c r="NB21" s="465">
        <v>0</v>
      </c>
      <c r="NC21" s="465">
        <v>40525</v>
      </c>
      <c r="ND21" s="465">
        <v>9635</v>
      </c>
      <c r="NE21" s="465">
        <v>0</v>
      </c>
      <c r="NF21" s="465">
        <v>0</v>
      </c>
      <c r="NG21" s="465">
        <v>0</v>
      </c>
      <c r="NH21" s="465">
        <v>0</v>
      </c>
      <c r="NI21" s="465">
        <v>14630723</v>
      </c>
      <c r="NJ21" s="465">
        <v>6741823</v>
      </c>
      <c r="NK21" s="465">
        <v>0</v>
      </c>
      <c r="NL21" s="465">
        <v>380580</v>
      </c>
      <c r="NM21" s="465">
        <v>0</v>
      </c>
      <c r="NN21" s="465">
        <v>107653</v>
      </c>
      <c r="NO21" s="465">
        <v>209</v>
      </c>
      <c r="NP21" s="465">
        <v>0</v>
      </c>
      <c r="NQ21" s="465">
        <v>0</v>
      </c>
      <c r="NR21" s="465">
        <v>13474790</v>
      </c>
      <c r="NS21" s="465">
        <v>3431219</v>
      </c>
      <c r="NT21" s="465">
        <v>0</v>
      </c>
      <c r="NU21" s="465">
        <v>23591</v>
      </c>
      <c r="NV21" s="465">
        <v>0</v>
      </c>
      <c r="NW21" s="465">
        <v>0</v>
      </c>
      <c r="NX21" s="465">
        <v>0</v>
      </c>
      <c r="NY21" s="465">
        <v>0</v>
      </c>
      <c r="NZ21" s="465">
        <v>118660</v>
      </c>
      <c r="OA21" s="465">
        <v>386100</v>
      </c>
      <c r="OB21" s="465">
        <v>691790</v>
      </c>
      <c r="OC21" s="465">
        <v>0</v>
      </c>
      <c r="OD21" s="465">
        <v>1409775</v>
      </c>
      <c r="OE21" s="465">
        <v>124600</v>
      </c>
      <c r="OF21" s="465">
        <v>0</v>
      </c>
      <c r="OG21" s="465">
        <v>0</v>
      </c>
      <c r="OH21" s="465">
        <v>0</v>
      </c>
      <c r="OI21" s="465">
        <v>0</v>
      </c>
      <c r="OJ21" s="465">
        <v>0</v>
      </c>
      <c r="OK21" s="465">
        <v>0</v>
      </c>
      <c r="OL21" s="465">
        <v>177508</v>
      </c>
      <c r="OM21" s="465">
        <v>0</v>
      </c>
      <c r="ON21" s="465">
        <v>0</v>
      </c>
      <c r="OO21" s="465">
        <v>0</v>
      </c>
      <c r="OP21" s="465">
        <v>0</v>
      </c>
      <c r="OQ21" s="465">
        <v>0</v>
      </c>
      <c r="OR21" s="465">
        <v>0</v>
      </c>
      <c r="OS21" s="465">
        <v>7174829</v>
      </c>
      <c r="OT21" s="465">
        <v>4517492</v>
      </c>
      <c r="OU21" s="465">
        <v>14600</v>
      </c>
      <c r="OV21" s="465">
        <v>188455</v>
      </c>
      <c r="OW21" s="465">
        <v>0</v>
      </c>
      <c r="OX21" s="465">
        <v>0</v>
      </c>
      <c r="OY21" s="465">
        <v>0</v>
      </c>
      <c r="OZ21" s="465">
        <v>0</v>
      </c>
      <c r="PA21" s="465">
        <v>0</v>
      </c>
      <c r="PB21" s="465">
        <v>-6574</v>
      </c>
      <c r="PC21" s="465">
        <v>171648</v>
      </c>
      <c r="PD21" s="465">
        <v>0</v>
      </c>
      <c r="PE21" s="465">
        <v>691263</v>
      </c>
      <c r="PF21" s="465">
        <v>-209852</v>
      </c>
      <c r="PG21" s="465">
        <v>0</v>
      </c>
      <c r="PH21" s="465">
        <v>0</v>
      </c>
      <c r="PI21" s="465">
        <v>0</v>
      </c>
      <c r="PJ21" s="465">
        <v>-126125</v>
      </c>
      <c r="PK21" s="465">
        <v>0</v>
      </c>
      <c r="PL21" s="465">
        <v>0</v>
      </c>
      <c r="PM21" s="465">
        <v>0</v>
      </c>
      <c r="PN21" s="465">
        <v>0</v>
      </c>
      <c r="PO21" s="465">
        <v>0</v>
      </c>
      <c r="PP21" s="465">
        <v>0</v>
      </c>
      <c r="PQ21" s="465">
        <v>0</v>
      </c>
      <c r="PR21" s="465">
        <v>0</v>
      </c>
      <c r="PS21" s="465">
        <v>-14506248</v>
      </c>
      <c r="PT21" s="465">
        <v>-18841172</v>
      </c>
      <c r="PU21" s="465">
        <v>-4516296</v>
      </c>
      <c r="PV21" s="465">
        <v>-173040</v>
      </c>
      <c r="PW21" s="465">
        <v>598413</v>
      </c>
      <c r="PX21" s="465">
        <v>874902</v>
      </c>
      <c r="PY21" s="465">
        <v>-1065430</v>
      </c>
      <c r="PZ21" s="465">
        <v>0</v>
      </c>
      <c r="QA21" s="465">
        <v>-14175088</v>
      </c>
      <c r="QB21" s="465">
        <v>17786749</v>
      </c>
      <c r="QC21" s="465">
        <v>0</v>
      </c>
      <c r="QD21" s="465">
        <v>0</v>
      </c>
      <c r="QE21" s="465">
        <v>0</v>
      </c>
      <c r="QF21" s="465">
        <v>0</v>
      </c>
      <c r="QG21" s="465">
        <v>0</v>
      </c>
      <c r="QH21" s="465">
        <v>0</v>
      </c>
      <c r="QI21" s="465">
        <v>0</v>
      </c>
      <c r="QJ21" s="465">
        <v>0</v>
      </c>
      <c r="QK21" s="465">
        <v>0</v>
      </c>
      <c r="QL21" s="465">
        <v>0</v>
      </c>
      <c r="QM21" s="465">
        <v>0</v>
      </c>
      <c r="QN21" s="465">
        <v>0</v>
      </c>
      <c r="QO21" s="465">
        <v>0</v>
      </c>
      <c r="QP21" s="465">
        <v>0</v>
      </c>
      <c r="QQ21" s="465">
        <v>0</v>
      </c>
      <c r="QR21" s="465">
        <v>0</v>
      </c>
      <c r="QS21" s="465">
        <v>0</v>
      </c>
      <c r="QT21" s="465">
        <v>-866</v>
      </c>
      <c r="QU21" s="465">
        <v>0</v>
      </c>
      <c r="QV21" s="465">
        <v>-24975391</v>
      </c>
      <c r="QW21" s="465">
        <v>0</v>
      </c>
      <c r="QX21" s="465">
        <v>0</v>
      </c>
      <c r="QY21" s="465">
        <v>0</v>
      </c>
      <c r="QZ21" s="465">
        <v>-9004542</v>
      </c>
      <c r="RA21" s="465">
        <v>0</v>
      </c>
      <c r="RB21" s="465">
        <v>0</v>
      </c>
      <c r="RC21" s="465">
        <v>0</v>
      </c>
      <c r="RD21" s="465">
        <v>0</v>
      </c>
      <c r="RE21" s="465">
        <v>0</v>
      </c>
      <c r="RF21" s="465">
        <v>0</v>
      </c>
      <c r="RG21" s="465">
        <v>0</v>
      </c>
      <c r="RH21" s="465">
        <v>0</v>
      </c>
      <c r="RI21" s="465">
        <v>0</v>
      </c>
      <c r="RJ21" s="465">
        <v>0</v>
      </c>
      <c r="RK21" s="465">
        <v>0</v>
      </c>
      <c r="RL21" s="465">
        <v>0</v>
      </c>
      <c r="RM21" s="465">
        <v>0</v>
      </c>
      <c r="RN21" s="465">
        <v>0</v>
      </c>
      <c r="RO21" s="465">
        <v>0</v>
      </c>
      <c r="RP21" s="465">
        <v>0</v>
      </c>
      <c r="RQ21" s="465">
        <v>0</v>
      </c>
      <c r="RR21" s="465">
        <v>0</v>
      </c>
      <c r="RS21" s="465">
        <v>0</v>
      </c>
      <c r="RT21" s="465">
        <v>0</v>
      </c>
      <c r="RU21" s="465">
        <v>-20848813</v>
      </c>
      <c r="RV21" s="465">
        <v>0</v>
      </c>
      <c r="RW21" s="465">
        <v>0</v>
      </c>
      <c r="RX21" s="465">
        <v>0</v>
      </c>
      <c r="RY21" s="465">
        <v>0</v>
      </c>
      <c r="RZ21" s="465">
        <v>0</v>
      </c>
      <c r="SA21" s="465">
        <v>0</v>
      </c>
      <c r="SB21" s="465">
        <v>0</v>
      </c>
      <c r="SC21" s="465">
        <v>0</v>
      </c>
      <c r="SD21" s="465">
        <v>1096</v>
      </c>
      <c r="SE21" s="465">
        <v>0</v>
      </c>
      <c r="SF21" s="465">
        <v>0</v>
      </c>
      <c r="SG21" s="465">
        <v>0</v>
      </c>
      <c r="SH21" s="465">
        <v>0</v>
      </c>
      <c r="SI21" s="465">
        <v>0</v>
      </c>
      <c r="SJ21" s="465">
        <v>0</v>
      </c>
      <c r="SK21" s="465">
        <v>0</v>
      </c>
      <c r="SL21" s="465">
        <v>0</v>
      </c>
      <c r="SM21" s="465">
        <v>0</v>
      </c>
      <c r="SN21" s="465">
        <v>0</v>
      </c>
      <c r="SO21" s="465">
        <v>0</v>
      </c>
      <c r="SP21" s="465">
        <v>0</v>
      </c>
      <c r="SQ21" s="465">
        <v>0</v>
      </c>
      <c r="SR21" s="465">
        <v>0</v>
      </c>
      <c r="SS21" s="465">
        <v>0</v>
      </c>
      <c r="ST21" s="465">
        <v>0</v>
      </c>
      <c r="SU21" s="465">
        <v>0</v>
      </c>
      <c r="SV21" s="465">
        <v>0</v>
      </c>
      <c r="SW21" s="465">
        <v>0</v>
      </c>
      <c r="SX21" s="465">
        <v>0</v>
      </c>
      <c r="SY21" s="465">
        <v>0</v>
      </c>
      <c r="SZ21" s="465">
        <v>0</v>
      </c>
      <c r="TA21" s="465">
        <v>0</v>
      </c>
      <c r="TB21" s="465">
        <v>0</v>
      </c>
      <c r="TC21" s="465">
        <v>0</v>
      </c>
      <c r="TD21" s="465">
        <v>0</v>
      </c>
      <c r="TE21" s="465">
        <v>26401624</v>
      </c>
      <c r="TF21" s="465">
        <v>-11970128</v>
      </c>
      <c r="TG21" s="465">
        <v>0</v>
      </c>
      <c r="TH21" s="465">
        <v>0</v>
      </c>
      <c r="TI21" s="465">
        <v>37335098</v>
      </c>
      <c r="TJ21" s="465">
        <v>-2857286</v>
      </c>
      <c r="TK21" s="465">
        <v>1679009</v>
      </c>
      <c r="TL21" s="465">
        <v>2114316</v>
      </c>
      <c r="TM21" s="465">
        <v>2193117</v>
      </c>
      <c r="TN21" s="465">
        <v>0</v>
      </c>
      <c r="TO21" s="465">
        <v>2483801</v>
      </c>
      <c r="TP21" s="465">
        <v>9059</v>
      </c>
      <c r="TQ21" s="465">
        <v>11006</v>
      </c>
      <c r="TR21" s="465">
        <v>3390468</v>
      </c>
      <c r="TS21" s="465">
        <v>14600</v>
      </c>
      <c r="TT21" s="465">
        <v>0</v>
      </c>
      <c r="TU21" s="465">
        <v>0</v>
      </c>
      <c r="TV21" s="465">
        <v>865949</v>
      </c>
      <c r="TW21" s="465">
        <v>0</v>
      </c>
      <c r="TX21" s="465">
        <v>0</v>
      </c>
      <c r="TY21" s="465">
        <v>0</v>
      </c>
      <c r="TZ21" s="465">
        <v>0</v>
      </c>
      <c r="UA21" s="465">
        <v>0</v>
      </c>
      <c r="UB21" s="465">
        <v>0</v>
      </c>
      <c r="UC21" s="465">
        <v>0</v>
      </c>
      <c r="UD21" s="465">
        <v>0</v>
      </c>
      <c r="UE21" s="465">
        <v>0</v>
      </c>
      <c r="UF21" s="465">
        <v>0</v>
      </c>
      <c r="UG21" s="465">
        <v>0</v>
      </c>
      <c r="UH21" s="465">
        <v>0</v>
      </c>
      <c r="UI21" s="465">
        <v>0</v>
      </c>
      <c r="UJ21" s="465">
        <v>0</v>
      </c>
      <c r="UK21" s="465">
        <v>0</v>
      </c>
      <c r="UL21" s="465">
        <v>0</v>
      </c>
      <c r="UM21" s="465">
        <v>0</v>
      </c>
      <c r="UN21" s="465">
        <v>0</v>
      </c>
      <c r="UO21" s="465">
        <v>79560385</v>
      </c>
      <c r="UP21" s="465">
        <v>46416280</v>
      </c>
      <c r="UQ21" s="465">
        <v>46516667</v>
      </c>
      <c r="UR21" s="465">
        <v>0</v>
      </c>
      <c r="US21" s="465">
        <v>27944229</v>
      </c>
      <c r="UT21" s="465">
        <v>8018588</v>
      </c>
      <c r="UU21" s="465">
        <v>21860988</v>
      </c>
      <c r="UV21" s="465">
        <v>17048260</v>
      </c>
      <c r="UW21" s="465">
        <v>2612265</v>
      </c>
      <c r="UX21" s="465">
        <v>177508</v>
      </c>
      <c r="UY21" s="465">
        <v>0</v>
      </c>
      <c r="UZ21" s="465">
        <v>0</v>
      </c>
      <c r="VA21" s="465">
        <v>0</v>
      </c>
      <c r="VB21" s="465">
        <v>0</v>
      </c>
      <c r="VC21" s="465" t="s">
        <v>1594</v>
      </c>
      <c r="VD21" s="465" t="s">
        <v>1595</v>
      </c>
      <c r="VE21" s="465" t="s">
        <v>1615</v>
      </c>
    </row>
    <row r="22" spans="1:577" s="331" customFormat="1" ht="15.6" thickBot="1">
      <c r="A22" s="325"/>
      <c r="B22" s="326"/>
      <c r="C22" s="327"/>
      <c r="E22" s="466"/>
      <c r="F22" s="464"/>
      <c r="G22" s="329"/>
      <c r="VC22" s="310"/>
      <c r="VE22" s="471"/>
    </row>
    <row r="23" spans="1:577" s="331" customFormat="1" ht="15.6" thickBot="1">
      <c r="A23" s="325"/>
      <c r="B23" s="326"/>
      <c r="C23" s="327"/>
      <c r="E23" s="466"/>
      <c r="F23" s="464"/>
      <c r="G23" s="329"/>
      <c r="VC23" s="310"/>
      <c r="VE23" s="471"/>
    </row>
    <row r="24" spans="1:577" s="331" customFormat="1">
      <c r="A24" s="309">
        <f>COUNT(A6:A23)</f>
        <v>16</v>
      </c>
      <c r="B24" s="472"/>
      <c r="C24" s="312"/>
      <c r="F24" s="464"/>
      <c r="G24" s="329"/>
    </row>
    <row r="25" spans="1:577" s="331" customFormat="1">
      <c r="A25" s="312"/>
      <c r="B25" s="472"/>
      <c r="C25" s="312"/>
      <c r="F25" s="464">
        <f>SUM(F6:F24)</f>
        <v>87995368790</v>
      </c>
      <c r="G25" s="329"/>
    </row>
    <row r="26" spans="1:577" s="331" customFormat="1">
      <c r="A26" s="312"/>
      <c r="B26" s="472"/>
      <c r="C26" s="312"/>
      <c r="D26" s="329"/>
      <c r="E26" s="329"/>
      <c r="F26" s="464"/>
      <c r="G26" s="329"/>
    </row>
    <row r="27" spans="1:577" s="331" customFormat="1">
      <c r="A27" s="312"/>
      <c r="B27" s="472"/>
      <c r="C27" s="312"/>
      <c r="D27" s="329"/>
      <c r="E27" s="329"/>
      <c r="F27" s="464"/>
      <c r="G27" s="329"/>
      <c r="VE27" s="471"/>
    </row>
    <row r="28" spans="1:577" s="331" customFormat="1">
      <c r="A28" s="312"/>
      <c r="B28" s="472"/>
      <c r="C28" s="312"/>
      <c r="D28" s="329"/>
      <c r="E28" s="329"/>
      <c r="F28" s="464"/>
      <c r="G28" s="329"/>
    </row>
    <row r="29" spans="1:577" s="331" customFormat="1">
      <c r="A29" s="312"/>
      <c r="B29" s="472"/>
      <c r="C29" s="312"/>
      <c r="D29" s="329"/>
      <c r="E29" s="329"/>
      <c r="F29" s="464"/>
      <c r="G29" s="329"/>
    </row>
    <row r="30" spans="1:577" s="331" customFormat="1">
      <c r="A30" s="312"/>
      <c r="B30" s="472"/>
      <c r="C30" s="312"/>
      <c r="D30" s="329"/>
      <c r="E30" s="329"/>
      <c r="F30" s="464"/>
      <c r="G30" s="329"/>
    </row>
    <row r="43" spans="1:3" ht="45.6" thickBot="1">
      <c r="A43" s="473">
        <v>390</v>
      </c>
      <c r="B43" s="474" t="s">
        <v>19</v>
      </c>
      <c r="C43" s="475" t="s">
        <v>938</v>
      </c>
    </row>
    <row r="44" spans="1:3" ht="30.6" thickBot="1">
      <c r="A44" s="473">
        <v>400</v>
      </c>
      <c r="B44" s="474" t="s">
        <v>20</v>
      </c>
      <c r="C44" s="475" t="s">
        <v>958</v>
      </c>
    </row>
    <row r="45" spans="1:3" ht="30.6" thickBot="1">
      <c r="A45" s="473">
        <v>410</v>
      </c>
      <c r="B45" s="474" t="s">
        <v>21</v>
      </c>
      <c r="C45" s="475" t="s">
        <v>952</v>
      </c>
    </row>
    <row r="46" spans="1:3" ht="30.6" thickBot="1">
      <c r="A46" s="473">
        <v>420</v>
      </c>
      <c r="B46" s="474" t="s">
        <v>22</v>
      </c>
      <c r="C46" s="475" t="s">
        <v>940</v>
      </c>
    </row>
    <row r="47" spans="1:3" ht="30.6" thickBot="1">
      <c r="A47" s="473">
        <v>430</v>
      </c>
      <c r="B47" s="474" t="s">
        <v>23</v>
      </c>
      <c r="C47" s="475" t="s">
        <v>954</v>
      </c>
    </row>
    <row r="48" spans="1:3" ht="30.6" thickBot="1">
      <c r="A48" s="473">
        <v>440</v>
      </c>
      <c r="B48" s="474" t="s">
        <v>88</v>
      </c>
      <c r="C48" s="475" t="s">
        <v>956</v>
      </c>
    </row>
    <row r="49" spans="1:3" ht="30.6" thickBot="1">
      <c r="A49" s="473">
        <v>450</v>
      </c>
      <c r="B49" s="474" t="s">
        <v>25</v>
      </c>
      <c r="C49" s="475" t="s">
        <v>942</v>
      </c>
    </row>
    <row r="50" spans="1:3" ht="30.6" thickBot="1">
      <c r="A50" s="473">
        <v>460</v>
      </c>
      <c r="B50" s="474" t="s">
        <v>207</v>
      </c>
      <c r="C50" s="475" t="s">
        <v>944</v>
      </c>
    </row>
    <row r="51" spans="1:3" ht="30.6" thickBot="1">
      <c r="A51" s="473">
        <v>470</v>
      </c>
      <c r="B51" s="474" t="s">
        <v>27</v>
      </c>
      <c r="C51" s="475" t="s">
        <v>948</v>
      </c>
    </row>
    <row r="52" spans="1:3" ht="30.6" thickBot="1">
      <c r="A52" s="473">
        <v>490</v>
      </c>
      <c r="B52" s="474" t="s">
        <v>28</v>
      </c>
      <c r="C52" s="475" t="s">
        <v>950</v>
      </c>
    </row>
    <row r="53" spans="1:3" ht="30.6" thickBot="1">
      <c r="A53" s="473">
        <v>500</v>
      </c>
      <c r="B53" s="474" t="s">
        <v>29</v>
      </c>
      <c r="C53" s="475" t="s">
        <v>962</v>
      </c>
    </row>
    <row r="54" spans="1:3" ht="45.6" thickBot="1">
      <c r="A54" s="473">
        <v>510</v>
      </c>
      <c r="B54" s="474" t="s">
        <v>30</v>
      </c>
      <c r="C54" s="475" t="s">
        <v>960</v>
      </c>
    </row>
    <row r="55" spans="1:3">
      <c r="A55" s="282">
        <f>COUNT(A43:A54)</f>
        <v>12</v>
      </c>
    </row>
  </sheetData>
  <mergeCells count="66">
    <mergeCell ref="UD3:UL3"/>
    <mergeCell ref="UM3:UN3"/>
    <mergeCell ref="UO3:UX3"/>
    <mergeCell ref="UY3:UZ3"/>
    <mergeCell ref="VC3:VE3"/>
    <mergeCell ref="SN3:SV3"/>
    <mergeCell ref="SW3:TE3"/>
    <mergeCell ref="TI3:TJ3"/>
    <mergeCell ref="TK3:TT3"/>
    <mergeCell ref="TU3:UC3"/>
    <mergeCell ref="QU3:RC3"/>
    <mergeCell ref="RD3:RL3"/>
    <mergeCell ref="RM3:RU3"/>
    <mergeCell ref="RV3:SD3"/>
    <mergeCell ref="SE3:SM3"/>
    <mergeCell ref="PB3:PJ3"/>
    <mergeCell ref="PK3:PS3"/>
    <mergeCell ref="PT3:QB3"/>
    <mergeCell ref="QC3:QK3"/>
    <mergeCell ref="QL3:QT3"/>
    <mergeCell ref="NI3:NQ3"/>
    <mergeCell ref="NR3:NZ3"/>
    <mergeCell ref="OA3:OI3"/>
    <mergeCell ref="OJ3:OR3"/>
    <mergeCell ref="OS3:PA3"/>
    <mergeCell ref="LP3:LX3"/>
    <mergeCell ref="LY3:MG3"/>
    <mergeCell ref="MH3:MP3"/>
    <mergeCell ref="MQ3:MY3"/>
    <mergeCell ref="MZ3:NH3"/>
    <mergeCell ref="JW3:KE3"/>
    <mergeCell ref="KF3:KN3"/>
    <mergeCell ref="KO3:KW3"/>
    <mergeCell ref="KX3:LF3"/>
    <mergeCell ref="LG3:LO3"/>
    <mergeCell ref="ID3:IL3"/>
    <mergeCell ref="IM3:IU3"/>
    <mergeCell ref="IV3:JD3"/>
    <mergeCell ref="JE3:JM3"/>
    <mergeCell ref="JN3:JV3"/>
    <mergeCell ref="GK3:GS3"/>
    <mergeCell ref="GT3:HB3"/>
    <mergeCell ref="HC3:HK3"/>
    <mergeCell ref="HL3:HT3"/>
    <mergeCell ref="HU3:IC3"/>
    <mergeCell ref="ER3:EZ3"/>
    <mergeCell ref="FA3:FI3"/>
    <mergeCell ref="FJ3:FR3"/>
    <mergeCell ref="FS3:GA3"/>
    <mergeCell ref="GB3:GJ3"/>
    <mergeCell ref="CY3:DG3"/>
    <mergeCell ref="DH3:DP3"/>
    <mergeCell ref="DQ3:DY3"/>
    <mergeCell ref="DZ3:EH3"/>
    <mergeCell ref="EI3:EQ3"/>
    <mergeCell ref="BF3:BN3"/>
    <mergeCell ref="BO3:BW3"/>
    <mergeCell ref="BX3:CF3"/>
    <mergeCell ref="CG3:CO3"/>
    <mergeCell ref="CP3:CX3"/>
    <mergeCell ref="AW3:BE3"/>
    <mergeCell ref="B1:F1"/>
    <mergeCell ref="M3:U3"/>
    <mergeCell ref="V3:AD3"/>
    <mergeCell ref="AE3:AM3"/>
    <mergeCell ref="AN3:AV3"/>
  </mergeCells>
  <hyperlinks>
    <hyperlink ref="J1" location="Index!A1" display="Return to Index" xr:uid="{00000000-0004-0000-5700-000000000000}"/>
  </hyperlinks>
  <pageMargins left="0.7" right="0.7" top="0.75" bottom="0.7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W122"/>
  <sheetViews>
    <sheetView showGridLines="0" zoomScale="92" zoomScaleNormal="90" workbookViewId="0">
      <pane xSplit="4" ySplit="4" topLeftCell="E97" activePane="bottomRight" state="frozen"/>
      <selection activeCell="B4" sqref="A1:XFD1048576"/>
      <selection pane="topRight" activeCell="B4" sqref="A1:XFD1048576"/>
      <selection pane="bottomLeft" activeCell="B4" sqref="A1:XFD1048576"/>
      <selection pane="bottomRight" activeCell="D88" sqref="D88:L91"/>
    </sheetView>
  </sheetViews>
  <sheetFormatPr defaultColWidth="12.5546875" defaultRowHeight="13.2"/>
  <cols>
    <col min="1" max="1" width="12.5546875" style="355"/>
    <col min="2" max="2" width="9.44140625" style="335" customWidth="1"/>
    <col min="3" max="3" width="53" style="393" customWidth="1"/>
    <col min="4" max="4" width="12" style="355" customWidth="1"/>
    <col min="5" max="5" width="10.5546875" style="342" customWidth="1"/>
    <col min="6" max="6" width="10.109375" style="342" customWidth="1"/>
    <col min="7" max="7" width="12" style="342" customWidth="1"/>
    <col min="8" max="8" width="13.5546875" style="342" customWidth="1"/>
    <col min="9" max="9" width="14" style="342" customWidth="1"/>
    <col min="10" max="10" width="12.6640625" style="342" customWidth="1"/>
    <col min="11" max="11" width="12.5546875" style="343"/>
    <col min="12" max="12" width="12.109375" style="343" customWidth="1"/>
    <col min="13" max="13" width="10.44140625" style="425" customWidth="1"/>
    <col min="14" max="14" width="11.5546875" style="364" customWidth="1"/>
    <col min="15" max="15" width="10.44140625" style="364" customWidth="1"/>
    <col min="16" max="16" width="13.5546875" style="364" customWidth="1"/>
    <col min="17" max="17" width="12.5546875" style="364"/>
    <col min="18" max="18" width="10.33203125" style="355" customWidth="1"/>
    <col min="19" max="19" width="10" style="355" customWidth="1"/>
    <col min="20" max="20" width="9.88671875" style="355" customWidth="1"/>
    <col min="21" max="261" width="12.5546875" style="355" customWidth="1"/>
    <col min="262" max="270" width="12.5546875" style="355"/>
    <col min="271" max="271" width="37.33203125" style="355" customWidth="1"/>
    <col min="272" max="274" width="9.109375" style="355" customWidth="1"/>
    <col min="275" max="275" width="10.6640625" style="355" customWidth="1"/>
    <col min="276" max="277" width="12.6640625" style="355" customWidth="1"/>
    <col min="278" max="517" width="12.5546875" style="355" customWidth="1"/>
    <col min="518" max="526" width="12.5546875" style="355"/>
    <col min="527" max="527" width="37.33203125" style="355" customWidth="1"/>
    <col min="528" max="530" width="9.109375" style="355" customWidth="1"/>
    <col min="531" max="531" width="10.6640625" style="355" customWidth="1"/>
    <col min="532" max="533" width="12.6640625" style="355" customWidth="1"/>
    <col min="534" max="773" width="12.5546875" style="355" customWidth="1"/>
    <col min="774" max="782" width="12.5546875" style="355"/>
    <col min="783" max="783" width="37.33203125" style="355" customWidth="1"/>
    <col min="784" max="786" width="9.109375" style="355" customWidth="1"/>
    <col min="787" max="787" width="10.6640625" style="355" customWidth="1"/>
    <col min="788" max="789" width="12.6640625" style="355" customWidth="1"/>
    <col min="790" max="1029" width="12.5546875" style="355" customWidth="1"/>
    <col min="1030" max="1038" width="12.5546875" style="355"/>
    <col min="1039" max="1039" width="37.33203125" style="355" customWidth="1"/>
    <col min="1040" max="1042" width="9.109375" style="355" customWidth="1"/>
    <col min="1043" max="1043" width="10.6640625" style="355" customWidth="1"/>
    <col min="1044" max="1045" width="12.6640625" style="355" customWidth="1"/>
    <col min="1046" max="1285" width="12.5546875" style="355" customWidth="1"/>
    <col min="1286" max="1294" width="12.5546875" style="355"/>
    <col min="1295" max="1295" width="37.33203125" style="355" customWidth="1"/>
    <col min="1296" max="1298" width="9.109375" style="355" customWidth="1"/>
    <col min="1299" max="1299" width="10.6640625" style="355" customWidth="1"/>
    <col min="1300" max="1301" width="12.6640625" style="355" customWidth="1"/>
    <col min="1302" max="1541" width="12.5546875" style="355" customWidth="1"/>
    <col min="1542" max="1550" width="12.5546875" style="355"/>
    <col min="1551" max="1551" width="37.33203125" style="355" customWidth="1"/>
    <col min="1552" max="1554" width="9.109375" style="355" customWidth="1"/>
    <col min="1555" max="1555" width="10.6640625" style="355" customWidth="1"/>
    <col min="1556" max="1557" width="12.6640625" style="355" customWidth="1"/>
    <col min="1558" max="1797" width="12.5546875" style="355" customWidth="1"/>
    <col min="1798" max="1806" width="12.5546875" style="355"/>
    <col min="1807" max="1807" width="37.33203125" style="355" customWidth="1"/>
    <col min="1808" max="1810" width="9.109375" style="355" customWidth="1"/>
    <col min="1811" max="1811" width="10.6640625" style="355" customWidth="1"/>
    <col min="1812" max="1813" width="12.6640625" style="355" customWidth="1"/>
    <col min="1814" max="2053" width="12.5546875" style="355" customWidth="1"/>
    <col min="2054" max="2062" width="12.5546875" style="355"/>
    <col min="2063" max="2063" width="37.33203125" style="355" customWidth="1"/>
    <col min="2064" max="2066" width="9.109375" style="355" customWidth="1"/>
    <col min="2067" max="2067" width="10.6640625" style="355" customWidth="1"/>
    <col min="2068" max="2069" width="12.6640625" style="355" customWidth="1"/>
    <col min="2070" max="2309" width="12.5546875" style="355" customWidth="1"/>
    <col min="2310" max="2318" width="12.5546875" style="355"/>
    <col min="2319" max="2319" width="37.33203125" style="355" customWidth="1"/>
    <col min="2320" max="2322" width="9.109375" style="355" customWidth="1"/>
    <col min="2323" max="2323" width="10.6640625" style="355" customWidth="1"/>
    <col min="2324" max="2325" width="12.6640625" style="355" customWidth="1"/>
    <col min="2326" max="2565" width="12.5546875" style="355" customWidth="1"/>
    <col min="2566" max="2574" width="12.5546875" style="355"/>
    <col min="2575" max="2575" width="37.33203125" style="355" customWidth="1"/>
    <col min="2576" max="2578" width="9.109375" style="355" customWidth="1"/>
    <col min="2579" max="2579" width="10.6640625" style="355" customWidth="1"/>
    <col min="2580" max="2581" width="12.6640625" style="355" customWidth="1"/>
    <col min="2582" max="2821" width="12.5546875" style="355" customWidth="1"/>
    <col min="2822" max="2830" width="12.5546875" style="355"/>
    <col min="2831" max="2831" width="37.33203125" style="355" customWidth="1"/>
    <col min="2832" max="2834" width="9.109375" style="355" customWidth="1"/>
    <col min="2835" max="2835" width="10.6640625" style="355" customWidth="1"/>
    <col min="2836" max="2837" width="12.6640625" style="355" customWidth="1"/>
    <col min="2838" max="3077" width="12.5546875" style="355" customWidth="1"/>
    <col min="3078" max="3086" width="12.5546875" style="355"/>
    <col min="3087" max="3087" width="37.33203125" style="355" customWidth="1"/>
    <col min="3088" max="3090" width="9.109375" style="355" customWidth="1"/>
    <col min="3091" max="3091" width="10.6640625" style="355" customWidth="1"/>
    <col min="3092" max="3093" width="12.6640625" style="355" customWidth="1"/>
    <col min="3094" max="3333" width="12.5546875" style="355" customWidth="1"/>
    <col min="3334" max="3342" width="12.5546875" style="355"/>
    <col min="3343" max="3343" width="37.33203125" style="355" customWidth="1"/>
    <col min="3344" max="3346" width="9.109375" style="355" customWidth="1"/>
    <col min="3347" max="3347" width="10.6640625" style="355" customWidth="1"/>
    <col min="3348" max="3349" width="12.6640625" style="355" customWidth="1"/>
    <col min="3350" max="3589" width="12.5546875" style="355" customWidth="1"/>
    <col min="3590" max="3598" width="12.5546875" style="355"/>
    <col min="3599" max="3599" width="37.33203125" style="355" customWidth="1"/>
    <col min="3600" max="3602" width="9.109375" style="355" customWidth="1"/>
    <col min="3603" max="3603" width="10.6640625" style="355" customWidth="1"/>
    <col min="3604" max="3605" width="12.6640625" style="355" customWidth="1"/>
    <col min="3606" max="3845" width="12.5546875" style="355" customWidth="1"/>
    <col min="3846" max="3854" width="12.5546875" style="355"/>
    <col min="3855" max="3855" width="37.33203125" style="355" customWidth="1"/>
    <col min="3856" max="3858" width="9.109375" style="355" customWidth="1"/>
    <col min="3859" max="3859" width="10.6640625" style="355" customWidth="1"/>
    <col min="3860" max="3861" width="12.6640625" style="355" customWidth="1"/>
    <col min="3862" max="4101" width="12.5546875" style="355" customWidth="1"/>
    <col min="4102" max="4110" width="12.5546875" style="355"/>
    <col min="4111" max="4111" width="37.33203125" style="355" customWidth="1"/>
    <col min="4112" max="4114" width="9.109375" style="355" customWidth="1"/>
    <col min="4115" max="4115" width="10.6640625" style="355" customWidth="1"/>
    <col min="4116" max="4117" width="12.6640625" style="355" customWidth="1"/>
    <col min="4118" max="4357" width="12.5546875" style="355" customWidth="1"/>
    <col min="4358" max="4366" width="12.5546875" style="355"/>
    <col min="4367" max="4367" width="37.33203125" style="355" customWidth="1"/>
    <col min="4368" max="4370" width="9.109375" style="355" customWidth="1"/>
    <col min="4371" max="4371" width="10.6640625" style="355" customWidth="1"/>
    <col min="4372" max="4373" width="12.6640625" style="355" customWidth="1"/>
    <col min="4374" max="4613" width="12.5546875" style="355" customWidth="1"/>
    <col min="4614" max="4622" width="12.5546875" style="355"/>
    <col min="4623" max="4623" width="37.33203125" style="355" customWidth="1"/>
    <col min="4624" max="4626" width="9.109375" style="355" customWidth="1"/>
    <col min="4627" max="4627" width="10.6640625" style="355" customWidth="1"/>
    <col min="4628" max="4629" width="12.6640625" style="355" customWidth="1"/>
    <col min="4630" max="4869" width="12.5546875" style="355" customWidth="1"/>
    <col min="4870" max="4878" width="12.5546875" style="355"/>
    <col min="4879" max="4879" width="37.33203125" style="355" customWidth="1"/>
    <col min="4880" max="4882" width="9.109375" style="355" customWidth="1"/>
    <col min="4883" max="4883" width="10.6640625" style="355" customWidth="1"/>
    <col min="4884" max="4885" width="12.6640625" style="355" customWidth="1"/>
    <col min="4886" max="5125" width="12.5546875" style="355" customWidth="1"/>
    <col min="5126" max="5134" width="12.5546875" style="355"/>
    <col min="5135" max="5135" width="37.33203125" style="355" customWidth="1"/>
    <col min="5136" max="5138" width="9.109375" style="355" customWidth="1"/>
    <col min="5139" max="5139" width="10.6640625" style="355" customWidth="1"/>
    <col min="5140" max="5141" width="12.6640625" style="355" customWidth="1"/>
    <col min="5142" max="5381" width="12.5546875" style="355" customWidth="1"/>
    <col min="5382" max="5390" width="12.5546875" style="355"/>
    <col min="5391" max="5391" width="37.33203125" style="355" customWidth="1"/>
    <col min="5392" max="5394" width="9.109375" style="355" customWidth="1"/>
    <col min="5395" max="5395" width="10.6640625" style="355" customWidth="1"/>
    <col min="5396" max="5397" width="12.6640625" style="355" customWidth="1"/>
    <col min="5398" max="5637" width="12.5546875" style="355" customWidth="1"/>
    <col min="5638" max="5646" width="12.5546875" style="355"/>
    <col min="5647" max="5647" width="37.33203125" style="355" customWidth="1"/>
    <col min="5648" max="5650" width="9.109375" style="355" customWidth="1"/>
    <col min="5651" max="5651" width="10.6640625" style="355" customWidth="1"/>
    <col min="5652" max="5653" width="12.6640625" style="355" customWidth="1"/>
    <col min="5654" max="5893" width="12.5546875" style="355" customWidth="1"/>
    <col min="5894" max="5902" width="12.5546875" style="355"/>
    <col min="5903" max="5903" width="37.33203125" style="355" customWidth="1"/>
    <col min="5904" max="5906" width="9.109375" style="355" customWidth="1"/>
    <col min="5907" max="5907" width="10.6640625" style="355" customWidth="1"/>
    <col min="5908" max="5909" width="12.6640625" style="355" customWidth="1"/>
    <col min="5910" max="6149" width="12.5546875" style="355" customWidth="1"/>
    <col min="6150" max="6158" width="12.5546875" style="355"/>
    <col min="6159" max="6159" width="37.33203125" style="355" customWidth="1"/>
    <col min="6160" max="6162" width="9.109375" style="355" customWidth="1"/>
    <col min="6163" max="6163" width="10.6640625" style="355" customWidth="1"/>
    <col min="6164" max="6165" width="12.6640625" style="355" customWidth="1"/>
    <col min="6166" max="6405" width="12.5546875" style="355" customWidth="1"/>
    <col min="6406" max="6414" width="12.5546875" style="355"/>
    <col min="6415" max="6415" width="37.33203125" style="355" customWidth="1"/>
    <col min="6416" max="6418" width="9.109375" style="355" customWidth="1"/>
    <col min="6419" max="6419" width="10.6640625" style="355" customWidth="1"/>
    <col min="6420" max="6421" width="12.6640625" style="355" customWidth="1"/>
    <col min="6422" max="6661" width="12.5546875" style="355" customWidth="1"/>
    <col min="6662" max="6670" width="12.5546875" style="355"/>
    <col min="6671" max="6671" width="37.33203125" style="355" customWidth="1"/>
    <col min="6672" max="6674" width="9.109375" style="355" customWidth="1"/>
    <col min="6675" max="6675" width="10.6640625" style="355" customWidth="1"/>
    <col min="6676" max="6677" width="12.6640625" style="355" customWidth="1"/>
    <col min="6678" max="6917" width="12.5546875" style="355" customWidth="1"/>
    <col min="6918" max="6926" width="12.5546875" style="355"/>
    <col min="6927" max="6927" width="37.33203125" style="355" customWidth="1"/>
    <col min="6928" max="6930" width="9.109375" style="355" customWidth="1"/>
    <col min="6931" max="6931" width="10.6640625" style="355" customWidth="1"/>
    <col min="6932" max="6933" width="12.6640625" style="355" customWidth="1"/>
    <col min="6934" max="7173" width="12.5546875" style="355" customWidth="1"/>
    <col min="7174" max="7182" width="12.5546875" style="355"/>
    <col min="7183" max="7183" width="37.33203125" style="355" customWidth="1"/>
    <col min="7184" max="7186" width="9.109375" style="355" customWidth="1"/>
    <col min="7187" max="7187" width="10.6640625" style="355" customWidth="1"/>
    <col min="7188" max="7189" width="12.6640625" style="355" customWidth="1"/>
    <col min="7190" max="7429" width="12.5546875" style="355" customWidth="1"/>
    <col min="7430" max="7438" width="12.5546875" style="355"/>
    <col min="7439" max="7439" width="37.33203125" style="355" customWidth="1"/>
    <col min="7440" max="7442" width="9.109375" style="355" customWidth="1"/>
    <col min="7443" max="7443" width="10.6640625" style="355" customWidth="1"/>
    <col min="7444" max="7445" width="12.6640625" style="355" customWidth="1"/>
    <col min="7446" max="7685" width="12.5546875" style="355" customWidth="1"/>
    <col min="7686" max="7694" width="12.5546875" style="355"/>
    <col min="7695" max="7695" width="37.33203125" style="355" customWidth="1"/>
    <col min="7696" max="7698" width="9.109375" style="355" customWidth="1"/>
    <col min="7699" max="7699" width="10.6640625" style="355" customWidth="1"/>
    <col min="7700" max="7701" width="12.6640625" style="355" customWidth="1"/>
    <col min="7702" max="7941" width="12.5546875" style="355" customWidth="1"/>
    <col min="7942" max="7950" width="12.5546875" style="355"/>
    <col min="7951" max="7951" width="37.33203125" style="355" customWidth="1"/>
    <col min="7952" max="7954" width="9.109375" style="355" customWidth="1"/>
    <col min="7955" max="7955" width="10.6640625" style="355" customWidth="1"/>
    <col min="7956" max="7957" width="12.6640625" style="355" customWidth="1"/>
    <col min="7958" max="8197" width="12.5546875" style="355" customWidth="1"/>
    <col min="8198" max="8206" width="12.5546875" style="355"/>
    <col min="8207" max="8207" width="37.33203125" style="355" customWidth="1"/>
    <col min="8208" max="8210" width="9.109375" style="355" customWidth="1"/>
    <col min="8211" max="8211" width="10.6640625" style="355" customWidth="1"/>
    <col min="8212" max="8213" width="12.6640625" style="355" customWidth="1"/>
    <col min="8214" max="8453" width="12.5546875" style="355" customWidth="1"/>
    <col min="8454" max="8462" width="12.5546875" style="355"/>
    <col min="8463" max="8463" width="37.33203125" style="355" customWidth="1"/>
    <col min="8464" max="8466" width="9.109375" style="355" customWidth="1"/>
    <col min="8467" max="8467" width="10.6640625" style="355" customWidth="1"/>
    <col min="8468" max="8469" width="12.6640625" style="355" customWidth="1"/>
    <col min="8470" max="8709" width="12.5546875" style="355" customWidth="1"/>
    <col min="8710" max="8718" width="12.5546875" style="355"/>
    <col min="8719" max="8719" width="37.33203125" style="355" customWidth="1"/>
    <col min="8720" max="8722" width="9.109375" style="355" customWidth="1"/>
    <col min="8723" max="8723" width="10.6640625" style="355" customWidth="1"/>
    <col min="8724" max="8725" width="12.6640625" style="355" customWidth="1"/>
    <col min="8726" max="8965" width="12.5546875" style="355" customWidth="1"/>
    <col min="8966" max="8974" width="12.5546875" style="355"/>
    <col min="8975" max="8975" width="37.33203125" style="355" customWidth="1"/>
    <col min="8976" max="8978" width="9.109375" style="355" customWidth="1"/>
    <col min="8979" max="8979" width="10.6640625" style="355" customWidth="1"/>
    <col min="8980" max="8981" width="12.6640625" style="355" customWidth="1"/>
    <col min="8982" max="9221" width="12.5546875" style="355" customWidth="1"/>
    <col min="9222" max="9230" width="12.5546875" style="355"/>
    <col min="9231" max="9231" width="37.33203125" style="355" customWidth="1"/>
    <col min="9232" max="9234" width="9.109375" style="355" customWidth="1"/>
    <col min="9235" max="9235" width="10.6640625" style="355" customWidth="1"/>
    <col min="9236" max="9237" width="12.6640625" style="355" customWidth="1"/>
    <col min="9238" max="9477" width="12.5546875" style="355" customWidth="1"/>
    <col min="9478" max="9486" width="12.5546875" style="355"/>
    <col min="9487" max="9487" width="37.33203125" style="355" customWidth="1"/>
    <col min="9488" max="9490" width="9.109375" style="355" customWidth="1"/>
    <col min="9491" max="9491" width="10.6640625" style="355" customWidth="1"/>
    <col min="9492" max="9493" width="12.6640625" style="355" customWidth="1"/>
    <col min="9494" max="9733" width="12.5546875" style="355" customWidth="1"/>
    <col min="9734" max="9742" width="12.5546875" style="355"/>
    <col min="9743" max="9743" width="37.33203125" style="355" customWidth="1"/>
    <col min="9744" max="9746" width="9.109375" style="355" customWidth="1"/>
    <col min="9747" max="9747" width="10.6640625" style="355" customWidth="1"/>
    <col min="9748" max="9749" width="12.6640625" style="355" customWidth="1"/>
    <col min="9750" max="9989" width="12.5546875" style="355" customWidth="1"/>
    <col min="9990" max="9998" width="12.5546875" style="355"/>
    <col min="9999" max="9999" width="37.33203125" style="355" customWidth="1"/>
    <col min="10000" max="10002" width="9.109375" style="355" customWidth="1"/>
    <col min="10003" max="10003" width="10.6640625" style="355" customWidth="1"/>
    <col min="10004" max="10005" width="12.6640625" style="355" customWidth="1"/>
    <col min="10006" max="10245" width="12.5546875" style="355" customWidth="1"/>
    <col min="10246" max="10254" width="12.5546875" style="355"/>
    <col min="10255" max="10255" width="37.33203125" style="355" customWidth="1"/>
    <col min="10256" max="10258" width="9.109375" style="355" customWidth="1"/>
    <col min="10259" max="10259" width="10.6640625" style="355" customWidth="1"/>
    <col min="10260" max="10261" width="12.6640625" style="355" customWidth="1"/>
    <col min="10262" max="10501" width="12.5546875" style="355" customWidth="1"/>
    <col min="10502" max="10510" width="12.5546875" style="355"/>
    <col min="10511" max="10511" width="37.33203125" style="355" customWidth="1"/>
    <col min="10512" max="10514" width="9.109375" style="355" customWidth="1"/>
    <col min="10515" max="10515" width="10.6640625" style="355" customWidth="1"/>
    <col min="10516" max="10517" width="12.6640625" style="355" customWidth="1"/>
    <col min="10518" max="10757" width="12.5546875" style="355" customWidth="1"/>
    <col min="10758" max="10766" width="12.5546875" style="355"/>
    <col min="10767" max="10767" width="37.33203125" style="355" customWidth="1"/>
    <col min="10768" max="10770" width="9.109375" style="355" customWidth="1"/>
    <col min="10771" max="10771" width="10.6640625" style="355" customWidth="1"/>
    <col min="10772" max="10773" width="12.6640625" style="355" customWidth="1"/>
    <col min="10774" max="11013" width="12.5546875" style="355" customWidth="1"/>
    <col min="11014" max="11022" width="12.5546875" style="355"/>
    <col min="11023" max="11023" width="37.33203125" style="355" customWidth="1"/>
    <col min="11024" max="11026" width="9.109375" style="355" customWidth="1"/>
    <col min="11027" max="11027" width="10.6640625" style="355" customWidth="1"/>
    <col min="11028" max="11029" width="12.6640625" style="355" customWidth="1"/>
    <col min="11030" max="11269" width="12.5546875" style="355" customWidth="1"/>
    <col min="11270" max="11278" width="12.5546875" style="355"/>
    <col min="11279" max="11279" width="37.33203125" style="355" customWidth="1"/>
    <col min="11280" max="11282" width="9.109375" style="355" customWidth="1"/>
    <col min="11283" max="11283" width="10.6640625" style="355" customWidth="1"/>
    <col min="11284" max="11285" width="12.6640625" style="355" customWidth="1"/>
    <col min="11286" max="11525" width="12.5546875" style="355" customWidth="1"/>
    <col min="11526" max="11534" width="12.5546875" style="355"/>
    <col min="11535" max="11535" width="37.33203125" style="355" customWidth="1"/>
    <col min="11536" max="11538" width="9.109375" style="355" customWidth="1"/>
    <col min="11539" max="11539" width="10.6640625" style="355" customWidth="1"/>
    <col min="11540" max="11541" width="12.6640625" style="355" customWidth="1"/>
    <col min="11542" max="11781" width="12.5546875" style="355" customWidth="1"/>
    <col min="11782" max="11790" width="12.5546875" style="355"/>
    <col min="11791" max="11791" width="37.33203125" style="355" customWidth="1"/>
    <col min="11792" max="11794" width="9.109375" style="355" customWidth="1"/>
    <col min="11795" max="11795" width="10.6640625" style="355" customWidth="1"/>
    <col min="11796" max="11797" width="12.6640625" style="355" customWidth="1"/>
    <col min="11798" max="12037" width="12.5546875" style="355" customWidth="1"/>
    <col min="12038" max="12046" width="12.5546875" style="355"/>
    <col min="12047" max="12047" width="37.33203125" style="355" customWidth="1"/>
    <col min="12048" max="12050" width="9.109375" style="355" customWidth="1"/>
    <col min="12051" max="12051" width="10.6640625" style="355" customWidth="1"/>
    <col min="12052" max="12053" width="12.6640625" style="355" customWidth="1"/>
    <col min="12054" max="12293" width="12.5546875" style="355" customWidth="1"/>
    <col min="12294" max="12302" width="12.5546875" style="355"/>
    <col min="12303" max="12303" width="37.33203125" style="355" customWidth="1"/>
    <col min="12304" max="12306" width="9.109375" style="355" customWidth="1"/>
    <col min="12307" max="12307" width="10.6640625" style="355" customWidth="1"/>
    <col min="12308" max="12309" width="12.6640625" style="355" customWidth="1"/>
    <col min="12310" max="12549" width="12.5546875" style="355" customWidth="1"/>
    <col min="12550" max="12558" width="12.5546875" style="355"/>
    <col min="12559" max="12559" width="37.33203125" style="355" customWidth="1"/>
    <col min="12560" max="12562" width="9.109375" style="355" customWidth="1"/>
    <col min="12563" max="12563" width="10.6640625" style="355" customWidth="1"/>
    <col min="12564" max="12565" width="12.6640625" style="355" customWidth="1"/>
    <col min="12566" max="12805" width="12.5546875" style="355" customWidth="1"/>
    <col min="12806" max="12814" width="12.5546875" style="355"/>
    <col min="12815" max="12815" width="37.33203125" style="355" customWidth="1"/>
    <col min="12816" max="12818" width="9.109375" style="355" customWidth="1"/>
    <col min="12819" max="12819" width="10.6640625" style="355" customWidth="1"/>
    <col min="12820" max="12821" width="12.6640625" style="355" customWidth="1"/>
    <col min="12822" max="13061" width="12.5546875" style="355" customWidth="1"/>
    <col min="13062" max="13070" width="12.5546875" style="355"/>
    <col min="13071" max="13071" width="37.33203125" style="355" customWidth="1"/>
    <col min="13072" max="13074" width="9.109375" style="355" customWidth="1"/>
    <col min="13075" max="13075" width="10.6640625" style="355" customWidth="1"/>
    <col min="13076" max="13077" width="12.6640625" style="355" customWidth="1"/>
    <col min="13078" max="13317" width="12.5546875" style="355" customWidth="1"/>
    <col min="13318" max="13326" width="12.5546875" style="355"/>
    <col min="13327" max="13327" width="37.33203125" style="355" customWidth="1"/>
    <col min="13328" max="13330" width="9.109375" style="355" customWidth="1"/>
    <col min="13331" max="13331" width="10.6640625" style="355" customWidth="1"/>
    <col min="13332" max="13333" width="12.6640625" style="355" customWidth="1"/>
    <col min="13334" max="13573" width="12.5546875" style="355" customWidth="1"/>
    <col min="13574" max="13582" width="12.5546875" style="355"/>
    <col min="13583" max="13583" width="37.33203125" style="355" customWidth="1"/>
    <col min="13584" max="13586" width="9.109375" style="355" customWidth="1"/>
    <col min="13587" max="13587" width="10.6640625" style="355" customWidth="1"/>
    <col min="13588" max="13589" width="12.6640625" style="355" customWidth="1"/>
    <col min="13590" max="13829" width="12.5546875" style="355" customWidth="1"/>
    <col min="13830" max="13838" width="12.5546875" style="355"/>
    <col min="13839" max="13839" width="37.33203125" style="355" customWidth="1"/>
    <col min="13840" max="13842" width="9.109375" style="355" customWidth="1"/>
    <col min="13843" max="13843" width="10.6640625" style="355" customWidth="1"/>
    <col min="13844" max="13845" width="12.6640625" style="355" customWidth="1"/>
    <col min="13846" max="14085" width="12.5546875" style="355" customWidth="1"/>
    <col min="14086" max="14094" width="12.5546875" style="355"/>
    <col min="14095" max="14095" width="37.33203125" style="355" customWidth="1"/>
    <col min="14096" max="14098" width="9.109375" style="355" customWidth="1"/>
    <col min="14099" max="14099" width="10.6640625" style="355" customWidth="1"/>
    <col min="14100" max="14101" width="12.6640625" style="355" customWidth="1"/>
    <col min="14102" max="14341" width="12.5546875" style="355" customWidth="1"/>
    <col min="14342" max="14350" width="12.5546875" style="355"/>
    <col min="14351" max="14351" width="37.33203125" style="355" customWidth="1"/>
    <col min="14352" max="14354" width="9.109375" style="355" customWidth="1"/>
    <col min="14355" max="14355" width="10.6640625" style="355" customWidth="1"/>
    <col min="14356" max="14357" width="12.6640625" style="355" customWidth="1"/>
    <col min="14358" max="14597" width="12.5546875" style="355" customWidth="1"/>
    <col min="14598" max="14606" width="12.5546875" style="355"/>
    <col min="14607" max="14607" width="37.33203125" style="355" customWidth="1"/>
    <col min="14608" max="14610" width="9.109375" style="355" customWidth="1"/>
    <col min="14611" max="14611" width="10.6640625" style="355" customWidth="1"/>
    <col min="14612" max="14613" width="12.6640625" style="355" customWidth="1"/>
    <col min="14614" max="14853" width="12.5546875" style="355" customWidth="1"/>
    <col min="14854" max="14862" width="12.5546875" style="355"/>
    <col min="14863" max="14863" width="37.33203125" style="355" customWidth="1"/>
    <col min="14864" max="14866" width="9.109375" style="355" customWidth="1"/>
    <col min="14867" max="14867" width="10.6640625" style="355" customWidth="1"/>
    <col min="14868" max="14869" width="12.6640625" style="355" customWidth="1"/>
    <col min="14870" max="15109" width="12.5546875" style="355" customWidth="1"/>
    <col min="15110" max="15118" width="12.5546875" style="355"/>
    <col min="15119" max="15119" width="37.33203125" style="355" customWidth="1"/>
    <col min="15120" max="15122" width="9.109375" style="355" customWidth="1"/>
    <col min="15123" max="15123" width="10.6640625" style="355" customWidth="1"/>
    <col min="15124" max="15125" width="12.6640625" style="355" customWidth="1"/>
    <col min="15126" max="15365" width="12.5546875" style="355" customWidth="1"/>
    <col min="15366" max="15374" width="12.5546875" style="355"/>
    <col min="15375" max="15375" width="37.33203125" style="355" customWidth="1"/>
    <col min="15376" max="15378" width="9.109375" style="355" customWidth="1"/>
    <col min="15379" max="15379" width="10.6640625" style="355" customWidth="1"/>
    <col min="15380" max="15381" width="12.6640625" style="355" customWidth="1"/>
    <col min="15382" max="15621" width="12.5546875" style="355" customWidth="1"/>
    <col min="15622" max="15630" width="12.5546875" style="355"/>
    <col min="15631" max="15631" width="37.33203125" style="355" customWidth="1"/>
    <col min="15632" max="15634" width="9.109375" style="355" customWidth="1"/>
    <col min="15635" max="15635" width="10.6640625" style="355" customWidth="1"/>
    <col min="15636" max="15637" width="12.6640625" style="355" customWidth="1"/>
    <col min="15638" max="15877" width="12.5546875" style="355" customWidth="1"/>
    <col min="15878" max="15886" width="12.5546875" style="355"/>
    <col min="15887" max="15887" width="37.33203125" style="355" customWidth="1"/>
    <col min="15888" max="15890" width="9.109375" style="355" customWidth="1"/>
    <col min="15891" max="15891" width="10.6640625" style="355" customWidth="1"/>
    <col min="15892" max="15893" width="12.6640625" style="355" customWidth="1"/>
    <col min="15894" max="16133" width="12.5546875" style="355" customWidth="1"/>
    <col min="16134" max="16142" width="12.5546875" style="355"/>
    <col min="16143" max="16143" width="37.33203125" style="355" customWidth="1"/>
    <col min="16144" max="16146" width="9.109375" style="355" customWidth="1"/>
    <col min="16147" max="16147" width="10.6640625" style="355" customWidth="1"/>
    <col min="16148" max="16149" width="12.6640625" style="355" customWidth="1"/>
    <col min="16150" max="16384" width="12.5546875" style="355" customWidth="1"/>
  </cols>
  <sheetData>
    <row r="1" spans="1:21" s="334" customFormat="1" ht="15">
      <c r="B1" s="335"/>
      <c r="C1" s="335"/>
      <c r="D1" s="334" t="s">
        <v>1616</v>
      </c>
      <c r="L1" s="321" t="s">
        <v>51</v>
      </c>
      <c r="O1" s="336"/>
      <c r="Q1" s="337"/>
      <c r="R1" s="337"/>
      <c r="S1" s="337"/>
      <c r="T1" s="337"/>
      <c r="U1" s="337"/>
    </row>
    <row r="2" spans="1:21" s="334" customFormat="1" ht="15">
      <c r="B2" s="335"/>
      <c r="C2" s="335"/>
      <c r="D2" s="334" t="s">
        <v>1715</v>
      </c>
      <c r="K2" s="338" t="s">
        <v>55</v>
      </c>
      <c r="L2" s="339" t="s">
        <v>1617</v>
      </c>
      <c r="M2" s="340"/>
      <c r="N2" s="340"/>
      <c r="O2" s="341"/>
      <c r="P2" s="337"/>
      <c r="Q2" s="337"/>
      <c r="R2" s="337"/>
      <c r="S2" s="337"/>
      <c r="T2" s="337"/>
    </row>
    <row r="3" spans="1:21" s="320" customFormat="1">
      <c r="B3" s="335"/>
      <c r="C3" s="335"/>
      <c r="D3" s="320" t="s">
        <v>7</v>
      </c>
      <c r="J3" s="342"/>
      <c r="K3" s="343"/>
      <c r="L3" s="320" t="s">
        <v>1618</v>
      </c>
      <c r="N3" s="336" t="s">
        <v>1619</v>
      </c>
      <c r="P3" s="344"/>
      <c r="Q3" s="344"/>
      <c r="R3" s="344"/>
      <c r="S3" s="344"/>
      <c r="T3" s="345"/>
    </row>
    <row r="4" spans="1:21" s="320" customFormat="1" ht="51.75" customHeight="1">
      <c r="B4" s="346" t="s">
        <v>99</v>
      </c>
      <c r="C4" s="346" t="s">
        <v>1620</v>
      </c>
      <c r="D4" s="347" t="s">
        <v>1706</v>
      </c>
      <c r="E4" s="348" t="s">
        <v>1707</v>
      </c>
      <c r="F4" s="348" t="s">
        <v>1621</v>
      </c>
      <c r="G4" s="348" t="s">
        <v>1622</v>
      </c>
      <c r="H4" s="347" t="s">
        <v>1708</v>
      </c>
      <c r="I4" s="347" t="s">
        <v>1709</v>
      </c>
      <c r="J4" s="349" t="s">
        <v>1623</v>
      </c>
      <c r="K4" s="350" t="s">
        <v>1624</v>
      </c>
      <c r="L4" s="351" t="s">
        <v>1625</v>
      </c>
      <c r="M4" s="352"/>
      <c r="N4" s="353"/>
      <c r="O4" s="354"/>
      <c r="P4" s="355"/>
      <c r="Q4" s="355"/>
      <c r="R4" s="355"/>
      <c r="S4" s="355"/>
      <c r="T4" s="355"/>
    </row>
    <row r="5" spans="1:21" s="320" customFormat="1" ht="12.75" customHeight="1">
      <c r="B5" s="265">
        <v>103606</v>
      </c>
      <c r="C5" s="266" t="s">
        <v>1626</v>
      </c>
      <c r="D5" s="267">
        <v>0</v>
      </c>
      <c r="E5" s="267">
        <v>0</v>
      </c>
      <c r="F5" s="267">
        <v>0</v>
      </c>
      <c r="G5" s="267">
        <v>0</v>
      </c>
      <c r="H5" s="267">
        <v>185</v>
      </c>
      <c r="I5" s="268">
        <v>185</v>
      </c>
      <c r="J5" s="369">
        <f>ROUND(SUM(($D5/30)+($E5/24)+($F5/18)+$H5),2)</f>
        <v>185</v>
      </c>
      <c r="K5" s="265"/>
      <c r="L5" s="363">
        <f>VLOOKUP(B5,$O$7:$P$21,2,FALSE)</f>
        <v>31.95</v>
      </c>
      <c r="M5" s="265">
        <v>103606</v>
      </c>
      <c r="N5" s="269"/>
      <c r="O5" s="269"/>
      <c r="P5" s="269"/>
      <c r="Q5" s="270"/>
      <c r="R5" s="355"/>
      <c r="S5" s="355"/>
    </row>
    <row r="6" spans="1:21" s="343" customFormat="1">
      <c r="A6" s="356">
        <v>100</v>
      </c>
      <c r="B6" s="357">
        <v>30</v>
      </c>
      <c r="C6" s="358" t="s">
        <v>1627</v>
      </c>
      <c r="D6" s="359"/>
      <c r="E6" s="359"/>
      <c r="F6" s="359"/>
      <c r="G6" s="359"/>
      <c r="H6" s="359"/>
      <c r="I6" s="360"/>
      <c r="J6" s="361"/>
      <c r="K6" s="362">
        <f>SUM(J7:J9)</f>
        <v>2301.35</v>
      </c>
      <c r="L6" s="363">
        <f>VLOOKUP(B6,$O$7:$P$21,2,FALSE)</f>
        <v>2876.36</v>
      </c>
      <c r="M6" s="364"/>
      <c r="N6" s="364"/>
      <c r="O6" s="355"/>
      <c r="P6" s="355" t="s">
        <v>1628</v>
      </c>
      <c r="Q6" s="355"/>
      <c r="R6" s="365"/>
    </row>
    <row r="7" spans="1:21" s="343" customFormat="1">
      <c r="A7" s="366">
        <v>110</v>
      </c>
      <c r="B7" s="367">
        <v>3660</v>
      </c>
      <c r="C7" s="335" t="s">
        <v>1629</v>
      </c>
      <c r="D7" s="368">
        <v>0</v>
      </c>
      <c r="E7" s="368">
        <v>0</v>
      </c>
      <c r="F7" s="368">
        <v>0</v>
      </c>
      <c r="G7" s="368">
        <v>0</v>
      </c>
      <c r="H7" s="368">
        <v>905</v>
      </c>
      <c r="I7" s="368">
        <v>905</v>
      </c>
      <c r="J7" s="369">
        <f>ROUND(SUM(($D7/30)+($E7/24)+($F7/18)+$H7),2)</f>
        <v>905</v>
      </c>
      <c r="M7" s="344"/>
      <c r="N7" s="370"/>
      <c r="O7" s="371">
        <v>103606</v>
      </c>
      <c r="P7" s="372">
        <v>31.95</v>
      </c>
      <c r="Q7" s="373" t="s">
        <v>112</v>
      </c>
      <c r="R7" s="365"/>
    </row>
    <row r="8" spans="1:21" s="343" customFormat="1">
      <c r="A8" s="366">
        <v>120</v>
      </c>
      <c r="B8" s="367">
        <v>101</v>
      </c>
      <c r="C8" s="335" t="s">
        <v>1630</v>
      </c>
      <c r="D8" s="368">
        <v>0</v>
      </c>
      <c r="E8" s="368">
        <v>4388</v>
      </c>
      <c r="F8" s="368">
        <v>12535</v>
      </c>
      <c r="G8" s="368">
        <v>16923</v>
      </c>
      <c r="H8" s="368">
        <v>0</v>
      </c>
      <c r="I8" s="368">
        <v>879.22</v>
      </c>
      <c r="J8" s="369">
        <f>ROUND(SUM(($D8/30)+($E8/24)+($F8/18)+$H8),2)</f>
        <v>879.22</v>
      </c>
      <c r="M8" s="364"/>
      <c r="O8" s="371">
        <v>89</v>
      </c>
      <c r="P8" s="372">
        <v>602.4</v>
      </c>
      <c r="Q8" s="373" t="s">
        <v>128</v>
      </c>
      <c r="R8" s="365"/>
    </row>
    <row r="9" spans="1:21" s="343" customFormat="1">
      <c r="A9" s="366">
        <v>130</v>
      </c>
      <c r="B9" s="367">
        <v>10019</v>
      </c>
      <c r="C9" s="335" t="s">
        <v>1631</v>
      </c>
      <c r="D9" s="368">
        <v>0</v>
      </c>
      <c r="E9" s="368">
        <v>12099</v>
      </c>
      <c r="F9" s="368">
        <v>234</v>
      </c>
      <c r="G9" s="368">
        <v>12333</v>
      </c>
      <c r="H9" s="368">
        <v>0</v>
      </c>
      <c r="I9" s="368">
        <v>517.13</v>
      </c>
      <c r="J9" s="369">
        <f>ROUND(SUM(($D9/30)+($E9/24)+($F9/18)+$H9),2)</f>
        <v>517.13</v>
      </c>
      <c r="M9" s="364"/>
      <c r="O9" s="371">
        <v>412</v>
      </c>
      <c r="P9" s="372">
        <v>792.83</v>
      </c>
      <c r="Q9" s="373" t="s">
        <v>125</v>
      </c>
      <c r="R9" s="365"/>
    </row>
    <row r="10" spans="1:21" s="343" customFormat="1">
      <c r="A10" s="356">
        <v>200</v>
      </c>
      <c r="B10" s="357">
        <v>104952</v>
      </c>
      <c r="C10" s="358" t="s">
        <v>1632</v>
      </c>
      <c r="D10" s="359"/>
      <c r="E10" s="359"/>
      <c r="F10" s="359"/>
      <c r="G10" s="359"/>
      <c r="H10" s="359"/>
      <c r="I10" s="360"/>
      <c r="J10" s="361"/>
      <c r="K10" s="362">
        <f>SUM(J11:J15)</f>
        <v>3859.84</v>
      </c>
      <c r="L10" s="363">
        <f>VLOOKUP(B10,$O$7:$P$21,2,FALSE)</f>
        <v>1419.99</v>
      </c>
      <c r="M10" s="364"/>
      <c r="O10" s="371">
        <v>30</v>
      </c>
      <c r="P10" s="372">
        <v>2876.36</v>
      </c>
      <c r="Q10" s="373" t="s">
        <v>114</v>
      </c>
      <c r="R10" s="365"/>
    </row>
    <row r="11" spans="1:21" s="343" customFormat="1">
      <c r="A11" s="366">
        <v>210</v>
      </c>
      <c r="B11" s="367">
        <v>401</v>
      </c>
      <c r="C11" s="335" t="s">
        <v>1630</v>
      </c>
      <c r="D11" s="359">
        <v>0</v>
      </c>
      <c r="E11" s="359">
        <v>974</v>
      </c>
      <c r="F11" s="359">
        <v>3760</v>
      </c>
      <c r="G11" s="359">
        <v>4734</v>
      </c>
      <c r="H11" s="359">
        <v>0</v>
      </c>
      <c r="I11" s="360">
        <v>249.47</v>
      </c>
      <c r="J11" s="369">
        <f>ROUND(SUM(($D11/30)+($E11/24)+($F11/18)+$H11),2)</f>
        <v>249.47</v>
      </c>
      <c r="N11" s="361"/>
      <c r="O11" s="371">
        <v>862</v>
      </c>
      <c r="P11" s="372">
        <v>333.28</v>
      </c>
      <c r="Q11" s="373" t="s">
        <v>127</v>
      </c>
      <c r="R11" s="365"/>
    </row>
    <row r="12" spans="1:21" s="343" customFormat="1">
      <c r="A12" s="366">
        <v>220</v>
      </c>
      <c r="B12" s="367">
        <v>4952</v>
      </c>
      <c r="C12" s="335" t="s">
        <v>1633</v>
      </c>
      <c r="D12" s="359">
        <v>0</v>
      </c>
      <c r="E12" s="359">
        <v>0</v>
      </c>
      <c r="F12" s="359">
        <v>0</v>
      </c>
      <c r="G12" s="359">
        <v>0</v>
      </c>
      <c r="H12" s="359">
        <v>934</v>
      </c>
      <c r="I12" s="360">
        <v>934</v>
      </c>
      <c r="J12" s="369">
        <f>ROUND(SUM(($D12/30)+($E12/24)+($F12/18)+$H12),2)</f>
        <v>934</v>
      </c>
      <c r="L12" s="364"/>
      <c r="M12" s="364"/>
      <c r="O12" s="371">
        <v>203652</v>
      </c>
      <c r="P12" s="372">
        <v>93.2</v>
      </c>
      <c r="Q12" s="373" t="s">
        <v>157</v>
      </c>
      <c r="R12" s="365"/>
    </row>
    <row r="13" spans="1:21" s="343" customFormat="1">
      <c r="A13" s="366">
        <v>230</v>
      </c>
      <c r="B13" s="367">
        <v>403</v>
      </c>
      <c r="C13" s="335" t="s">
        <v>1631</v>
      </c>
      <c r="D13" s="359">
        <v>2975</v>
      </c>
      <c r="E13" s="359">
        <v>21275</v>
      </c>
      <c r="F13" s="359">
        <v>7830</v>
      </c>
      <c r="G13" s="359">
        <v>32080</v>
      </c>
      <c r="H13" s="359">
        <v>0</v>
      </c>
      <c r="I13" s="360">
        <v>1420.63</v>
      </c>
      <c r="J13" s="369">
        <f>ROUND(SUM(($D13/30)+($E13/24)+($F13/18)+$H13),2)</f>
        <v>1420.63</v>
      </c>
      <c r="L13" s="374"/>
      <c r="M13" s="364"/>
      <c r="N13" s="364"/>
      <c r="O13" s="371">
        <v>130</v>
      </c>
      <c r="P13" s="372">
        <v>309.99</v>
      </c>
      <c r="Q13" s="373" t="s">
        <v>116</v>
      </c>
      <c r="R13" s="365"/>
    </row>
    <row r="14" spans="1:21" s="343" customFormat="1">
      <c r="A14" s="366">
        <v>240</v>
      </c>
      <c r="B14" s="367">
        <v>425</v>
      </c>
      <c r="C14" s="335" t="s">
        <v>1634</v>
      </c>
      <c r="D14" s="359">
        <v>0</v>
      </c>
      <c r="E14" s="359">
        <v>1149</v>
      </c>
      <c r="F14" s="359">
        <v>465</v>
      </c>
      <c r="G14" s="359">
        <v>1614</v>
      </c>
      <c r="H14" s="359">
        <v>0</v>
      </c>
      <c r="I14" s="360">
        <v>73.709999999999994</v>
      </c>
      <c r="J14" s="369">
        <f>ROUND(SUM(($D14/30)+($E14/24)+($F14/18)+$H14),2)</f>
        <v>73.709999999999994</v>
      </c>
      <c r="L14" s="374"/>
      <c r="M14" s="364"/>
      <c r="N14" s="364"/>
      <c r="O14" s="371">
        <v>203658</v>
      </c>
      <c r="P14" s="372">
        <v>290.3</v>
      </c>
      <c r="Q14" s="373" t="s">
        <v>118</v>
      </c>
      <c r="R14" s="365"/>
    </row>
    <row r="15" spans="1:21" s="343" customFormat="1">
      <c r="A15" s="366">
        <v>250</v>
      </c>
      <c r="B15" s="367">
        <v>402</v>
      </c>
      <c r="C15" s="335" t="s">
        <v>1635</v>
      </c>
      <c r="D15" s="359">
        <v>21386</v>
      </c>
      <c r="E15" s="359">
        <v>8824</v>
      </c>
      <c r="F15" s="359">
        <v>1827</v>
      </c>
      <c r="G15" s="359">
        <v>32037</v>
      </c>
      <c r="H15" s="359">
        <v>0</v>
      </c>
      <c r="I15" s="360">
        <v>1182.03</v>
      </c>
      <c r="J15" s="369">
        <f>ROUND(SUM(($D15/30)+($E15/24)+($F15/18)+$H15),2)</f>
        <v>1182.03</v>
      </c>
      <c r="M15" s="364"/>
      <c r="N15" s="364"/>
      <c r="O15" s="371">
        <v>11618</v>
      </c>
      <c r="P15" s="372">
        <v>1989.43</v>
      </c>
      <c r="Q15" s="373" t="s">
        <v>123</v>
      </c>
      <c r="R15" s="365"/>
    </row>
    <row r="16" spans="1:21" s="343" customFormat="1" ht="13.8">
      <c r="A16" s="356">
        <v>300</v>
      </c>
      <c r="B16" s="357">
        <v>11618</v>
      </c>
      <c r="C16" s="358" t="s">
        <v>1636</v>
      </c>
      <c r="D16" s="359"/>
      <c r="E16" s="359"/>
      <c r="F16" s="359"/>
      <c r="G16" s="359"/>
      <c r="H16" s="359"/>
      <c r="I16" s="360"/>
      <c r="J16" s="361"/>
      <c r="K16" s="362">
        <f>SUM(J17:J25)</f>
        <v>5267.72</v>
      </c>
      <c r="L16" s="363">
        <f>VLOOKUP(B16,$O$7:$P$21,2,FALSE)</f>
        <v>1989.43</v>
      </c>
      <c r="M16" s="364"/>
      <c r="N16" s="364"/>
      <c r="O16" s="371">
        <v>42439</v>
      </c>
      <c r="P16" s="372">
        <v>235.1</v>
      </c>
      <c r="Q16" s="375" t="s">
        <v>1637</v>
      </c>
      <c r="R16" s="376"/>
    </row>
    <row r="17" spans="1:18" s="343" customFormat="1">
      <c r="A17" s="366">
        <v>305</v>
      </c>
      <c r="B17" s="367">
        <v>410</v>
      </c>
      <c r="C17" s="377" t="s">
        <v>1638</v>
      </c>
      <c r="D17" s="359">
        <v>1931</v>
      </c>
      <c r="E17" s="359">
        <v>63</v>
      </c>
      <c r="F17" s="359">
        <v>0</v>
      </c>
      <c r="G17" s="359">
        <v>1994</v>
      </c>
      <c r="H17" s="359">
        <v>0</v>
      </c>
      <c r="I17" s="360">
        <v>66.989999999999995</v>
      </c>
      <c r="J17" s="369">
        <f t="shared" ref="J17:J25" si="0">ROUND(SUM(($D17/30)+($E17/24)+($F17/18)+$H17),2)</f>
        <v>66.989999999999995</v>
      </c>
      <c r="M17" s="364"/>
      <c r="N17" s="378"/>
      <c r="O17" s="376">
        <v>40</v>
      </c>
      <c r="P17" s="372">
        <v>1604.18</v>
      </c>
      <c r="Q17" s="376" t="s">
        <v>1639</v>
      </c>
      <c r="R17" s="376"/>
    </row>
    <row r="18" spans="1:18" s="343" customFormat="1" ht="13.8">
      <c r="A18" s="366">
        <v>310</v>
      </c>
      <c r="B18" s="367">
        <v>411</v>
      </c>
      <c r="C18" s="335" t="s">
        <v>1640</v>
      </c>
      <c r="D18" s="359">
        <v>0</v>
      </c>
      <c r="E18" s="359">
        <v>0</v>
      </c>
      <c r="F18" s="359">
        <v>0</v>
      </c>
      <c r="G18" s="359">
        <v>0</v>
      </c>
      <c r="H18" s="359">
        <v>95</v>
      </c>
      <c r="I18" s="360">
        <v>95</v>
      </c>
      <c r="J18" s="369">
        <f t="shared" si="0"/>
        <v>95</v>
      </c>
      <c r="L18" s="379"/>
      <c r="M18" s="380"/>
      <c r="N18" s="380"/>
      <c r="O18" s="376">
        <v>25554</v>
      </c>
      <c r="P18" s="372">
        <v>1879.17</v>
      </c>
      <c r="Q18" s="376" t="s">
        <v>245</v>
      </c>
      <c r="R18" s="376"/>
    </row>
    <row r="19" spans="1:18" s="343" customFormat="1">
      <c r="A19" s="366">
        <v>320</v>
      </c>
      <c r="B19" s="367">
        <v>4951</v>
      </c>
      <c r="C19" s="335" t="s">
        <v>1641</v>
      </c>
      <c r="D19" s="359">
        <v>0</v>
      </c>
      <c r="E19" s="359">
        <v>0</v>
      </c>
      <c r="F19" s="359">
        <v>0</v>
      </c>
      <c r="G19" s="359">
        <v>0</v>
      </c>
      <c r="H19" s="359">
        <v>422</v>
      </c>
      <c r="I19" s="360">
        <v>422</v>
      </c>
      <c r="J19" s="369">
        <f t="shared" si="0"/>
        <v>422</v>
      </c>
      <c r="M19" s="364"/>
      <c r="N19" s="364"/>
      <c r="O19" s="376">
        <v>104952</v>
      </c>
      <c r="P19" s="372">
        <v>1419.99</v>
      </c>
      <c r="Q19" s="376" t="s">
        <v>532</v>
      </c>
      <c r="R19" s="376"/>
    </row>
    <row r="20" spans="1:18" s="343" customFormat="1">
      <c r="A20" s="366">
        <v>330</v>
      </c>
      <c r="B20" s="367">
        <v>4954</v>
      </c>
      <c r="C20" s="335" t="s">
        <v>1630</v>
      </c>
      <c r="D20" s="359">
        <v>0</v>
      </c>
      <c r="E20" s="359">
        <v>1781</v>
      </c>
      <c r="F20" s="359">
        <v>8169</v>
      </c>
      <c r="G20" s="359">
        <v>9950</v>
      </c>
      <c r="H20" s="359">
        <v>0</v>
      </c>
      <c r="I20" s="360">
        <v>528.04</v>
      </c>
      <c r="J20" s="369">
        <f t="shared" si="0"/>
        <v>528.04</v>
      </c>
      <c r="L20" s="381"/>
      <c r="M20" s="382"/>
      <c r="N20" s="382"/>
      <c r="O20" s="376">
        <v>203599</v>
      </c>
      <c r="P20" s="372">
        <v>156.05000000000001</v>
      </c>
      <c r="Q20" s="376" t="s">
        <v>32</v>
      </c>
      <c r="R20" s="376"/>
    </row>
    <row r="21" spans="1:18" s="343" customFormat="1">
      <c r="A21" s="366">
        <v>340</v>
      </c>
      <c r="B21" s="367">
        <v>9348</v>
      </c>
      <c r="C21" s="335" t="s">
        <v>1633</v>
      </c>
      <c r="D21" s="359">
        <v>0</v>
      </c>
      <c r="E21" s="359">
        <v>0</v>
      </c>
      <c r="F21" s="359">
        <v>0</v>
      </c>
      <c r="G21" s="359">
        <v>0</v>
      </c>
      <c r="H21" s="359">
        <v>962</v>
      </c>
      <c r="I21" s="360">
        <v>962</v>
      </c>
      <c r="J21" s="369">
        <f t="shared" si="0"/>
        <v>962</v>
      </c>
      <c r="L21" s="381"/>
      <c r="M21" s="382"/>
      <c r="N21" s="382"/>
      <c r="O21" s="376">
        <v>100130</v>
      </c>
      <c r="P21" s="372">
        <v>0</v>
      </c>
      <c r="Q21" s="376" t="s">
        <v>33</v>
      </c>
      <c r="R21" s="376"/>
    </row>
    <row r="22" spans="1:18" s="343" customFormat="1">
      <c r="A22" s="366">
        <v>350</v>
      </c>
      <c r="B22" s="367">
        <v>109348</v>
      </c>
      <c r="C22" s="335" t="s">
        <v>1642</v>
      </c>
      <c r="D22" s="359">
        <v>0</v>
      </c>
      <c r="E22" s="359">
        <v>940</v>
      </c>
      <c r="F22" s="359">
        <v>0</v>
      </c>
      <c r="G22" s="359">
        <v>940</v>
      </c>
      <c r="H22" s="359">
        <v>0</v>
      </c>
      <c r="I22" s="360">
        <v>39.17</v>
      </c>
      <c r="J22" s="369">
        <f t="shared" si="0"/>
        <v>39.17</v>
      </c>
      <c r="L22" s="364"/>
      <c r="M22" s="364"/>
      <c r="N22" s="364"/>
      <c r="O22" s="376"/>
      <c r="P22" s="383">
        <f>SUM(P7:P21)</f>
        <v>12614.23</v>
      </c>
      <c r="Q22" s="376" t="s">
        <v>90</v>
      </c>
    </row>
    <row r="23" spans="1:18" s="343" customFormat="1">
      <c r="A23" s="366">
        <v>360</v>
      </c>
      <c r="B23" s="367">
        <v>203</v>
      </c>
      <c r="C23" s="335" t="s">
        <v>1643</v>
      </c>
      <c r="D23" s="359">
        <v>0</v>
      </c>
      <c r="E23" s="359">
        <v>3721</v>
      </c>
      <c r="F23" s="359">
        <v>914</v>
      </c>
      <c r="G23" s="359">
        <v>4635</v>
      </c>
      <c r="H23" s="359">
        <v>0</v>
      </c>
      <c r="I23" s="360">
        <v>205.82</v>
      </c>
      <c r="J23" s="369">
        <f t="shared" si="0"/>
        <v>205.82</v>
      </c>
      <c r="L23" s="364"/>
      <c r="M23" s="364"/>
      <c r="N23" s="364"/>
    </row>
    <row r="24" spans="1:18" s="343" customFormat="1">
      <c r="A24" s="366">
        <v>370</v>
      </c>
      <c r="B24" s="367">
        <v>6956</v>
      </c>
      <c r="C24" s="335" t="s">
        <v>1634</v>
      </c>
      <c r="D24" s="359">
        <v>0</v>
      </c>
      <c r="E24" s="359">
        <v>22932</v>
      </c>
      <c r="F24" s="359">
        <v>7968</v>
      </c>
      <c r="G24" s="359">
        <v>30900</v>
      </c>
      <c r="H24" s="359">
        <v>0</v>
      </c>
      <c r="I24" s="360">
        <v>1398.17</v>
      </c>
      <c r="J24" s="369">
        <f t="shared" si="0"/>
        <v>1398.17</v>
      </c>
      <c r="M24" s="364"/>
      <c r="N24" s="364"/>
    </row>
    <row r="25" spans="1:18" s="343" customFormat="1">
      <c r="A25" s="366">
        <v>380</v>
      </c>
      <c r="B25" s="367">
        <v>201</v>
      </c>
      <c r="C25" s="335" t="s">
        <v>1635</v>
      </c>
      <c r="D25" s="359">
        <v>23010</v>
      </c>
      <c r="E25" s="359">
        <v>8606</v>
      </c>
      <c r="F25" s="359">
        <v>7649</v>
      </c>
      <c r="G25" s="359">
        <v>39265</v>
      </c>
      <c r="H25" s="359">
        <v>0</v>
      </c>
      <c r="I25" s="360">
        <v>1550.53</v>
      </c>
      <c r="J25" s="369">
        <f t="shared" si="0"/>
        <v>1550.53</v>
      </c>
      <c r="M25" s="364"/>
      <c r="N25" s="364"/>
      <c r="P25" s="343" t="s">
        <v>1644</v>
      </c>
    </row>
    <row r="26" spans="1:18" s="343" customFormat="1">
      <c r="A26" s="356">
        <v>400</v>
      </c>
      <c r="B26" s="357">
        <v>40</v>
      </c>
      <c r="C26" s="358" t="s">
        <v>1645</v>
      </c>
      <c r="D26" s="359"/>
      <c r="E26" s="359"/>
      <c r="F26" s="359"/>
      <c r="G26" s="359"/>
      <c r="H26" s="359"/>
      <c r="I26" s="360"/>
      <c r="J26" s="369"/>
      <c r="K26" s="362">
        <f>SUM(J27:J34)</f>
        <v>3971.78</v>
      </c>
      <c r="L26" s="363">
        <f>VLOOKUP(B26,$O$7:$P$21,2,FALSE)</f>
        <v>1604.18</v>
      </c>
      <c r="M26" s="384"/>
      <c r="N26" s="378"/>
    </row>
    <row r="27" spans="1:18" s="343" customFormat="1">
      <c r="A27" s="366">
        <v>410</v>
      </c>
      <c r="B27" s="367">
        <v>9799</v>
      </c>
      <c r="C27" s="335" t="s">
        <v>1641</v>
      </c>
      <c r="D27" s="359">
        <v>0</v>
      </c>
      <c r="E27" s="359">
        <v>0</v>
      </c>
      <c r="F27" s="359">
        <v>0</v>
      </c>
      <c r="G27" s="359">
        <v>0</v>
      </c>
      <c r="H27" s="359">
        <v>420</v>
      </c>
      <c r="I27" s="360">
        <v>420</v>
      </c>
      <c r="J27" s="369">
        <f t="shared" ref="J27:J35" si="1">ROUND(SUM(($D27/30)+($E27/24)+($F27/18)+$H27),2)</f>
        <v>420</v>
      </c>
      <c r="M27" s="364"/>
      <c r="N27" s="364"/>
      <c r="O27" s="364"/>
    </row>
    <row r="28" spans="1:18" s="343" customFormat="1">
      <c r="A28" s="366">
        <v>420</v>
      </c>
      <c r="B28" s="367">
        <v>304</v>
      </c>
      <c r="C28" s="335" t="s">
        <v>1646</v>
      </c>
      <c r="D28" s="359">
        <v>0</v>
      </c>
      <c r="E28" s="359">
        <v>0</v>
      </c>
      <c r="F28" s="359">
        <v>0</v>
      </c>
      <c r="G28" s="359">
        <v>0</v>
      </c>
      <c r="H28" s="359">
        <v>109</v>
      </c>
      <c r="I28" s="360">
        <v>109</v>
      </c>
      <c r="J28" s="369">
        <f t="shared" si="1"/>
        <v>109</v>
      </c>
      <c r="L28" s="364"/>
      <c r="M28" s="364"/>
      <c r="N28" s="364"/>
      <c r="O28" s="364"/>
    </row>
    <row r="29" spans="1:18" s="343" customFormat="1">
      <c r="A29" s="366"/>
      <c r="B29" s="367">
        <v>301</v>
      </c>
      <c r="C29" s="335" t="s">
        <v>1630</v>
      </c>
      <c r="D29" s="359">
        <v>0</v>
      </c>
      <c r="E29" s="359">
        <v>1551</v>
      </c>
      <c r="F29" s="359">
        <v>4514</v>
      </c>
      <c r="G29" s="359">
        <v>6065</v>
      </c>
      <c r="H29" s="359">
        <v>0</v>
      </c>
      <c r="I29" s="360">
        <v>315.39999999999998</v>
      </c>
      <c r="J29" s="369">
        <f t="shared" si="1"/>
        <v>315.39999999999998</v>
      </c>
      <c r="L29" s="364"/>
      <c r="M29" s="364"/>
      <c r="N29" s="364"/>
      <c r="O29" s="364"/>
    </row>
    <row r="30" spans="1:18" s="343" customFormat="1">
      <c r="A30" s="366">
        <v>430</v>
      </c>
      <c r="B30" s="367">
        <v>311</v>
      </c>
      <c r="C30" s="385" t="s">
        <v>1647</v>
      </c>
      <c r="D30" s="359">
        <v>1247</v>
      </c>
      <c r="E30" s="359">
        <v>0</v>
      </c>
      <c r="F30" s="359">
        <v>0</v>
      </c>
      <c r="G30" s="359">
        <v>1247</v>
      </c>
      <c r="H30" s="359">
        <v>0</v>
      </c>
      <c r="I30" s="360">
        <v>41.57</v>
      </c>
      <c r="J30" s="369">
        <f t="shared" si="1"/>
        <v>41.57</v>
      </c>
      <c r="L30" s="364"/>
      <c r="M30" s="364"/>
      <c r="N30" s="364"/>
      <c r="O30" s="364"/>
    </row>
    <row r="31" spans="1:18" s="343" customFormat="1">
      <c r="A31" s="366">
        <v>440</v>
      </c>
      <c r="B31" s="367">
        <v>3659</v>
      </c>
      <c r="C31" s="335" t="s">
        <v>1633</v>
      </c>
      <c r="D31" s="359">
        <v>0</v>
      </c>
      <c r="E31" s="359">
        <v>0</v>
      </c>
      <c r="F31" s="359">
        <v>0</v>
      </c>
      <c r="G31" s="359">
        <v>0</v>
      </c>
      <c r="H31" s="359">
        <v>857</v>
      </c>
      <c r="I31" s="360">
        <v>857</v>
      </c>
      <c r="J31" s="369">
        <f t="shared" si="1"/>
        <v>857</v>
      </c>
      <c r="K31" s="361"/>
      <c r="M31" s="364"/>
      <c r="N31" s="364"/>
      <c r="O31" s="364"/>
    </row>
    <row r="32" spans="1:18" s="343" customFormat="1">
      <c r="A32" s="366">
        <v>445</v>
      </c>
      <c r="B32" s="367">
        <v>305</v>
      </c>
      <c r="C32" s="335" t="s">
        <v>1642</v>
      </c>
      <c r="D32" s="359">
        <v>0</v>
      </c>
      <c r="E32" s="359">
        <v>352</v>
      </c>
      <c r="F32" s="359">
        <v>0</v>
      </c>
      <c r="G32" s="359">
        <v>352</v>
      </c>
      <c r="H32" s="359">
        <v>0</v>
      </c>
      <c r="I32" s="360">
        <v>14.67</v>
      </c>
      <c r="J32" s="369">
        <f t="shared" si="1"/>
        <v>14.67</v>
      </c>
      <c r="L32" s="364"/>
      <c r="M32" s="364"/>
      <c r="N32" s="364"/>
      <c r="O32" s="364"/>
    </row>
    <row r="33" spans="1:15" s="343" customFormat="1">
      <c r="A33" s="366">
        <v>450</v>
      </c>
      <c r="B33" s="367">
        <v>303</v>
      </c>
      <c r="C33" s="335" t="s">
        <v>1631</v>
      </c>
      <c r="D33" s="359">
        <v>5062</v>
      </c>
      <c r="E33" s="359">
        <v>19871</v>
      </c>
      <c r="F33" s="359">
        <v>5920</v>
      </c>
      <c r="G33" s="359">
        <v>30853</v>
      </c>
      <c r="H33" s="359">
        <v>0</v>
      </c>
      <c r="I33" s="360">
        <v>1325.58</v>
      </c>
      <c r="J33" s="369">
        <f t="shared" si="1"/>
        <v>1325.58</v>
      </c>
      <c r="M33" s="364"/>
      <c r="N33" s="364"/>
      <c r="O33" s="364"/>
    </row>
    <row r="34" spans="1:15" s="343" customFormat="1">
      <c r="A34" s="366">
        <v>460</v>
      </c>
      <c r="B34" s="367">
        <v>302</v>
      </c>
      <c r="C34" s="335" t="s">
        <v>1635</v>
      </c>
      <c r="D34" s="359">
        <v>18361</v>
      </c>
      <c r="E34" s="359">
        <v>110</v>
      </c>
      <c r="F34" s="359">
        <v>4895</v>
      </c>
      <c r="G34" s="359">
        <v>23366</v>
      </c>
      <c r="H34" s="359">
        <v>0</v>
      </c>
      <c r="I34" s="360">
        <v>888.56</v>
      </c>
      <c r="J34" s="369">
        <f t="shared" si="1"/>
        <v>888.56</v>
      </c>
      <c r="M34" s="364"/>
      <c r="N34" s="364"/>
      <c r="O34" s="364"/>
    </row>
    <row r="35" spans="1:15" s="343" customFormat="1">
      <c r="A35" s="356">
        <v>500</v>
      </c>
      <c r="B35" s="386">
        <v>25554</v>
      </c>
      <c r="C35" s="387" t="s">
        <v>1648</v>
      </c>
      <c r="D35" s="359">
        <v>10569</v>
      </c>
      <c r="E35" s="359">
        <v>714</v>
      </c>
      <c r="F35" s="359">
        <v>0</v>
      </c>
      <c r="G35" s="359">
        <v>11283</v>
      </c>
      <c r="H35" s="359">
        <v>0</v>
      </c>
      <c r="I35" s="360">
        <v>382.05</v>
      </c>
      <c r="J35" s="369">
        <f t="shared" si="1"/>
        <v>382.05</v>
      </c>
      <c r="K35" s="362">
        <f>J35</f>
        <v>382.05</v>
      </c>
      <c r="L35" s="363">
        <f>VLOOKUP(B35,$O$7:$P$21,2,FALSE)</f>
        <v>1879.17</v>
      </c>
      <c r="M35" s="364"/>
      <c r="N35" s="364"/>
      <c r="O35" s="364"/>
    </row>
    <row r="36" spans="1:15" s="343" customFormat="1">
      <c r="A36" s="356">
        <v>600</v>
      </c>
      <c r="B36" s="357">
        <v>42439</v>
      </c>
      <c r="C36" s="358" t="s">
        <v>1649</v>
      </c>
      <c r="D36" s="359"/>
      <c r="E36" s="359"/>
      <c r="F36" s="359"/>
      <c r="G36" s="359"/>
      <c r="H36" s="359"/>
      <c r="I36" s="360"/>
      <c r="K36" s="362">
        <f>J37+J38</f>
        <v>80.5</v>
      </c>
      <c r="L36" s="363">
        <f>VLOOKUP(B36,$O$7:$P$21,2,FALSE)</f>
        <v>235.1</v>
      </c>
      <c r="M36" s="364"/>
      <c r="N36" s="364"/>
      <c r="O36" s="364"/>
    </row>
    <row r="37" spans="1:15" s="343" customFormat="1">
      <c r="A37" s="366">
        <v>650</v>
      </c>
      <c r="B37" s="388">
        <v>404</v>
      </c>
      <c r="C37" s="343" t="s">
        <v>1650</v>
      </c>
      <c r="D37" s="359">
        <v>0</v>
      </c>
      <c r="E37" s="359">
        <v>404</v>
      </c>
      <c r="F37" s="359">
        <v>0</v>
      </c>
      <c r="G37" s="359">
        <v>404</v>
      </c>
      <c r="H37" s="359">
        <v>0</v>
      </c>
      <c r="I37" s="360">
        <v>16.829999999999998</v>
      </c>
      <c r="J37" s="369">
        <f t="shared" ref="J37:J47" si="2">ROUND(SUM(($D37/30)+($E37/24)+($F37/18)+$H37),2)</f>
        <v>16.829999999999998</v>
      </c>
      <c r="L37" s="364"/>
      <c r="M37" s="364"/>
      <c r="N37" s="364"/>
      <c r="O37" s="364"/>
    </row>
    <row r="38" spans="1:15" s="343" customFormat="1">
      <c r="A38" s="366">
        <v>660</v>
      </c>
      <c r="B38" s="367">
        <v>429</v>
      </c>
      <c r="C38" s="335" t="s">
        <v>1651</v>
      </c>
      <c r="D38" s="359">
        <v>0</v>
      </c>
      <c r="E38" s="359">
        <v>1528</v>
      </c>
      <c r="F38" s="359">
        <v>0</v>
      </c>
      <c r="G38" s="359">
        <v>1528</v>
      </c>
      <c r="H38" s="359">
        <v>0</v>
      </c>
      <c r="I38" s="360">
        <v>63.67</v>
      </c>
      <c r="J38" s="369">
        <f t="shared" si="2"/>
        <v>63.67</v>
      </c>
      <c r="M38" s="364"/>
      <c r="N38" s="364"/>
      <c r="O38" s="364"/>
    </row>
    <row r="39" spans="1:15" s="343" customFormat="1">
      <c r="A39" s="356">
        <v>700</v>
      </c>
      <c r="B39" s="357">
        <v>89</v>
      </c>
      <c r="C39" s="358" t="s">
        <v>1652</v>
      </c>
      <c r="D39" s="359"/>
      <c r="E39" s="359"/>
      <c r="F39" s="359"/>
      <c r="G39" s="359"/>
      <c r="H39" s="359"/>
      <c r="I39" s="360"/>
      <c r="J39" s="369"/>
      <c r="K39" s="362">
        <f>SUM(J40:J47)</f>
        <v>3607.6499999999996</v>
      </c>
      <c r="L39" s="363">
        <f>VLOOKUP(B39,$O$7:$P$21,2,FALSE)</f>
        <v>602.4</v>
      </c>
      <c r="M39" s="364"/>
      <c r="N39" s="378"/>
      <c r="O39" s="364"/>
    </row>
    <row r="40" spans="1:15" s="343" customFormat="1">
      <c r="A40" s="366">
        <v>710</v>
      </c>
      <c r="B40" s="367">
        <v>406</v>
      </c>
      <c r="C40" s="335" t="s">
        <v>1653</v>
      </c>
      <c r="D40" s="359">
        <v>0</v>
      </c>
      <c r="E40" s="359">
        <v>67</v>
      </c>
      <c r="F40" s="359">
        <v>264</v>
      </c>
      <c r="G40" s="359">
        <v>331</v>
      </c>
      <c r="H40" s="359">
        <v>98</v>
      </c>
      <c r="I40" s="360">
        <v>115.46</v>
      </c>
      <c r="J40" s="369">
        <f t="shared" si="2"/>
        <v>115.46</v>
      </c>
      <c r="M40" s="364"/>
      <c r="N40" s="364"/>
      <c r="O40" s="364"/>
    </row>
    <row r="41" spans="1:15" s="343" customFormat="1">
      <c r="A41" s="366">
        <v>720</v>
      </c>
      <c r="B41" s="367">
        <v>4948</v>
      </c>
      <c r="C41" s="335" t="s">
        <v>1654</v>
      </c>
      <c r="D41" s="359">
        <v>0</v>
      </c>
      <c r="E41" s="359">
        <v>0</v>
      </c>
      <c r="F41" s="359">
        <v>0</v>
      </c>
      <c r="G41" s="359">
        <v>0</v>
      </c>
      <c r="H41" s="359">
        <v>416</v>
      </c>
      <c r="I41" s="360">
        <v>416</v>
      </c>
      <c r="J41" s="369">
        <f t="shared" si="2"/>
        <v>416</v>
      </c>
      <c r="L41" s="364"/>
      <c r="M41" s="364"/>
      <c r="N41" s="364"/>
      <c r="O41" s="364"/>
    </row>
    <row r="42" spans="1:15" s="343" customFormat="1">
      <c r="A42" s="366">
        <v>730</v>
      </c>
      <c r="B42" s="367">
        <v>405</v>
      </c>
      <c r="C42" s="335" t="s">
        <v>1655</v>
      </c>
      <c r="D42" s="359">
        <v>1912</v>
      </c>
      <c r="E42" s="359">
        <v>0</v>
      </c>
      <c r="F42" s="359">
        <v>0</v>
      </c>
      <c r="G42" s="359">
        <v>1912</v>
      </c>
      <c r="H42" s="359">
        <v>0</v>
      </c>
      <c r="I42" s="360">
        <v>63.73</v>
      </c>
      <c r="J42" s="369">
        <f t="shared" si="2"/>
        <v>63.73</v>
      </c>
      <c r="M42" s="364"/>
      <c r="N42" s="364"/>
      <c r="O42" s="364"/>
    </row>
    <row r="43" spans="1:15" s="343" customFormat="1">
      <c r="A43" s="366">
        <v>740</v>
      </c>
      <c r="B43" s="367">
        <v>180</v>
      </c>
      <c r="C43" s="335" t="s">
        <v>1656</v>
      </c>
      <c r="D43" s="359">
        <v>0</v>
      </c>
      <c r="E43" s="359">
        <v>1580</v>
      </c>
      <c r="F43" s="359">
        <v>1547</v>
      </c>
      <c r="G43" s="359">
        <v>3127</v>
      </c>
      <c r="H43" s="359">
        <v>0</v>
      </c>
      <c r="I43" s="360">
        <v>151.78</v>
      </c>
      <c r="J43" s="369">
        <f t="shared" si="2"/>
        <v>151.78</v>
      </c>
      <c r="K43" s="361"/>
      <c r="L43" s="364"/>
      <c r="M43" s="364"/>
      <c r="N43" s="364"/>
      <c r="O43" s="364"/>
    </row>
    <row r="44" spans="1:15" s="343" customFormat="1">
      <c r="A44" s="366">
        <v>750</v>
      </c>
      <c r="B44" s="367">
        <v>79</v>
      </c>
      <c r="C44" s="335" t="s">
        <v>1657</v>
      </c>
      <c r="D44" s="359">
        <v>13342</v>
      </c>
      <c r="E44" s="359">
        <v>1738</v>
      </c>
      <c r="F44" s="359">
        <v>0</v>
      </c>
      <c r="G44" s="359">
        <v>15080</v>
      </c>
      <c r="H44" s="359">
        <v>0</v>
      </c>
      <c r="I44" s="360">
        <v>517.15</v>
      </c>
      <c r="J44" s="369">
        <f t="shared" si="2"/>
        <v>517.15</v>
      </c>
      <c r="L44" s="364"/>
      <c r="M44" s="364"/>
      <c r="N44" s="364"/>
      <c r="O44" s="364"/>
    </row>
    <row r="45" spans="1:15" s="343" customFormat="1">
      <c r="A45" s="366">
        <v>760</v>
      </c>
      <c r="B45" s="367">
        <v>88</v>
      </c>
      <c r="C45" s="335" t="s">
        <v>1658</v>
      </c>
      <c r="D45" s="359">
        <v>0</v>
      </c>
      <c r="E45" s="359">
        <v>16511</v>
      </c>
      <c r="F45" s="359">
        <v>178</v>
      </c>
      <c r="G45" s="359">
        <v>16689</v>
      </c>
      <c r="H45" s="359">
        <v>0</v>
      </c>
      <c r="I45" s="360">
        <v>697.85</v>
      </c>
      <c r="J45" s="369">
        <f t="shared" si="2"/>
        <v>697.85</v>
      </c>
      <c r="L45" s="364"/>
      <c r="M45" s="364"/>
      <c r="N45" s="364"/>
      <c r="O45" s="364"/>
    </row>
    <row r="46" spans="1:15" s="343" customFormat="1">
      <c r="A46" s="366">
        <v>770</v>
      </c>
      <c r="B46" s="367">
        <v>80</v>
      </c>
      <c r="C46" s="335" t="s">
        <v>1659</v>
      </c>
      <c r="D46" s="359">
        <v>0</v>
      </c>
      <c r="E46" s="359">
        <v>0</v>
      </c>
      <c r="F46" s="359">
        <v>0</v>
      </c>
      <c r="G46" s="359">
        <v>0</v>
      </c>
      <c r="H46" s="359">
        <v>663</v>
      </c>
      <c r="I46" s="360">
        <v>663</v>
      </c>
      <c r="J46" s="369">
        <f t="shared" si="2"/>
        <v>663</v>
      </c>
      <c r="M46" s="364"/>
      <c r="N46" s="378"/>
      <c r="O46" s="364"/>
    </row>
    <row r="47" spans="1:15" s="343" customFormat="1">
      <c r="A47" s="366">
        <v>780</v>
      </c>
      <c r="B47" s="367">
        <v>87</v>
      </c>
      <c r="C47" s="335" t="s">
        <v>1660</v>
      </c>
      <c r="D47" s="359">
        <v>16133</v>
      </c>
      <c r="E47" s="359">
        <v>9154</v>
      </c>
      <c r="F47" s="359">
        <v>1143</v>
      </c>
      <c r="G47" s="359">
        <v>26430</v>
      </c>
      <c r="H47" s="359">
        <v>0</v>
      </c>
      <c r="I47" s="360">
        <v>982.68</v>
      </c>
      <c r="J47" s="369">
        <f t="shared" si="2"/>
        <v>982.68</v>
      </c>
      <c r="M47" s="364"/>
      <c r="N47" s="364"/>
      <c r="O47" s="364"/>
    </row>
    <row r="48" spans="1:15" s="343" customFormat="1" ht="15">
      <c r="A48" s="356">
        <v>800</v>
      </c>
      <c r="B48" s="357">
        <v>130</v>
      </c>
      <c r="C48" s="389" t="s">
        <v>708</v>
      </c>
      <c r="D48" s="359"/>
      <c r="E48" s="359"/>
      <c r="F48" s="359"/>
      <c r="G48" s="359"/>
      <c r="H48" s="359"/>
      <c r="I48" s="360"/>
      <c r="J48" s="369"/>
      <c r="K48" s="362">
        <f>SUM(J49:J53)</f>
        <v>2988.4</v>
      </c>
      <c r="L48" s="363">
        <f>VLOOKUP(B48,$O$7:$P$21,2,FALSE)</f>
        <v>309.99</v>
      </c>
      <c r="M48" s="364"/>
      <c r="N48" s="364"/>
      <c r="O48" s="364"/>
    </row>
    <row r="49" spans="1:15" s="343" customFormat="1">
      <c r="A49" s="366">
        <v>810</v>
      </c>
      <c r="B49" s="367">
        <v>9768</v>
      </c>
      <c r="C49" s="335" t="s">
        <v>1661</v>
      </c>
      <c r="D49" s="359">
        <v>0</v>
      </c>
      <c r="E49" s="359">
        <v>0</v>
      </c>
      <c r="F49" s="359">
        <v>0</v>
      </c>
      <c r="G49" s="359">
        <v>0</v>
      </c>
      <c r="H49" s="359">
        <v>943</v>
      </c>
      <c r="I49" s="360">
        <v>943</v>
      </c>
      <c r="J49" s="369">
        <f>ROUND(SUM(($D49/30)+($E49/24)+($F49/18)+$H49),2)</f>
        <v>943</v>
      </c>
      <c r="K49" s="361"/>
      <c r="M49" s="364"/>
      <c r="N49" s="378"/>
      <c r="O49" s="364"/>
    </row>
    <row r="50" spans="1:15" s="343" customFormat="1">
      <c r="A50" s="366">
        <v>820</v>
      </c>
      <c r="B50" s="367">
        <v>131</v>
      </c>
      <c r="C50" s="335" t="s">
        <v>1630</v>
      </c>
      <c r="D50" s="359">
        <v>0</v>
      </c>
      <c r="E50" s="359">
        <v>14181</v>
      </c>
      <c r="F50" s="359">
        <v>1998</v>
      </c>
      <c r="G50" s="359">
        <v>16179</v>
      </c>
      <c r="H50" s="359">
        <v>0</v>
      </c>
      <c r="I50" s="360">
        <v>701.88</v>
      </c>
      <c r="J50" s="369">
        <f>ROUND(SUM(($D50/30)+($E50/24)+($F50/18)+$H50),2)</f>
        <v>701.88</v>
      </c>
      <c r="L50" s="364"/>
      <c r="M50" s="364"/>
      <c r="N50" s="364"/>
      <c r="O50" s="364"/>
    </row>
    <row r="51" spans="1:15" s="343" customFormat="1">
      <c r="A51" s="366"/>
      <c r="B51" s="367">
        <v>133</v>
      </c>
      <c r="C51" s="335" t="s">
        <v>1631</v>
      </c>
      <c r="D51" s="359">
        <v>0</v>
      </c>
      <c r="E51" s="359">
        <v>13378</v>
      </c>
      <c r="F51" s="359">
        <v>0</v>
      </c>
      <c r="G51" s="359">
        <v>13378</v>
      </c>
      <c r="H51" s="359">
        <v>0</v>
      </c>
      <c r="I51" s="360">
        <v>557.41999999999996</v>
      </c>
      <c r="J51" s="369">
        <f>ROUND(SUM(($D51/30)+($E51/24)+($F51/18)+$H51),2)</f>
        <v>557.41999999999996</v>
      </c>
      <c r="M51" s="364"/>
      <c r="N51" s="378"/>
      <c r="O51" s="364"/>
    </row>
    <row r="52" spans="1:15" s="343" customFormat="1">
      <c r="A52" s="366">
        <v>830</v>
      </c>
      <c r="B52" s="367">
        <v>136</v>
      </c>
      <c r="C52" s="335" t="s">
        <v>1662</v>
      </c>
      <c r="D52" s="359">
        <v>0</v>
      </c>
      <c r="E52" s="359">
        <v>14663</v>
      </c>
      <c r="F52" s="359">
        <v>0</v>
      </c>
      <c r="G52" s="359">
        <v>14663</v>
      </c>
      <c r="H52" s="359">
        <v>0</v>
      </c>
      <c r="I52" s="360">
        <v>610.96</v>
      </c>
      <c r="J52" s="369">
        <f>ROUND(SUM(($D52/30)+($E52/24)+($F52/18)+$H52),2)</f>
        <v>610.96</v>
      </c>
      <c r="M52" s="364"/>
      <c r="N52" s="364"/>
      <c r="O52" s="364"/>
    </row>
    <row r="53" spans="1:15" s="343" customFormat="1">
      <c r="A53" s="366">
        <v>840</v>
      </c>
      <c r="B53" s="367">
        <v>134</v>
      </c>
      <c r="C53" s="335" t="s">
        <v>1634</v>
      </c>
      <c r="D53" s="359">
        <v>0</v>
      </c>
      <c r="E53" s="359">
        <v>3902</v>
      </c>
      <c r="F53" s="359">
        <v>226</v>
      </c>
      <c r="G53" s="359">
        <v>4128</v>
      </c>
      <c r="H53" s="359">
        <v>0</v>
      </c>
      <c r="I53" s="360">
        <v>175.14</v>
      </c>
      <c r="J53" s="369">
        <f>ROUND(SUM(($D53/30)+($E53/24)+($F53/18)+$H53),2)</f>
        <v>175.14</v>
      </c>
      <c r="M53" s="364"/>
      <c r="N53" s="364"/>
      <c r="O53" s="364"/>
    </row>
    <row r="54" spans="1:15" s="343" customFormat="1">
      <c r="A54" s="356">
        <v>900</v>
      </c>
      <c r="B54" s="357">
        <v>412</v>
      </c>
      <c r="C54" s="358" t="s">
        <v>1663</v>
      </c>
      <c r="D54" s="359"/>
      <c r="E54" s="359"/>
      <c r="F54" s="359"/>
      <c r="G54" s="359"/>
      <c r="H54" s="359"/>
      <c r="I54" s="360"/>
      <c r="J54" s="369"/>
      <c r="K54" s="362">
        <f>SUM(J55:J60)</f>
        <v>6016.07</v>
      </c>
      <c r="L54" s="363">
        <f>VLOOKUP(B54,$O$7:$P$21,2,FALSE)</f>
        <v>792.83</v>
      </c>
      <c r="M54" s="364"/>
      <c r="N54" s="364"/>
      <c r="O54" s="364"/>
    </row>
    <row r="55" spans="1:15" s="343" customFormat="1">
      <c r="A55" s="366">
        <v>910</v>
      </c>
      <c r="B55" s="367">
        <v>419</v>
      </c>
      <c r="C55" s="335" t="s">
        <v>1664</v>
      </c>
      <c r="D55" s="359">
        <v>0</v>
      </c>
      <c r="E55" s="359">
        <v>2932</v>
      </c>
      <c r="F55" s="359">
        <v>0</v>
      </c>
      <c r="G55" s="359">
        <v>2932</v>
      </c>
      <c r="H55" s="359">
        <v>0</v>
      </c>
      <c r="I55" s="360">
        <v>122.17</v>
      </c>
      <c r="J55" s="369">
        <f t="shared" ref="J55:J65" si="3">ROUND(SUM(($D55/30)+($E55/24)+($F55/18)+$H55),2)</f>
        <v>122.17</v>
      </c>
      <c r="L55" s="364"/>
      <c r="M55" s="364"/>
      <c r="N55" s="364"/>
      <c r="O55" s="364"/>
    </row>
    <row r="56" spans="1:15" s="343" customFormat="1">
      <c r="A56" s="366">
        <v>920</v>
      </c>
      <c r="B56" s="367">
        <v>210674</v>
      </c>
      <c r="C56" s="335" t="s">
        <v>1630</v>
      </c>
      <c r="D56" s="359">
        <v>0</v>
      </c>
      <c r="E56" s="359">
        <v>1459</v>
      </c>
      <c r="F56" s="359">
        <v>2134</v>
      </c>
      <c r="G56" s="359">
        <v>3593</v>
      </c>
      <c r="H56" s="359">
        <v>0</v>
      </c>
      <c r="I56" s="360">
        <v>179.35</v>
      </c>
      <c r="J56" s="369">
        <f t="shared" si="3"/>
        <v>179.35</v>
      </c>
      <c r="L56" s="364"/>
      <c r="M56" s="364"/>
      <c r="N56" s="364"/>
      <c r="O56" s="364"/>
    </row>
    <row r="57" spans="1:15" s="343" customFormat="1">
      <c r="A57" s="366">
        <v>930</v>
      </c>
      <c r="B57" s="367">
        <v>413</v>
      </c>
      <c r="C57" s="335" t="s">
        <v>1665</v>
      </c>
      <c r="D57" s="359">
        <v>9522</v>
      </c>
      <c r="E57" s="359">
        <v>32470</v>
      </c>
      <c r="F57" s="359">
        <v>5445</v>
      </c>
      <c r="G57" s="359">
        <v>47437</v>
      </c>
      <c r="H57" s="359">
        <v>0</v>
      </c>
      <c r="I57" s="360">
        <v>1972.82</v>
      </c>
      <c r="J57" s="369">
        <f t="shared" si="3"/>
        <v>1972.82</v>
      </c>
      <c r="L57" s="364"/>
      <c r="M57" s="364"/>
      <c r="N57" s="364"/>
      <c r="O57" s="364"/>
    </row>
    <row r="58" spans="1:15" s="343" customFormat="1">
      <c r="A58" s="366">
        <v>935</v>
      </c>
      <c r="B58" s="367">
        <v>416</v>
      </c>
      <c r="C58" s="335" t="s">
        <v>1662</v>
      </c>
      <c r="D58" s="359">
        <v>0</v>
      </c>
      <c r="E58" s="359">
        <v>20755</v>
      </c>
      <c r="F58" s="359">
        <v>0</v>
      </c>
      <c r="G58" s="359">
        <v>20755</v>
      </c>
      <c r="H58" s="359">
        <v>0</v>
      </c>
      <c r="I58" s="360">
        <v>864.79</v>
      </c>
      <c r="J58" s="369">
        <f t="shared" si="3"/>
        <v>864.79</v>
      </c>
      <c r="L58" s="364"/>
      <c r="M58" s="364"/>
      <c r="N58" s="364"/>
      <c r="O58" s="364"/>
    </row>
    <row r="59" spans="1:15" s="343" customFormat="1">
      <c r="A59" s="366">
        <v>950</v>
      </c>
      <c r="B59" s="367">
        <v>10674</v>
      </c>
      <c r="C59" s="335" t="s">
        <v>1666</v>
      </c>
      <c r="D59" s="359">
        <v>0</v>
      </c>
      <c r="E59" s="359">
        <v>0</v>
      </c>
      <c r="F59" s="359">
        <v>0</v>
      </c>
      <c r="G59" s="359">
        <v>0</v>
      </c>
      <c r="H59" s="359">
        <v>733</v>
      </c>
      <c r="I59" s="360">
        <v>733</v>
      </c>
      <c r="J59" s="369">
        <f t="shared" si="3"/>
        <v>733</v>
      </c>
      <c r="L59" s="364"/>
      <c r="M59" s="364"/>
      <c r="N59" s="364"/>
      <c r="O59" s="364"/>
    </row>
    <row r="60" spans="1:15" s="343" customFormat="1">
      <c r="A60" s="366">
        <v>955</v>
      </c>
      <c r="B60" s="367">
        <v>110674</v>
      </c>
      <c r="C60" s="335" t="s">
        <v>1635</v>
      </c>
      <c r="D60" s="359">
        <v>47909</v>
      </c>
      <c r="E60" s="359">
        <v>10442</v>
      </c>
      <c r="F60" s="359">
        <v>2014</v>
      </c>
      <c r="G60" s="359">
        <v>60365</v>
      </c>
      <c r="H60" s="359">
        <v>0</v>
      </c>
      <c r="I60" s="360">
        <v>2143.94</v>
      </c>
      <c r="J60" s="369">
        <f t="shared" si="3"/>
        <v>2143.94</v>
      </c>
      <c r="M60" s="364"/>
      <c r="N60" s="364"/>
      <c r="O60" s="364"/>
    </row>
    <row r="61" spans="1:15" s="343" customFormat="1">
      <c r="A61" s="390">
        <v>1000</v>
      </c>
      <c r="B61" s="386">
        <v>862</v>
      </c>
      <c r="C61" s="358" t="s">
        <v>1667</v>
      </c>
      <c r="D61" s="359"/>
      <c r="E61" s="359"/>
      <c r="F61" s="359"/>
      <c r="G61" s="359"/>
      <c r="H61" s="359"/>
      <c r="I61" s="360"/>
      <c r="J61" s="369"/>
      <c r="K61" s="362">
        <f>SUM(J62:J65)</f>
        <v>851.1</v>
      </c>
      <c r="L61" s="363">
        <f>VLOOKUP(B61,$O$7:$P$21,2,FALSE)</f>
        <v>333.28</v>
      </c>
      <c r="M61" s="364"/>
      <c r="N61" s="364"/>
      <c r="O61" s="364"/>
    </row>
    <row r="62" spans="1:15" s="343" customFormat="1">
      <c r="A62" s="391">
        <v>1010</v>
      </c>
      <c r="B62" s="367">
        <v>420</v>
      </c>
      <c r="C62" s="335" t="s">
        <v>1668</v>
      </c>
      <c r="D62" s="359">
        <v>10389</v>
      </c>
      <c r="E62" s="359">
        <v>70</v>
      </c>
      <c r="F62" s="359">
        <v>0</v>
      </c>
      <c r="G62" s="359">
        <v>10459</v>
      </c>
      <c r="H62" s="359">
        <v>0</v>
      </c>
      <c r="I62" s="360">
        <v>349.22</v>
      </c>
      <c r="J62" s="369">
        <f t="shared" si="3"/>
        <v>349.22</v>
      </c>
      <c r="K62" s="369"/>
      <c r="L62" s="364"/>
      <c r="M62" s="364"/>
      <c r="N62" s="364"/>
      <c r="O62" s="364"/>
    </row>
    <row r="63" spans="1:15" s="343" customFormat="1">
      <c r="A63" s="391"/>
      <c r="B63" s="367">
        <v>418</v>
      </c>
      <c r="C63" s="335" t="s">
        <v>1669</v>
      </c>
      <c r="D63" s="359">
        <v>0</v>
      </c>
      <c r="E63" s="359">
        <v>0</v>
      </c>
      <c r="F63" s="359">
        <v>0</v>
      </c>
      <c r="G63" s="359">
        <v>0</v>
      </c>
      <c r="H63" s="359">
        <v>422</v>
      </c>
      <c r="I63" s="360">
        <v>422</v>
      </c>
      <c r="J63" s="369">
        <f t="shared" si="3"/>
        <v>422</v>
      </c>
      <c r="K63" s="369"/>
      <c r="L63" s="364"/>
      <c r="M63" s="364"/>
      <c r="N63" s="364"/>
      <c r="O63" s="364"/>
    </row>
    <row r="64" spans="1:15" s="343" customFormat="1">
      <c r="A64" s="391"/>
      <c r="B64" s="367">
        <v>422</v>
      </c>
      <c r="C64" s="335" t="s">
        <v>1630</v>
      </c>
      <c r="D64" s="359">
        <v>0</v>
      </c>
      <c r="E64" s="359">
        <v>957</v>
      </c>
      <c r="F64" s="359">
        <v>0</v>
      </c>
      <c r="G64" s="359">
        <v>957</v>
      </c>
      <c r="H64" s="359">
        <v>0</v>
      </c>
      <c r="I64" s="360">
        <v>39.880000000000003</v>
      </c>
      <c r="J64" s="369">
        <f t="shared" si="3"/>
        <v>39.880000000000003</v>
      </c>
      <c r="K64" s="364"/>
      <c r="M64" s="364"/>
      <c r="N64" s="364"/>
      <c r="O64" s="364"/>
    </row>
    <row r="65" spans="1:15" s="343" customFormat="1">
      <c r="A65" s="366">
        <v>1020</v>
      </c>
      <c r="B65" s="367">
        <v>421</v>
      </c>
      <c r="C65" s="335" t="s">
        <v>1670</v>
      </c>
      <c r="D65" s="359">
        <v>0</v>
      </c>
      <c r="E65" s="359">
        <v>0</v>
      </c>
      <c r="F65" s="359">
        <v>0</v>
      </c>
      <c r="G65" s="359">
        <v>0</v>
      </c>
      <c r="H65" s="359">
        <v>40</v>
      </c>
      <c r="I65" s="360">
        <v>40</v>
      </c>
      <c r="J65" s="369">
        <f t="shared" si="3"/>
        <v>40</v>
      </c>
      <c r="M65" s="364"/>
      <c r="N65" s="364"/>
      <c r="O65" s="364"/>
    </row>
    <row r="66" spans="1:15" s="343" customFormat="1">
      <c r="A66" s="386">
        <v>1100</v>
      </c>
      <c r="B66" s="386">
        <v>203599</v>
      </c>
      <c r="C66" s="358" t="s">
        <v>1671</v>
      </c>
      <c r="D66" s="368">
        <v>0</v>
      </c>
      <c r="E66" s="368">
        <v>0</v>
      </c>
      <c r="F66" s="368">
        <v>0</v>
      </c>
      <c r="G66" s="368">
        <v>0</v>
      </c>
      <c r="H66" s="368">
        <v>222</v>
      </c>
      <c r="I66" s="368">
        <v>221</v>
      </c>
      <c r="J66" s="362">
        <v>222</v>
      </c>
      <c r="K66" s="362">
        <f t="shared" ref="K66:K67" si="4">J66</f>
        <v>222</v>
      </c>
      <c r="L66" s="363">
        <f t="shared" ref="L66:L67" si="5">VLOOKUP(B66,$O$7:$P$21,2,FALSE)</f>
        <v>156.05000000000001</v>
      </c>
      <c r="M66" s="364"/>
      <c r="N66" s="364"/>
      <c r="O66" s="364"/>
    </row>
    <row r="67" spans="1:15" s="343" customFormat="1">
      <c r="A67" s="386">
        <v>1200</v>
      </c>
      <c r="B67" s="386">
        <v>203658</v>
      </c>
      <c r="C67" s="358" t="s">
        <v>1672</v>
      </c>
      <c r="D67" s="359">
        <v>0</v>
      </c>
      <c r="E67" s="359">
        <v>0</v>
      </c>
      <c r="F67" s="359">
        <v>0</v>
      </c>
      <c r="G67" s="359">
        <v>0</v>
      </c>
      <c r="H67" s="359">
        <v>197</v>
      </c>
      <c r="I67" s="360">
        <v>197</v>
      </c>
      <c r="J67" s="362">
        <f>I67</f>
        <v>197</v>
      </c>
      <c r="K67" s="362">
        <f t="shared" si="4"/>
        <v>197</v>
      </c>
      <c r="L67" s="363">
        <f t="shared" si="5"/>
        <v>290.3</v>
      </c>
      <c r="M67" s="364"/>
      <c r="N67" s="364"/>
      <c r="O67" s="364"/>
    </row>
    <row r="68" spans="1:15" s="343" customFormat="1">
      <c r="A68" s="386">
        <v>1300</v>
      </c>
      <c r="B68" s="386">
        <v>203652</v>
      </c>
      <c r="C68" s="358" t="s">
        <v>31</v>
      </c>
      <c r="D68" s="359">
        <v>0</v>
      </c>
      <c r="E68" s="359">
        <v>0</v>
      </c>
      <c r="F68" s="359">
        <v>0</v>
      </c>
      <c r="G68" s="359">
        <v>0</v>
      </c>
      <c r="H68" s="359">
        <v>60</v>
      </c>
      <c r="I68" s="360">
        <v>60</v>
      </c>
      <c r="J68" s="362">
        <f>I68</f>
        <v>60</v>
      </c>
      <c r="K68" s="362">
        <f t="shared" ref="K68" si="6">J68</f>
        <v>60</v>
      </c>
      <c r="L68" s="363">
        <f t="shared" ref="L68" si="7">VLOOKUP(B68,$O$7:$P$21,2,FALSE)</f>
        <v>93.2</v>
      </c>
      <c r="M68" s="364"/>
      <c r="N68" s="364"/>
      <c r="O68" s="364"/>
    </row>
    <row r="69" spans="1:15" s="343" customFormat="1">
      <c r="A69" s="356"/>
      <c r="B69" s="386"/>
      <c r="C69" s="358"/>
      <c r="D69" s="359"/>
      <c r="E69" s="359"/>
      <c r="F69" s="359"/>
      <c r="G69" s="359"/>
      <c r="H69" s="359"/>
      <c r="I69" s="360"/>
      <c r="J69" s="362"/>
      <c r="K69" s="362"/>
      <c r="L69" s="392"/>
      <c r="M69" s="364"/>
      <c r="N69" s="364"/>
      <c r="O69" s="364"/>
    </row>
    <row r="70" spans="1:15" s="343" customFormat="1">
      <c r="A70" s="366"/>
      <c r="B70" s="393"/>
      <c r="C70" s="320"/>
      <c r="D70" s="368"/>
      <c r="E70" s="368"/>
      <c r="F70" s="368"/>
      <c r="G70" s="368"/>
      <c r="H70" s="368"/>
      <c r="I70" s="368"/>
      <c r="K70" s="369">
        <f t="shared" ref="K70" si="8">ROUND(SUM(($D70/30)+($E70/24)+($F70/18)+$H70+$I70),2)</f>
        <v>0</v>
      </c>
      <c r="L70" s="364"/>
      <c r="M70" s="364"/>
      <c r="N70" s="364"/>
      <c r="O70" s="364"/>
    </row>
    <row r="71" spans="1:15" s="343" customFormat="1">
      <c r="A71" s="366"/>
      <c r="B71" s="320" t="s">
        <v>1673</v>
      </c>
      <c r="C71" s="320"/>
      <c r="D71" s="368">
        <f t="shared" ref="D71:J71" si="9">SUM(D7:D70)</f>
        <v>183748</v>
      </c>
      <c r="E71" s="368">
        <f t="shared" si="9"/>
        <v>255541</v>
      </c>
      <c r="F71" s="368">
        <f t="shared" si="9"/>
        <v>81629</v>
      </c>
      <c r="G71" s="368">
        <f t="shared" si="9"/>
        <v>520918</v>
      </c>
      <c r="H71" s="368">
        <f t="shared" si="9"/>
        <v>8498</v>
      </c>
      <c r="I71" s="368">
        <f t="shared" si="9"/>
        <v>29804.459999999992</v>
      </c>
      <c r="J71" s="394">
        <f t="shared" si="9"/>
        <v>29805.459999999992</v>
      </c>
      <c r="K71" s="394">
        <f>SUM(K6:K70)</f>
        <v>29805.46</v>
      </c>
      <c r="L71" s="394">
        <f>SUM(L5:L70)</f>
        <v>12614.230000000001</v>
      </c>
      <c r="M71" s="364"/>
      <c r="N71" s="364"/>
      <c r="O71" s="364"/>
    </row>
    <row r="72" spans="1:15" s="343" customFormat="1">
      <c r="A72" s="366"/>
      <c r="B72" s="320"/>
      <c r="C72" s="320"/>
      <c r="D72" s="368"/>
      <c r="E72" s="368"/>
      <c r="F72" s="368"/>
      <c r="G72" s="368"/>
      <c r="H72" s="368"/>
      <c r="I72" s="368"/>
      <c r="J72" s="395"/>
      <c r="K72" s="395"/>
      <c r="L72" s="395"/>
      <c r="M72" s="364"/>
      <c r="N72" s="364"/>
      <c r="O72" s="364"/>
    </row>
    <row r="73" spans="1:15" s="343" customFormat="1" ht="15.6">
      <c r="B73" s="396">
        <v>100130</v>
      </c>
      <c r="C73" s="397" t="s">
        <v>33</v>
      </c>
      <c r="D73" s="376"/>
      <c r="E73" s="376"/>
      <c r="F73" s="376"/>
      <c r="G73" s="376"/>
      <c r="H73" s="376"/>
      <c r="I73" s="376"/>
      <c r="J73" s="361">
        <v>0</v>
      </c>
      <c r="K73" s="362">
        <f t="shared" ref="K73:K75" si="10">J73</f>
        <v>0</v>
      </c>
      <c r="L73" s="363">
        <f t="shared" ref="L73" si="11">VLOOKUP(B73,$O$7:$P$21,2,FALSE)</f>
        <v>0</v>
      </c>
      <c r="M73" s="364"/>
      <c r="N73" s="364"/>
      <c r="O73" s="364"/>
    </row>
    <row r="74" spans="1:15" s="343" customFormat="1" ht="15.6">
      <c r="B74" s="376">
        <v>999130</v>
      </c>
      <c r="C74" s="398" t="s">
        <v>34</v>
      </c>
      <c r="D74" s="376"/>
      <c r="E74" s="376"/>
      <c r="F74" s="376"/>
      <c r="G74" s="376"/>
      <c r="H74" s="376"/>
      <c r="I74" s="376"/>
      <c r="J74" s="361">
        <f>J73+K48</f>
        <v>2988.4</v>
      </c>
      <c r="K74" s="362">
        <f t="shared" si="10"/>
        <v>2988.4</v>
      </c>
      <c r="L74" s="362">
        <f>L73+L48</f>
        <v>309.99</v>
      </c>
      <c r="M74" s="364"/>
      <c r="N74" s="364"/>
      <c r="O74" s="364"/>
    </row>
    <row r="75" spans="1:15" s="343" customFormat="1">
      <c r="A75" s="356">
        <v>9999</v>
      </c>
      <c r="B75" s="386">
        <v>103606</v>
      </c>
      <c r="C75" s="358" t="s">
        <v>1674</v>
      </c>
      <c r="D75" s="359">
        <v>0</v>
      </c>
      <c r="E75" s="359">
        <v>0</v>
      </c>
      <c r="F75" s="359">
        <v>0</v>
      </c>
      <c r="G75" s="359">
        <v>0</v>
      </c>
      <c r="H75" s="359">
        <v>75</v>
      </c>
      <c r="I75" s="360">
        <v>75</v>
      </c>
      <c r="J75" s="362">
        <f>I75</f>
        <v>75</v>
      </c>
      <c r="K75" s="362">
        <f t="shared" si="10"/>
        <v>75</v>
      </c>
      <c r="L75" s="363">
        <f t="shared" ref="L75" si="12">VLOOKUP(B75,$O$7:$P$21,2,FALSE)</f>
        <v>31.95</v>
      </c>
      <c r="M75" s="364"/>
      <c r="N75" s="364"/>
      <c r="O75" s="364"/>
    </row>
    <row r="76" spans="1:15" s="343" customFormat="1" ht="15.6">
      <c r="B76" s="396"/>
      <c r="C76" s="399"/>
      <c r="D76" s="376"/>
      <c r="E76" s="376"/>
      <c r="F76" s="376"/>
      <c r="G76" s="376"/>
      <c r="H76" s="376"/>
      <c r="I76" s="376"/>
      <c r="J76" s="376"/>
      <c r="K76" s="369"/>
      <c r="L76" s="364"/>
      <c r="M76" s="364"/>
      <c r="N76" s="364"/>
      <c r="O76" s="364"/>
    </row>
    <row r="77" spans="1:15" s="343" customFormat="1" ht="15.6">
      <c r="B77" s="396"/>
      <c r="C77" s="399"/>
      <c r="D77" s="376"/>
      <c r="E77" s="376"/>
      <c r="F77" s="376"/>
      <c r="G77" s="376"/>
      <c r="H77" s="376"/>
      <c r="I77" s="376"/>
      <c r="J77" s="376"/>
      <c r="K77" s="369"/>
      <c r="L77" s="364"/>
      <c r="M77" s="364"/>
      <c r="N77" s="364"/>
      <c r="O77" s="364"/>
    </row>
    <row r="78" spans="1:15" s="343" customFormat="1" ht="36" customHeight="1">
      <c r="B78" s="1273" t="s">
        <v>1710</v>
      </c>
      <c r="C78" s="1274"/>
      <c r="D78" s="1274"/>
      <c r="E78" s="1274"/>
      <c r="F78" s="1274"/>
      <c r="G78" s="1274"/>
      <c r="H78" s="1274"/>
      <c r="I78" s="1274"/>
      <c r="J78" s="376"/>
      <c r="K78" s="369"/>
      <c r="L78" s="364"/>
      <c r="M78" s="364"/>
      <c r="N78" s="364"/>
      <c r="O78" s="364"/>
    </row>
    <row r="79" spans="1:15" s="343" customFormat="1" ht="28.5" customHeight="1">
      <c r="B79" s="1275" t="s">
        <v>1711</v>
      </c>
      <c r="C79" s="1276"/>
      <c r="D79" s="1276"/>
      <c r="E79" s="1276"/>
      <c r="F79" s="1276"/>
      <c r="G79" s="1276"/>
      <c r="H79" s="1276"/>
      <c r="I79" s="1276"/>
      <c r="J79" s="376"/>
      <c r="K79" s="369"/>
      <c r="L79" s="364"/>
      <c r="M79" s="364"/>
      <c r="N79" s="364"/>
      <c r="O79" s="364"/>
    </row>
    <row r="80" spans="1:15" s="343" customFormat="1">
      <c r="B80" s="1276" t="s">
        <v>1675</v>
      </c>
      <c r="C80" s="1276"/>
      <c r="D80" s="1276"/>
      <c r="E80" s="1276"/>
      <c r="F80" s="1276"/>
      <c r="G80" s="1276"/>
      <c r="H80" s="1276"/>
      <c r="I80" s="1276"/>
      <c r="J80" s="376"/>
      <c r="K80" s="401"/>
      <c r="L80" s="402"/>
      <c r="M80" s="364"/>
      <c r="N80" s="364"/>
      <c r="O80" s="364"/>
    </row>
    <row r="81" spans="1:23" s="343" customFormat="1">
      <c r="B81" s="403"/>
      <c r="C81" s="376"/>
      <c r="D81" s="376"/>
      <c r="E81" s="376"/>
      <c r="F81" s="376"/>
      <c r="G81" s="376"/>
      <c r="H81" s="376"/>
      <c r="I81" s="376"/>
      <c r="J81" s="376"/>
      <c r="K81" s="404"/>
      <c r="L81" s="405"/>
      <c r="M81" s="364"/>
      <c r="N81" s="364"/>
      <c r="O81" s="364"/>
    </row>
    <row r="82" spans="1:23" s="343" customFormat="1">
      <c r="B82" s="403"/>
      <c r="C82" s="376"/>
      <c r="D82" s="376"/>
      <c r="E82" s="376"/>
      <c r="F82" s="376"/>
      <c r="G82" s="376"/>
      <c r="H82" s="376"/>
      <c r="I82" s="376"/>
      <c r="J82" s="376"/>
      <c r="K82" s="369"/>
      <c r="L82" s="364"/>
      <c r="M82" s="364"/>
      <c r="N82" s="364"/>
      <c r="O82" s="364"/>
    </row>
    <row r="83" spans="1:23" s="343" customFormat="1">
      <c r="B83" s="403"/>
      <c r="C83" s="376"/>
      <c r="D83" s="376"/>
      <c r="E83" s="376"/>
      <c r="F83" s="376"/>
      <c r="G83" s="376"/>
      <c r="H83" s="376"/>
      <c r="I83" s="376"/>
      <c r="J83" s="376"/>
      <c r="K83" s="369"/>
      <c r="L83" s="364"/>
      <c r="M83" s="364"/>
      <c r="N83" s="364"/>
      <c r="O83" s="364"/>
    </row>
    <row r="84" spans="1:23" s="343" customFormat="1">
      <c r="B84" s="376"/>
      <c r="C84" s="376"/>
      <c r="D84" s="376"/>
      <c r="E84" s="376"/>
      <c r="F84" s="376"/>
      <c r="G84" s="376"/>
      <c r="H84" s="376"/>
      <c r="I84" s="376"/>
      <c r="J84" s="376"/>
      <c r="K84" s="369"/>
      <c r="L84" s="364"/>
      <c r="M84" s="364"/>
      <c r="N84" s="364"/>
      <c r="O84" s="364"/>
    </row>
    <row r="85" spans="1:23" s="343" customFormat="1">
      <c r="B85" s="403"/>
      <c r="C85" s="376"/>
      <c r="D85" s="376"/>
      <c r="E85" s="376"/>
      <c r="F85" s="376"/>
      <c r="G85" s="376"/>
      <c r="H85" s="376"/>
      <c r="I85" s="376"/>
      <c r="J85" s="376"/>
      <c r="K85" s="369"/>
      <c r="L85" s="364"/>
      <c r="M85" s="364"/>
      <c r="N85" s="364"/>
      <c r="O85" s="364"/>
      <c r="R85" s="364"/>
    </row>
    <row r="86" spans="1:23" s="343" customFormat="1">
      <c r="B86" s="403"/>
      <c r="C86" s="376"/>
      <c r="D86" s="376"/>
      <c r="E86" s="376"/>
      <c r="F86" s="376"/>
      <c r="G86" s="376"/>
      <c r="H86" s="376"/>
      <c r="I86" s="376"/>
      <c r="J86" s="376"/>
      <c r="K86" s="369"/>
      <c r="L86" s="364"/>
      <c r="M86" s="364"/>
      <c r="N86" s="364"/>
      <c r="O86" s="364"/>
      <c r="P86" s="364"/>
      <c r="Q86" s="364"/>
      <c r="R86" s="364"/>
    </row>
    <row r="87" spans="1:23" s="343" customFormat="1" ht="25.2" customHeight="1">
      <c r="B87" s="335"/>
      <c r="C87" s="335"/>
      <c r="D87" s="320"/>
      <c r="E87" s="368"/>
      <c r="F87" s="368"/>
      <c r="G87" s="368"/>
      <c r="H87" s="368"/>
      <c r="I87" s="368"/>
      <c r="J87" s="368"/>
      <c r="K87" s="368"/>
      <c r="L87" s="368"/>
      <c r="M87" s="364"/>
      <c r="N87" s="364"/>
      <c r="O87" s="364"/>
      <c r="P87" s="364"/>
      <c r="Q87" s="364"/>
      <c r="R87" s="364"/>
    </row>
    <row r="88" spans="1:23" s="343" customFormat="1">
      <c r="B88" s="335"/>
      <c r="C88" s="335"/>
      <c r="D88" s="320"/>
      <c r="E88" s="406"/>
      <c r="F88" s="406"/>
      <c r="G88" s="406"/>
      <c r="H88" s="406"/>
      <c r="I88" s="406"/>
      <c r="J88" s="407"/>
      <c r="K88" s="395"/>
      <c r="L88" s="408"/>
      <c r="M88" s="364"/>
      <c r="N88" s="364"/>
      <c r="O88" s="364"/>
      <c r="P88" s="364"/>
      <c r="Q88" s="364"/>
      <c r="R88" s="364"/>
    </row>
    <row r="89" spans="1:23" s="343" customFormat="1">
      <c r="B89" s="335"/>
      <c r="C89" s="335"/>
      <c r="D89" s="409"/>
      <c r="E89" s="409"/>
      <c r="F89" s="409"/>
      <c r="G89" s="409"/>
      <c r="H89" s="409"/>
      <c r="I89" s="409"/>
      <c r="J89" s="409"/>
      <c r="K89" s="409"/>
      <c r="L89" s="409"/>
      <c r="M89" s="364"/>
      <c r="N89" s="364"/>
      <c r="O89" s="364"/>
      <c r="P89" s="364"/>
      <c r="Q89" s="364"/>
      <c r="R89" s="364"/>
    </row>
    <row r="90" spans="1:23" s="343" customFormat="1">
      <c r="B90" s="335"/>
      <c r="C90" s="335"/>
      <c r="D90" s="320"/>
      <c r="E90" s="368"/>
      <c r="F90" s="368"/>
      <c r="G90" s="368"/>
      <c r="H90" s="368"/>
      <c r="I90" s="368"/>
      <c r="J90" s="368"/>
      <c r="K90" s="401"/>
      <c r="L90" s="410"/>
      <c r="M90" s="364"/>
      <c r="N90" s="364"/>
      <c r="O90" s="364"/>
      <c r="P90" s="364"/>
      <c r="Q90" s="364"/>
      <c r="R90" s="364"/>
    </row>
    <row r="91" spans="1:23" s="320" customFormat="1" ht="17.25" customHeight="1" thickBot="1">
      <c r="A91" s="343"/>
      <c r="B91" s="335"/>
      <c r="C91" s="367"/>
      <c r="E91" s="368"/>
      <c r="F91" s="368"/>
      <c r="G91" s="368"/>
      <c r="H91" s="368"/>
      <c r="I91" s="368"/>
      <c r="J91" s="368"/>
      <c r="K91" s="404"/>
      <c r="L91" s="404"/>
      <c r="M91" s="364"/>
      <c r="N91" s="364"/>
      <c r="O91" s="364"/>
      <c r="P91" s="364"/>
      <c r="Q91" s="364"/>
      <c r="R91" s="364"/>
      <c r="S91" s="343"/>
      <c r="T91" s="343"/>
    </row>
    <row r="92" spans="1:23" s="320" customFormat="1" ht="13.8" thickBot="1">
      <c r="B92" s="335"/>
      <c r="C92" s="335"/>
      <c r="D92" s="355"/>
      <c r="E92" s="335" t="s">
        <v>1676</v>
      </c>
      <c r="F92" s="409"/>
      <c r="G92" s="409"/>
      <c r="H92" s="409"/>
      <c r="I92" s="409"/>
      <c r="J92" s="409">
        <f>K92-K71</f>
        <v>-339.40999999999985</v>
      </c>
      <c r="K92" s="411">
        <v>29466.05</v>
      </c>
      <c r="L92" s="412"/>
      <c r="M92" s="364"/>
      <c r="N92" s="364"/>
      <c r="O92" s="364"/>
      <c r="P92" s="364"/>
      <c r="Q92" s="364"/>
      <c r="R92" s="364"/>
      <c r="S92" s="355"/>
      <c r="T92" s="355"/>
      <c r="U92" s="355"/>
      <c r="V92" s="355"/>
    </row>
    <row r="93" spans="1:23" s="320" customFormat="1" ht="13.8" thickBot="1">
      <c r="B93" s="335"/>
      <c r="C93" s="413"/>
      <c r="F93" s="414" t="s">
        <v>1677</v>
      </c>
      <c r="G93" s="415"/>
      <c r="H93" s="415"/>
      <c r="I93" s="415"/>
      <c r="J93" s="416"/>
      <c r="K93" s="343"/>
      <c r="L93" s="343"/>
      <c r="M93" s="364"/>
      <c r="N93" s="364"/>
      <c r="O93" s="364"/>
      <c r="P93" s="364"/>
      <c r="Q93" s="364"/>
      <c r="R93" s="364"/>
      <c r="S93" s="355"/>
      <c r="T93" s="355"/>
      <c r="U93" s="355"/>
      <c r="V93" s="355"/>
    </row>
    <row r="94" spans="1:23" s="320" customFormat="1" ht="42" customHeight="1">
      <c r="B94" s="335"/>
      <c r="C94" s="413"/>
      <c r="D94" s="335"/>
      <c r="E94" s="417" t="s">
        <v>408</v>
      </c>
      <c r="F94" s="417" t="s">
        <v>409</v>
      </c>
      <c r="G94" s="417" t="s">
        <v>410</v>
      </c>
      <c r="H94" s="417" t="s">
        <v>411</v>
      </c>
      <c r="I94" s="417" t="s">
        <v>412</v>
      </c>
      <c r="J94" s="417" t="s">
        <v>413</v>
      </c>
      <c r="K94" s="418" t="s">
        <v>414</v>
      </c>
      <c r="L94" s="417" t="s">
        <v>407</v>
      </c>
      <c r="M94" s="364"/>
      <c r="N94" s="364"/>
      <c r="O94" s="364"/>
      <c r="P94" s="364"/>
      <c r="Q94" s="364"/>
      <c r="R94" s="364"/>
      <c r="S94" s="355"/>
      <c r="T94" s="355"/>
      <c r="U94" s="355"/>
      <c r="V94" s="355"/>
      <c r="W94" s="355"/>
    </row>
    <row r="95" spans="1:23" s="320" customFormat="1" ht="40.200000000000003" thickBot="1">
      <c r="B95" s="335"/>
      <c r="C95" s="413"/>
      <c r="D95" s="335"/>
      <c r="E95" s="419" t="s">
        <v>1678</v>
      </c>
      <c r="F95" s="419" t="s">
        <v>1679</v>
      </c>
      <c r="G95" s="419" t="s">
        <v>1680</v>
      </c>
      <c r="H95" s="419" t="s">
        <v>1681</v>
      </c>
      <c r="I95" s="419" t="s">
        <v>1682</v>
      </c>
      <c r="J95" s="419" t="s">
        <v>1683</v>
      </c>
      <c r="K95" s="419" t="s">
        <v>1684</v>
      </c>
      <c r="L95" s="420" t="s">
        <v>1685</v>
      </c>
      <c r="M95" s="364"/>
      <c r="N95" s="364"/>
      <c r="O95" s="364"/>
      <c r="P95" s="364"/>
      <c r="Q95" s="364"/>
      <c r="R95" s="355"/>
      <c r="S95" s="355"/>
      <c r="T95" s="355"/>
      <c r="U95" s="355"/>
      <c r="V95" s="355"/>
      <c r="W95" s="355"/>
    </row>
    <row r="96" spans="1:23" s="320" customFormat="1">
      <c r="B96" s="413">
        <v>30</v>
      </c>
      <c r="C96" s="320" t="s">
        <v>1686</v>
      </c>
      <c r="E96" s="421">
        <f>J9</f>
        <v>517.13</v>
      </c>
      <c r="F96" s="422" t="s">
        <v>283</v>
      </c>
      <c r="G96" s="421">
        <f>J7</f>
        <v>905</v>
      </c>
      <c r="H96" s="421">
        <f>J8</f>
        <v>879.22</v>
      </c>
      <c r="I96" s="422" t="s">
        <v>283</v>
      </c>
      <c r="J96" s="422" t="s">
        <v>283</v>
      </c>
      <c r="K96" s="423" t="s">
        <v>283</v>
      </c>
      <c r="L96" s="424">
        <f t="shared" ref="L96:L108" si="13">SUM(E96:K96)</f>
        <v>2301.3500000000004</v>
      </c>
      <c r="M96" s="361">
        <f>L96-K6</f>
        <v>0</v>
      </c>
      <c r="N96" s="425"/>
      <c r="O96" s="364"/>
      <c r="P96" s="364"/>
      <c r="Q96" s="364"/>
      <c r="R96" s="364"/>
      <c r="S96" s="355"/>
      <c r="T96" s="355"/>
      <c r="U96" s="355"/>
      <c r="V96" s="355"/>
      <c r="W96" s="355"/>
    </row>
    <row r="97" spans="2:23" s="320" customFormat="1">
      <c r="B97" s="413">
        <v>40</v>
      </c>
      <c r="C97" s="320" t="s">
        <v>1687</v>
      </c>
      <c r="E97" s="426">
        <f>SUM(J31:J32)</f>
        <v>871.67</v>
      </c>
      <c r="F97" s="426">
        <f>SUM(J27:J28)</f>
        <v>529</v>
      </c>
      <c r="G97" s="426">
        <f>J29</f>
        <v>315.39999999999998</v>
      </c>
      <c r="H97" s="426">
        <f>J30+J33</f>
        <v>1367.1499999999999</v>
      </c>
      <c r="I97" s="426">
        <f>J34</f>
        <v>888.56</v>
      </c>
      <c r="J97" s="427" t="s">
        <v>283</v>
      </c>
      <c r="K97" s="428" t="s">
        <v>283</v>
      </c>
      <c r="L97" s="429">
        <f t="shared" si="13"/>
        <v>3971.78</v>
      </c>
      <c r="M97" s="361">
        <f>L97-K26</f>
        <v>0</v>
      </c>
      <c r="N97" s="425"/>
      <c r="O97" s="364"/>
      <c r="P97" s="364"/>
      <c r="Q97" s="364"/>
      <c r="R97" s="364"/>
      <c r="S97" s="355"/>
      <c r="T97" s="355"/>
      <c r="U97" s="355"/>
      <c r="V97" s="355"/>
      <c r="W97" s="355"/>
    </row>
    <row r="98" spans="2:23" s="320" customFormat="1">
      <c r="B98" s="413">
        <v>89</v>
      </c>
      <c r="C98" s="320" t="s">
        <v>1688</v>
      </c>
      <c r="E98" s="426">
        <f>J46</f>
        <v>663</v>
      </c>
      <c r="F98" s="426">
        <f>J42</f>
        <v>63.73</v>
      </c>
      <c r="G98" s="426">
        <f>J40+J45</f>
        <v>813.31000000000006</v>
      </c>
      <c r="H98" s="426">
        <f>J41</f>
        <v>416</v>
      </c>
      <c r="I98" s="426">
        <f>J43</f>
        <v>151.78</v>
      </c>
      <c r="J98" s="426">
        <f>J47</f>
        <v>982.68</v>
      </c>
      <c r="K98" s="430">
        <f>J44</f>
        <v>517.15</v>
      </c>
      <c r="L98" s="429">
        <f t="shared" si="13"/>
        <v>3607.65</v>
      </c>
      <c r="M98" s="361">
        <f>L98-K39</f>
        <v>0</v>
      </c>
      <c r="N98" s="425"/>
      <c r="O98" s="364"/>
      <c r="P98" s="364"/>
      <c r="Q98" s="364"/>
      <c r="R98" s="364"/>
      <c r="S98" s="355"/>
      <c r="T98" s="355"/>
      <c r="U98" s="355"/>
      <c r="V98" s="355"/>
      <c r="W98" s="355"/>
    </row>
    <row r="99" spans="2:23" s="320" customFormat="1">
      <c r="B99" s="413">
        <v>130</v>
      </c>
      <c r="C99" s="320" t="s">
        <v>1689</v>
      </c>
      <c r="E99" s="426">
        <f>J51</f>
        <v>557.41999999999996</v>
      </c>
      <c r="F99" s="427" t="s">
        <v>283</v>
      </c>
      <c r="G99" s="426">
        <f>J49</f>
        <v>943</v>
      </c>
      <c r="H99" s="426">
        <f>J52</f>
        <v>610.96</v>
      </c>
      <c r="I99" s="427" t="s">
        <v>283</v>
      </c>
      <c r="J99" s="426">
        <f>J50</f>
        <v>701.88</v>
      </c>
      <c r="K99" s="430">
        <f>J53</f>
        <v>175.14</v>
      </c>
      <c r="L99" s="429">
        <f t="shared" si="13"/>
        <v>2988.4</v>
      </c>
      <c r="M99" s="361">
        <f>L99-K48</f>
        <v>0</v>
      </c>
      <c r="N99" s="425"/>
      <c r="O99" s="364"/>
      <c r="P99" s="364"/>
      <c r="Q99" s="364"/>
      <c r="R99" s="364"/>
      <c r="S99" s="355"/>
      <c r="T99" s="355"/>
      <c r="U99" s="355"/>
      <c r="V99" s="355"/>
      <c r="W99" s="355"/>
    </row>
    <row r="100" spans="2:23" s="320" customFormat="1">
      <c r="B100" s="413">
        <v>412</v>
      </c>
      <c r="C100" s="320" t="s">
        <v>1690</v>
      </c>
      <c r="E100" s="426">
        <f>J57</f>
        <v>1972.82</v>
      </c>
      <c r="F100" s="427" t="s">
        <v>283</v>
      </c>
      <c r="G100" s="426">
        <f>J55</f>
        <v>122.17</v>
      </c>
      <c r="H100" s="426">
        <f>J56</f>
        <v>179.35</v>
      </c>
      <c r="I100" s="426">
        <f>J58</f>
        <v>864.79</v>
      </c>
      <c r="J100" s="426">
        <f>J59</f>
        <v>733</v>
      </c>
      <c r="K100" s="430">
        <f>J60</f>
        <v>2143.94</v>
      </c>
      <c r="L100" s="429">
        <f t="shared" si="13"/>
        <v>6016.07</v>
      </c>
      <c r="M100" s="361">
        <f>L100-K54</f>
        <v>0</v>
      </c>
      <c r="N100" s="425"/>
      <c r="O100" s="364"/>
      <c r="P100" s="364"/>
      <c r="Q100" s="364"/>
      <c r="R100" s="364"/>
      <c r="S100" s="355"/>
      <c r="T100" s="355"/>
      <c r="U100" s="355"/>
      <c r="V100" s="355"/>
      <c r="W100" s="355"/>
    </row>
    <row r="101" spans="2:23" s="320" customFormat="1">
      <c r="B101" s="413">
        <v>862</v>
      </c>
      <c r="C101" s="320" t="s">
        <v>1691</v>
      </c>
      <c r="E101" s="431">
        <v>422</v>
      </c>
      <c r="F101" s="431">
        <v>40</v>
      </c>
      <c r="G101" s="431">
        <v>39.880000000000003</v>
      </c>
      <c r="H101" s="427" t="s">
        <v>283</v>
      </c>
      <c r="I101" s="431">
        <f>J62</f>
        <v>349.22</v>
      </c>
      <c r="J101" s="427" t="s">
        <v>283</v>
      </c>
      <c r="K101" s="427" t="s">
        <v>283</v>
      </c>
      <c r="L101" s="429">
        <f t="shared" si="13"/>
        <v>851.1</v>
      </c>
      <c r="M101" s="361">
        <f>L101-K61</f>
        <v>0</v>
      </c>
      <c r="N101" s="425"/>
      <c r="O101" s="364"/>
      <c r="P101" s="364"/>
      <c r="Q101" s="364"/>
      <c r="R101" s="364"/>
      <c r="S101" s="355"/>
      <c r="T101" s="355"/>
      <c r="U101" s="355"/>
      <c r="V101" s="355"/>
      <c r="W101" s="355"/>
    </row>
    <row r="102" spans="2:23" s="320" customFormat="1">
      <c r="B102" s="413">
        <v>11618</v>
      </c>
      <c r="C102" s="320" t="s">
        <v>1692</v>
      </c>
      <c r="E102" s="426">
        <f>J21+J22</f>
        <v>1001.17</v>
      </c>
      <c r="F102" s="426">
        <f>J18+J19</f>
        <v>517</v>
      </c>
      <c r="G102" s="426">
        <f>J20+J23</f>
        <v>733.8599999999999</v>
      </c>
      <c r="H102" s="426">
        <f>J17</f>
        <v>66.989999999999995</v>
      </c>
      <c r="I102" s="426">
        <f>J24</f>
        <v>1398.17</v>
      </c>
      <c r="J102" s="426">
        <f>J25</f>
        <v>1550.53</v>
      </c>
      <c r="K102" s="428" t="s">
        <v>283</v>
      </c>
      <c r="L102" s="429">
        <f t="shared" si="13"/>
        <v>5267.7199999999993</v>
      </c>
      <c r="M102" s="361">
        <f>L102-K16</f>
        <v>0</v>
      </c>
      <c r="N102" s="425"/>
      <c r="O102" s="364"/>
      <c r="P102" s="364"/>
      <c r="Q102" s="364"/>
      <c r="R102" s="364"/>
      <c r="S102" s="355"/>
      <c r="T102" s="355"/>
      <c r="U102" s="355"/>
      <c r="V102" s="355"/>
      <c r="W102" s="355"/>
    </row>
    <row r="103" spans="2:23" s="320" customFormat="1">
      <c r="B103" s="413">
        <v>25554</v>
      </c>
      <c r="C103" s="320" t="s">
        <v>1693</v>
      </c>
      <c r="E103" s="427" t="s">
        <v>283</v>
      </c>
      <c r="F103" s="427" t="s">
        <v>283</v>
      </c>
      <c r="G103" s="427" t="s">
        <v>283</v>
      </c>
      <c r="H103" s="432">
        <f>J35</f>
        <v>382.05</v>
      </c>
      <c r="I103" s="427" t="s">
        <v>283</v>
      </c>
      <c r="J103" s="427" t="s">
        <v>283</v>
      </c>
      <c r="K103" s="428" t="s">
        <v>283</v>
      </c>
      <c r="L103" s="429">
        <f t="shared" si="13"/>
        <v>382.05</v>
      </c>
      <c r="M103" s="361">
        <f>L103-K35</f>
        <v>0</v>
      </c>
      <c r="N103" s="425"/>
      <c r="O103" s="364"/>
      <c r="P103" s="364"/>
      <c r="Q103" s="364"/>
      <c r="R103" s="364"/>
      <c r="S103" s="355"/>
      <c r="T103" s="355"/>
      <c r="U103" s="355"/>
      <c r="V103" s="355"/>
      <c r="W103" s="355"/>
    </row>
    <row r="104" spans="2:23" s="320" customFormat="1">
      <c r="B104" s="413">
        <v>42439</v>
      </c>
      <c r="C104" s="320" t="s">
        <v>157</v>
      </c>
      <c r="E104" s="427" t="s">
        <v>283</v>
      </c>
      <c r="F104" s="427" t="s">
        <v>283</v>
      </c>
      <c r="G104" s="426">
        <f>J37</f>
        <v>16.829999999999998</v>
      </c>
      <c r="H104" s="427" t="s">
        <v>283</v>
      </c>
      <c r="I104" s="427" t="s">
        <v>283</v>
      </c>
      <c r="J104" s="431">
        <f>J38</f>
        <v>63.67</v>
      </c>
      <c r="K104" s="428" t="s">
        <v>283</v>
      </c>
      <c r="L104" s="429">
        <f t="shared" si="13"/>
        <v>80.5</v>
      </c>
      <c r="M104" s="361">
        <f>L104-K36</f>
        <v>0</v>
      </c>
      <c r="N104" s="425"/>
      <c r="O104" s="364"/>
      <c r="P104" s="364"/>
      <c r="Q104" s="364"/>
      <c r="R104" s="364"/>
      <c r="S104" s="355"/>
      <c r="T104" s="355"/>
      <c r="U104" s="355"/>
      <c r="V104" s="355"/>
      <c r="W104" s="355"/>
    </row>
    <row r="105" spans="2:23" s="320" customFormat="1">
      <c r="B105" s="413">
        <v>104952</v>
      </c>
      <c r="C105" s="320" t="s">
        <v>1694</v>
      </c>
      <c r="E105" s="426">
        <f>J12</f>
        <v>934</v>
      </c>
      <c r="F105" s="427" t="s">
        <v>283</v>
      </c>
      <c r="G105" s="426">
        <f>J11</f>
        <v>249.47</v>
      </c>
      <c r="H105" s="426">
        <f>J13</f>
        <v>1420.63</v>
      </c>
      <c r="I105" s="426">
        <f>J14</f>
        <v>73.709999999999994</v>
      </c>
      <c r="J105" s="426">
        <f>J15</f>
        <v>1182.03</v>
      </c>
      <c r="K105" s="427" t="s">
        <v>283</v>
      </c>
      <c r="L105" s="433">
        <f t="shared" si="13"/>
        <v>3859.84</v>
      </c>
      <c r="M105" s="361">
        <f>L105-K10</f>
        <v>0</v>
      </c>
      <c r="N105" s="425"/>
      <c r="O105" s="364"/>
      <c r="P105" s="364"/>
      <c r="Q105" s="364"/>
      <c r="R105" s="364"/>
      <c r="S105" s="355"/>
      <c r="T105" s="355"/>
      <c r="U105" s="355"/>
      <c r="V105" s="355"/>
      <c r="W105" s="355"/>
    </row>
    <row r="106" spans="2:23" s="320" customFormat="1">
      <c r="B106" s="413">
        <v>203599</v>
      </c>
      <c r="C106" s="320" t="s">
        <v>245</v>
      </c>
      <c r="E106" s="426">
        <f>J66</f>
        <v>222</v>
      </c>
      <c r="F106" s="427" t="s">
        <v>283</v>
      </c>
      <c r="G106" s="427" t="s">
        <v>283</v>
      </c>
      <c r="H106" s="427" t="s">
        <v>283</v>
      </c>
      <c r="I106" s="427" t="s">
        <v>283</v>
      </c>
      <c r="J106" s="427" t="s">
        <v>283</v>
      </c>
      <c r="K106" s="427" t="s">
        <v>283</v>
      </c>
      <c r="L106" s="433">
        <f t="shared" si="13"/>
        <v>222</v>
      </c>
      <c r="M106" s="361">
        <f>L106-K66</f>
        <v>0</v>
      </c>
      <c r="N106" s="425"/>
      <c r="O106" s="364"/>
      <c r="P106" s="364"/>
      <c r="Q106" s="364"/>
      <c r="R106" s="364"/>
      <c r="S106" s="355"/>
      <c r="T106" s="355"/>
      <c r="U106" s="355"/>
      <c r="V106" s="355"/>
      <c r="W106" s="355"/>
    </row>
    <row r="107" spans="2:23" s="320" customFormat="1">
      <c r="B107" s="413">
        <v>203658</v>
      </c>
      <c r="C107" s="320" t="s">
        <v>244</v>
      </c>
      <c r="E107" s="426">
        <f>J67</f>
        <v>197</v>
      </c>
      <c r="F107" s="427" t="s">
        <v>283</v>
      </c>
      <c r="G107" s="427" t="s">
        <v>283</v>
      </c>
      <c r="H107" s="427" t="s">
        <v>283</v>
      </c>
      <c r="I107" s="427" t="s">
        <v>283</v>
      </c>
      <c r="J107" s="427" t="s">
        <v>283</v>
      </c>
      <c r="K107" s="427" t="s">
        <v>283</v>
      </c>
      <c r="L107" s="433">
        <f t="shared" si="13"/>
        <v>197</v>
      </c>
      <c r="M107" s="361">
        <f>L107-K67</f>
        <v>0</v>
      </c>
      <c r="N107" s="425"/>
      <c r="O107" s="364"/>
      <c r="P107" s="364"/>
      <c r="Q107" s="364"/>
      <c r="R107" s="364"/>
      <c r="S107" s="355"/>
      <c r="T107" s="355"/>
      <c r="U107" s="355"/>
      <c r="V107" s="355"/>
      <c r="W107" s="355"/>
    </row>
    <row r="108" spans="2:23" s="320" customFormat="1">
      <c r="B108" s="413">
        <v>203652</v>
      </c>
      <c r="C108" s="320" t="s">
        <v>532</v>
      </c>
      <c r="E108" s="426">
        <f>J68</f>
        <v>60</v>
      </c>
      <c r="F108" s="427" t="s">
        <v>283</v>
      </c>
      <c r="G108" s="427" t="s">
        <v>283</v>
      </c>
      <c r="H108" s="427" t="s">
        <v>283</v>
      </c>
      <c r="I108" s="427" t="s">
        <v>283</v>
      </c>
      <c r="J108" s="427" t="s">
        <v>283</v>
      </c>
      <c r="K108" s="427" t="s">
        <v>283</v>
      </c>
      <c r="L108" s="433">
        <f t="shared" si="13"/>
        <v>60</v>
      </c>
      <c r="M108" s="361">
        <f>L108-K70</f>
        <v>60</v>
      </c>
      <c r="N108" s="425"/>
      <c r="O108" s="364"/>
      <c r="P108" s="364"/>
      <c r="Q108" s="364"/>
      <c r="R108" s="364"/>
      <c r="S108" s="355"/>
      <c r="T108" s="355"/>
      <c r="U108" s="355"/>
      <c r="V108" s="355"/>
      <c r="W108" s="355"/>
    </row>
    <row r="109" spans="2:23" s="320" customFormat="1">
      <c r="B109" s="335"/>
      <c r="C109" s="413"/>
      <c r="E109" s="434"/>
      <c r="F109" s="434"/>
      <c r="G109" s="434"/>
      <c r="H109" s="434"/>
      <c r="I109" s="434"/>
      <c r="J109" s="434"/>
      <c r="K109" s="435"/>
      <c r="L109" s="436"/>
      <c r="M109" s="437"/>
      <c r="N109" s="425"/>
      <c r="O109" s="364"/>
      <c r="P109" s="364"/>
      <c r="Q109" s="364"/>
      <c r="R109" s="364"/>
      <c r="S109" s="355"/>
      <c r="T109" s="355"/>
      <c r="U109" s="355"/>
      <c r="V109" s="355"/>
      <c r="W109" s="355"/>
    </row>
    <row r="110" spans="2:23" s="320" customFormat="1" ht="13.8" thickBot="1">
      <c r="B110" s="335"/>
      <c r="C110" s="413"/>
      <c r="D110" s="343"/>
      <c r="E110" s="438">
        <f t="shared" ref="E110:K110" si="14">SUM(E96:E109)</f>
        <v>7418.21</v>
      </c>
      <c r="F110" s="438">
        <f t="shared" si="14"/>
        <v>1149.73</v>
      </c>
      <c r="G110" s="438">
        <f t="shared" si="14"/>
        <v>4138.92</v>
      </c>
      <c r="H110" s="438">
        <f t="shared" si="14"/>
        <v>5322.35</v>
      </c>
      <c r="I110" s="438">
        <f t="shared" si="14"/>
        <v>3726.23</v>
      </c>
      <c r="J110" s="438">
        <f t="shared" si="14"/>
        <v>5213.79</v>
      </c>
      <c r="K110" s="439">
        <f t="shared" si="14"/>
        <v>2836.23</v>
      </c>
      <c r="L110" s="440">
        <f>SUM(E110:K110)</f>
        <v>29805.46</v>
      </c>
      <c r="M110" s="361">
        <f>L110-K87</f>
        <v>29805.46</v>
      </c>
      <c r="N110" s="425"/>
      <c r="O110" s="364"/>
      <c r="P110" s="364"/>
      <c r="Q110" s="364"/>
      <c r="R110" s="364"/>
      <c r="S110" s="364"/>
      <c r="T110" s="355"/>
      <c r="U110" s="355"/>
      <c r="V110" s="355"/>
      <c r="W110" s="355"/>
    </row>
    <row r="111" spans="2:23" s="320" customFormat="1">
      <c r="B111" s="335"/>
      <c r="C111" s="413"/>
      <c r="L111" s="343"/>
      <c r="M111" s="343"/>
      <c r="N111" s="425"/>
      <c r="O111" s="364"/>
      <c r="P111" s="364"/>
      <c r="Q111" s="364"/>
      <c r="R111" s="364"/>
      <c r="S111" s="364"/>
      <c r="T111" s="355"/>
      <c r="U111" s="355"/>
      <c r="V111" s="355"/>
      <c r="W111" s="355"/>
    </row>
    <row r="112" spans="2:23" s="320" customFormat="1">
      <c r="B112" s="335"/>
      <c r="C112" s="413"/>
      <c r="E112" s="392"/>
      <c r="F112" s="392"/>
      <c r="L112" s="343"/>
      <c r="M112" s="441"/>
      <c r="N112" s="425"/>
      <c r="O112" s="364"/>
      <c r="P112" s="364"/>
      <c r="Q112" s="364"/>
      <c r="R112" s="364"/>
      <c r="S112" s="355"/>
      <c r="T112" s="355"/>
      <c r="U112" s="355"/>
      <c r="V112" s="355"/>
      <c r="W112" s="355"/>
    </row>
    <row r="113" spans="1:23" s="320" customFormat="1">
      <c r="B113" s="335"/>
      <c r="C113" s="413"/>
      <c r="F113" s="392"/>
      <c r="L113" s="343"/>
      <c r="M113" s="343">
        <v>29466.050000000003</v>
      </c>
      <c r="N113" s="425"/>
      <c r="O113" s="364"/>
      <c r="P113" s="364"/>
      <c r="Q113" s="364"/>
      <c r="R113" s="364"/>
      <c r="S113" s="355"/>
      <c r="T113" s="355"/>
      <c r="U113" s="355"/>
      <c r="V113" s="355"/>
      <c r="W113" s="355"/>
    </row>
    <row r="114" spans="1:23" s="320" customFormat="1">
      <c r="B114" s="335"/>
      <c r="C114" s="413"/>
      <c r="L114" s="343"/>
      <c r="M114" s="361">
        <f>L110-M113</f>
        <v>339.40999999999622</v>
      </c>
      <c r="N114" s="425"/>
      <c r="O114" s="364"/>
      <c r="P114" s="364"/>
      <c r="Q114" s="364"/>
      <c r="R114" s="355"/>
      <c r="S114" s="355"/>
      <c r="T114" s="355"/>
      <c r="U114" s="355"/>
      <c r="V114" s="355"/>
    </row>
    <row r="115" spans="1:23" s="320" customFormat="1">
      <c r="B115" s="335"/>
      <c r="C115" s="413"/>
      <c r="D115" s="442" t="s">
        <v>1695</v>
      </c>
      <c r="E115" s="392">
        <f>E110+F110</f>
        <v>8567.94</v>
      </c>
      <c r="K115" s="343"/>
      <c r="L115" s="343"/>
      <c r="M115" s="425"/>
      <c r="N115" s="364"/>
      <c r="O115" s="364"/>
      <c r="P115" s="364"/>
      <c r="Q115" s="364"/>
      <c r="R115" s="355"/>
      <c r="S115" s="355"/>
      <c r="T115" s="355"/>
      <c r="U115" s="355"/>
      <c r="V115" s="355"/>
    </row>
    <row r="116" spans="1:23" s="320" customFormat="1">
      <c r="B116" s="335"/>
      <c r="C116" s="413"/>
      <c r="K116" s="343"/>
      <c r="L116" s="343"/>
      <c r="M116" s="425"/>
      <c r="N116" s="364"/>
      <c r="O116" s="364"/>
      <c r="P116" s="364"/>
      <c r="Q116" s="364"/>
      <c r="R116" s="355"/>
      <c r="S116" s="355"/>
      <c r="T116" s="355"/>
      <c r="U116" s="355"/>
      <c r="V116" s="355"/>
    </row>
    <row r="117" spans="1:23" s="320" customFormat="1">
      <c r="B117" s="335"/>
      <c r="C117" s="413"/>
      <c r="K117" s="343"/>
      <c r="L117" s="343"/>
      <c r="M117" s="425"/>
      <c r="N117" s="364"/>
      <c r="O117" s="364"/>
      <c r="P117" s="364"/>
      <c r="Q117" s="364"/>
      <c r="R117" s="355"/>
      <c r="S117" s="355"/>
      <c r="T117" s="355"/>
      <c r="U117" s="355"/>
      <c r="V117" s="355"/>
    </row>
    <row r="118" spans="1:23" s="320" customFormat="1">
      <c r="B118" s="335"/>
      <c r="C118" s="413"/>
      <c r="K118" s="343"/>
      <c r="L118" s="343"/>
      <c r="M118" s="425"/>
      <c r="N118" s="364"/>
      <c r="O118" s="364"/>
      <c r="P118" s="364"/>
      <c r="Q118" s="364"/>
      <c r="R118" s="355"/>
      <c r="S118" s="355"/>
      <c r="T118" s="355"/>
      <c r="U118" s="355"/>
      <c r="V118" s="355"/>
    </row>
    <row r="119" spans="1:23" s="320" customFormat="1">
      <c r="B119" s="335"/>
      <c r="C119" s="413"/>
      <c r="K119" s="343"/>
      <c r="L119" s="343"/>
      <c r="M119" s="425"/>
      <c r="N119" s="364"/>
      <c r="O119" s="364"/>
      <c r="P119" s="364"/>
      <c r="Q119" s="364"/>
      <c r="R119" s="355"/>
      <c r="S119" s="355"/>
      <c r="T119" s="355"/>
      <c r="U119" s="355"/>
      <c r="V119" s="355"/>
    </row>
    <row r="120" spans="1:23" s="320" customFormat="1">
      <c r="B120" s="335"/>
      <c r="C120" s="413"/>
      <c r="E120" s="409"/>
      <c r="F120" s="409"/>
      <c r="G120" s="409"/>
      <c r="H120" s="409"/>
      <c r="I120" s="409"/>
      <c r="K120" s="343"/>
      <c r="L120" s="343"/>
      <c r="M120" s="425"/>
      <c r="N120" s="364"/>
      <c r="O120" s="364"/>
      <c r="P120" s="364"/>
      <c r="Q120" s="364"/>
      <c r="R120" s="355"/>
      <c r="S120" s="355"/>
      <c r="T120" s="355"/>
      <c r="U120" s="355"/>
      <c r="V120" s="355"/>
    </row>
    <row r="121" spans="1:23">
      <c r="A121" s="320"/>
      <c r="C121" s="413"/>
      <c r="D121" s="320"/>
      <c r="E121" s="320"/>
      <c r="F121" s="320"/>
      <c r="G121" s="320"/>
      <c r="H121" s="320"/>
      <c r="I121" s="320"/>
      <c r="J121" s="320"/>
    </row>
    <row r="122" spans="1:23">
      <c r="C122" s="413"/>
    </row>
  </sheetData>
  <sortState xmlns:xlrd2="http://schemas.microsoft.com/office/spreadsheetml/2017/richdata2" ref="N8:Q17">
    <sortCondition ref="N8:N17"/>
  </sortState>
  <mergeCells count="3">
    <mergeCell ref="B78:I78"/>
    <mergeCell ref="B79:I79"/>
    <mergeCell ref="B80:I80"/>
  </mergeCells>
  <hyperlinks>
    <hyperlink ref="L1" location="Index!A1" display="Return to Index" xr:uid="{00000000-0004-0000-5800-000000000000}"/>
  </hyperlinks>
  <printOptions horizontalCentered="1"/>
  <pageMargins left="0.5" right="0.5" top="0.5" bottom="0.5" header="0.5" footer="0.25"/>
  <pageSetup scale="87" orientation="portrait" horizontalDpi="300" verticalDpi="300" r:id="rId1"/>
  <headerFooter alignWithMargins="0">
    <oddFooter>&amp;L&amp;9  --THECB  11/15/10&amp;R&amp;9HRSCHLevFYStateFunded.xls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22"/>
  <sheetViews>
    <sheetView showGridLines="0" workbookViewId="0">
      <pane ySplit="6" topLeftCell="A7" activePane="bottomLeft" state="frozen"/>
      <selection activeCell="B4" sqref="A1:XFD1048576"/>
      <selection pane="bottomLeft" activeCell="C25" sqref="C25"/>
    </sheetView>
  </sheetViews>
  <sheetFormatPr defaultColWidth="9.109375" defaultRowHeight="13.2"/>
  <cols>
    <col min="1" max="1" width="4" style="277" customWidth="1"/>
    <col min="2" max="2" width="11" style="277" customWidth="1"/>
    <col min="3" max="3" width="52" style="277" customWidth="1"/>
    <col min="4" max="4" width="21.44140625" style="277" customWidth="1"/>
    <col min="5" max="5" width="17.5546875" style="277" customWidth="1"/>
    <col min="6" max="6" width="4.44140625" style="277" customWidth="1"/>
    <col min="7" max="7" width="16.109375" style="277" customWidth="1"/>
    <col min="8" max="16384" width="9.109375" style="277"/>
  </cols>
  <sheetData>
    <row r="1" spans="1:9" ht="13.8" thickBot="1">
      <c r="A1" s="279"/>
      <c r="B1" s="279"/>
      <c r="C1" s="279"/>
      <c r="D1" s="278" t="s">
        <v>82</v>
      </c>
      <c r="E1" s="279"/>
      <c r="F1" s="279"/>
      <c r="G1" s="279"/>
      <c r="H1" s="545" t="s">
        <v>51</v>
      </c>
    </row>
    <row r="2" spans="1:9">
      <c r="D2" s="1094" t="s">
        <v>462</v>
      </c>
    </row>
    <row r="3" spans="1:9">
      <c r="D3" s="1095">
        <v>45055</v>
      </c>
    </row>
    <row r="4" spans="1:9">
      <c r="D4" s="278"/>
    </row>
    <row r="6" spans="1:9" s="1098" customFormat="1" ht="41.25" customHeight="1">
      <c r="A6" s="1096"/>
      <c r="B6" s="1097" t="s">
        <v>99</v>
      </c>
      <c r="C6" s="1097" t="s">
        <v>322</v>
      </c>
      <c r="D6" s="1097" t="s">
        <v>463</v>
      </c>
      <c r="E6" s="1097" t="s">
        <v>464</v>
      </c>
      <c r="G6" s="1099" t="s">
        <v>465</v>
      </c>
    </row>
    <row r="7" spans="1:9">
      <c r="A7" s="282"/>
      <c r="B7" s="562">
        <v>30</v>
      </c>
      <c r="C7" s="384" t="s">
        <v>61</v>
      </c>
      <c r="D7" s="1100">
        <f>'SWM Sum'!$B$15</f>
        <v>260323607</v>
      </c>
      <c r="E7" s="1100">
        <f>'SWM Sum'!$B$39</f>
        <v>4728963855</v>
      </c>
      <c r="G7" s="1101">
        <f t="shared" ref="G7:G19" si="0">D7/E7</f>
        <v>5.5048762262108683E-2</v>
      </c>
      <c r="I7" s="669"/>
    </row>
    <row r="8" spans="1:9">
      <c r="A8" s="282"/>
      <c r="B8" s="562">
        <v>104952</v>
      </c>
      <c r="C8" s="384" t="s">
        <v>62</v>
      </c>
      <c r="D8" s="632">
        <f>'MBG Sum'!$B$15</f>
        <v>392636564</v>
      </c>
      <c r="E8" s="632">
        <f>'MBG Sum'!$B$39</f>
        <v>2757454579</v>
      </c>
      <c r="G8" s="1101">
        <f t="shared" si="0"/>
        <v>0.14239094525444221</v>
      </c>
      <c r="I8" s="669"/>
    </row>
    <row r="9" spans="1:9">
      <c r="A9" s="282"/>
      <c r="B9" s="562">
        <v>11618</v>
      </c>
      <c r="C9" s="384" t="s">
        <v>63</v>
      </c>
      <c r="D9" s="632">
        <f>'HSH Sum'!$B$15</f>
        <v>260301322</v>
      </c>
      <c r="E9" s="632">
        <f>'HSH Sum'!$B$39</f>
        <v>2222225432</v>
      </c>
      <c r="G9" s="1101">
        <f t="shared" si="0"/>
        <v>0.11713542570959111</v>
      </c>
      <c r="I9" s="669"/>
    </row>
    <row r="10" spans="1:9">
      <c r="A10" s="282"/>
      <c r="B10" s="562">
        <v>40</v>
      </c>
      <c r="C10" s="384" t="s">
        <v>64</v>
      </c>
      <c r="D10" s="632">
        <f>'HSSA Sum'!$B$15</f>
        <v>202667107</v>
      </c>
      <c r="E10" s="632">
        <f>'HSSA Sum'!$B$39</f>
        <v>1223055219</v>
      </c>
      <c r="G10" s="1101">
        <f t="shared" si="0"/>
        <v>0.16570560662478151</v>
      </c>
      <c r="I10" s="669"/>
    </row>
    <row r="11" spans="1:9">
      <c r="A11" s="282"/>
      <c r="B11" s="562">
        <v>25554</v>
      </c>
      <c r="C11" s="384" t="s">
        <v>65</v>
      </c>
      <c r="D11" s="632">
        <f>'MDA Sum'!$B$15</f>
        <v>261645065</v>
      </c>
      <c r="E11" s="632">
        <f>'MDA Sum'!$B$39</f>
        <v>6873789418</v>
      </c>
      <c r="G11" s="1101">
        <f t="shared" si="0"/>
        <v>3.806416651561146E-2</v>
      </c>
      <c r="I11" s="669"/>
    </row>
    <row r="12" spans="1:9">
      <c r="A12" s="282"/>
      <c r="B12" s="562">
        <v>42439</v>
      </c>
      <c r="C12" s="384" t="s">
        <v>66</v>
      </c>
      <c r="D12" s="632">
        <f>'THC Sum'!$B$15</f>
        <v>61784935</v>
      </c>
      <c r="E12" s="632">
        <f>'THC Sum'!$B$39</f>
        <v>363224142</v>
      </c>
      <c r="G12" s="1101">
        <f t="shared" si="0"/>
        <v>0.17010139981279107</v>
      </c>
      <c r="I12" s="669"/>
    </row>
    <row r="13" spans="1:9">
      <c r="A13" s="282"/>
      <c r="B13" s="562">
        <v>89</v>
      </c>
      <c r="C13" s="384" t="s">
        <v>67</v>
      </c>
      <c r="D13" s="632">
        <f>'TAMHSC Sum'!$B$15</f>
        <v>230148229</v>
      </c>
      <c r="E13" s="632">
        <f>'TAMHSC Sum'!$B$39</f>
        <v>438541098</v>
      </c>
      <c r="G13" s="1101">
        <f t="shared" si="0"/>
        <v>0.52480424309057572</v>
      </c>
      <c r="I13" s="669"/>
    </row>
    <row r="14" spans="1:9">
      <c r="A14" s="282"/>
      <c r="B14" s="562">
        <v>130</v>
      </c>
      <c r="C14" s="384" t="s">
        <v>68</v>
      </c>
      <c r="D14" s="632">
        <f>'UNTHS1 Sum'!$B$15</f>
        <v>129494349</v>
      </c>
      <c r="E14" s="632">
        <f>'UNTHS1 Sum'!$B$39</f>
        <v>313044880</v>
      </c>
      <c r="G14" s="1101">
        <f t="shared" si="0"/>
        <v>0.4136606514695273</v>
      </c>
      <c r="I14" s="669"/>
    </row>
    <row r="15" spans="1:9">
      <c r="A15" s="282"/>
      <c r="B15" s="562">
        <v>412</v>
      </c>
      <c r="C15" s="384" t="s">
        <v>27</v>
      </c>
      <c r="D15" s="632">
        <f>'TTUHSC Sum'!$B$15</f>
        <v>217168284</v>
      </c>
      <c r="E15" s="632">
        <f>'TTUHSC Sum'!$B$39</f>
        <v>828068297</v>
      </c>
      <c r="G15" s="1101">
        <f t="shared" si="0"/>
        <v>0.26225890398989637</v>
      </c>
      <c r="I15" s="669"/>
    </row>
    <row r="16" spans="1:9">
      <c r="A16" s="282"/>
      <c r="B16" s="562">
        <v>862</v>
      </c>
      <c r="C16" s="384" t="s">
        <v>28</v>
      </c>
      <c r="D16" s="632">
        <f>'TTUHSCEP Sum'!$B$15</f>
        <v>92315216</v>
      </c>
      <c r="E16" s="632">
        <f>'TTUHSCEP Sum'!$B$39</f>
        <v>300514823</v>
      </c>
      <c r="G16" s="1101">
        <f t="shared" si="0"/>
        <v>0.3071902246898483</v>
      </c>
      <c r="I16" s="669"/>
    </row>
    <row r="17" spans="1:9">
      <c r="A17" s="282"/>
      <c r="B17" s="562">
        <v>203599</v>
      </c>
      <c r="C17" s="384" t="s">
        <v>30</v>
      </c>
      <c r="D17" s="632">
        <f>'RGVM Sum'!$B$15</f>
        <v>49474555</v>
      </c>
      <c r="E17" s="632">
        <f>'RGVM Sum'!$B$39</f>
        <v>142377787</v>
      </c>
      <c r="G17" s="1101">
        <f t="shared" si="0"/>
        <v>0.34748787744537707</v>
      </c>
      <c r="I17" s="669"/>
    </row>
    <row r="18" spans="1:9">
      <c r="A18" s="282"/>
      <c r="B18" s="562">
        <v>203658</v>
      </c>
      <c r="C18" s="384" t="s">
        <v>29</v>
      </c>
      <c r="D18" s="632">
        <f>'AUSM Sum'!$B$15</f>
        <v>46216168</v>
      </c>
      <c r="E18" s="632">
        <f>'AUSM Sum'!$B$39</f>
        <v>243100224</v>
      </c>
      <c r="G18" s="1101">
        <f t="shared" si="0"/>
        <v>0.19011158130401393</v>
      </c>
      <c r="I18" s="669"/>
    </row>
    <row r="19" spans="1:9">
      <c r="A19" s="282"/>
      <c r="B19" s="562">
        <v>203652</v>
      </c>
      <c r="C19" s="384" t="s">
        <v>31</v>
      </c>
      <c r="D19" s="632">
        <f>'UHM Sum'!$B$15</f>
        <v>14940263</v>
      </c>
      <c r="E19" s="632">
        <f>'UHM Sum'!$B$39</f>
        <v>22173670</v>
      </c>
      <c r="G19" s="1101">
        <f t="shared" si="0"/>
        <v>0.67378395186723716</v>
      </c>
      <c r="I19" s="669"/>
    </row>
    <row r="20" spans="1:9">
      <c r="A20" s="282"/>
      <c r="B20" s="562"/>
      <c r="C20" s="384"/>
      <c r="D20" s="669"/>
    </row>
    <row r="21" spans="1:9" ht="13.8" thickBot="1">
      <c r="B21" s="1102">
        <f>COUNT(B7:B20)</f>
        <v>13</v>
      </c>
      <c r="C21" s="1103" t="s">
        <v>129</v>
      </c>
      <c r="D21" s="1104">
        <f>SUM(D7:D20)</f>
        <v>2219115664</v>
      </c>
      <c r="E21" s="1104">
        <f>SUM(E7:E20)</f>
        <v>20456533424</v>
      </c>
      <c r="G21" s="1105">
        <f t="shared" ref="G21" si="1">D21/E21</f>
        <v>0.10847955604230043</v>
      </c>
    </row>
    <row r="22" spans="1:9" ht="13.8" thickTop="1"/>
  </sheetData>
  <hyperlinks>
    <hyperlink ref="H1" location="Index!A1" display="Return to Index" xr:uid="{00000000-0004-0000-1000-000000000000}"/>
  </hyperlinks>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J34"/>
  <sheetViews>
    <sheetView showGridLines="0" zoomScaleNormal="100" workbookViewId="0">
      <pane ySplit="3" topLeftCell="A4" activePane="bottomLeft" state="frozen"/>
      <selection activeCell="B4" sqref="A1:XFD1048576"/>
      <selection pane="bottomLeft" activeCell="B4" sqref="A1:XFD1048576"/>
    </sheetView>
  </sheetViews>
  <sheetFormatPr defaultRowHeight="13.2"/>
  <cols>
    <col min="1" max="1" width="9.109375" style="322"/>
    <col min="2" max="2" width="43" style="320" customWidth="1"/>
    <col min="3" max="3" width="12.6640625" style="320" customWidth="1"/>
    <col min="4" max="4" width="12.44140625" style="320" customWidth="1"/>
    <col min="5" max="5" width="14.109375" style="320" customWidth="1"/>
    <col min="6" max="6" width="15.6640625" style="320" customWidth="1"/>
    <col min="7" max="7" width="12.44140625" style="320" customWidth="1"/>
    <col min="8" max="8" width="12.109375" style="320" customWidth="1"/>
    <col min="9" max="9" width="12.88671875" style="320" customWidth="1"/>
    <col min="10" max="10" width="15.88671875" style="320" customWidth="1"/>
    <col min="11" max="16384" width="8.88671875" style="320"/>
  </cols>
  <sheetData>
    <row r="1" spans="1:10" ht="13.8">
      <c r="A1" s="319" t="s">
        <v>1696</v>
      </c>
      <c r="I1" s="321" t="s">
        <v>51</v>
      </c>
    </row>
    <row r="3" spans="1:10" ht="33" customHeight="1">
      <c r="D3" s="323" t="s">
        <v>291</v>
      </c>
      <c r="E3" s="324" t="s">
        <v>1697</v>
      </c>
      <c r="F3" s="324" t="s">
        <v>1698</v>
      </c>
      <c r="G3" s="324" t="s">
        <v>1699</v>
      </c>
      <c r="H3" s="324" t="s">
        <v>1700</v>
      </c>
      <c r="I3" s="324" t="s">
        <v>1701</v>
      </c>
      <c r="J3" s="324" t="s">
        <v>1702</v>
      </c>
    </row>
    <row r="5" spans="1:10" s="331" customFormat="1" ht="30.6" thickBot="1">
      <c r="A5" s="325">
        <v>390</v>
      </c>
      <c r="B5" s="326" t="s">
        <v>206</v>
      </c>
      <c r="C5" s="327" t="s">
        <v>938</v>
      </c>
      <c r="D5" s="328" t="str">
        <f>'SWM Sum'!$F$83</f>
        <v>Balanced</v>
      </c>
      <c r="E5" s="328" t="str">
        <f>'SWM FGD'!$M$107</f>
        <v>Balanced</v>
      </c>
      <c r="F5" s="329" t="str">
        <f>'SWM FGD'!$L$107</f>
        <v>Balanced</v>
      </c>
      <c r="G5" s="329" t="str">
        <f>'SWM FGD'!$Q$36</f>
        <v>Balanced</v>
      </c>
      <c r="H5" s="329" t="str">
        <f>'SWM FGD'!$R$36</f>
        <v>Balanced</v>
      </c>
      <c r="I5" s="330" t="str">
        <f>'SWM FGD'!$P$76</f>
        <v>Balanced</v>
      </c>
      <c r="J5" s="329" t="str">
        <f>'SWM FGD'!$Y$78</f>
        <v>Balanced</v>
      </c>
    </row>
    <row r="6" spans="1:10" s="331" customFormat="1" ht="30.6" thickBot="1">
      <c r="A6" s="325">
        <v>400</v>
      </c>
      <c r="B6" s="326" t="s">
        <v>20</v>
      </c>
      <c r="C6" s="327" t="s">
        <v>958</v>
      </c>
      <c r="D6" s="328" t="str">
        <f>'MBG Sum'!$F$83</f>
        <v>Balanced</v>
      </c>
      <c r="E6" s="328" t="str">
        <f>'MBG FGD'!$M$107</f>
        <v>Balanced</v>
      </c>
      <c r="F6" s="329" t="str">
        <f>'MBG FGD'!$L$107</f>
        <v>Balanced</v>
      </c>
      <c r="G6" s="329" t="str">
        <f>'MBG FGD'!$Q$36</f>
        <v>Balanced</v>
      </c>
      <c r="H6" s="329" t="str">
        <f>'MBG FGD'!$R$36</f>
        <v>Balanced</v>
      </c>
      <c r="I6" s="330" t="str">
        <f>'MBG FGD'!$P$76</f>
        <v>Balanced</v>
      </c>
      <c r="J6" s="329" t="str">
        <f>'MBG FGD'!$Y$78</f>
        <v>Balanced</v>
      </c>
    </row>
    <row r="7" spans="1:10" s="331" customFormat="1" ht="30.6" thickBot="1">
      <c r="A7" s="325">
        <v>410</v>
      </c>
      <c r="B7" s="326" t="s">
        <v>21</v>
      </c>
      <c r="C7" s="327" t="s">
        <v>952</v>
      </c>
      <c r="D7" s="328" t="str">
        <f>'HSH Sum'!$F$83</f>
        <v>Balanced</v>
      </c>
      <c r="E7" s="328" t="str">
        <f>'HSH FGD'!$M$107</f>
        <v>Balanced</v>
      </c>
      <c r="F7" s="329" t="str">
        <f>'HSH FGD'!$L$107</f>
        <v>Balanced</v>
      </c>
      <c r="G7" s="329" t="str">
        <f>'HSH FGD'!$Q$36</f>
        <v>Balanced</v>
      </c>
      <c r="H7" s="329" t="str">
        <f>'HSH FGD'!$R$36</f>
        <v>Balanced</v>
      </c>
      <c r="I7" s="330" t="str">
        <f>'HSH FGD'!$P$76</f>
        <v>Balanced</v>
      </c>
      <c r="J7" s="329" t="str">
        <f>'HSH FGD'!$Y$78</f>
        <v>Balanced</v>
      </c>
    </row>
    <row r="8" spans="1:10" s="331" customFormat="1" ht="30.6" thickBot="1">
      <c r="A8" s="325">
        <v>420</v>
      </c>
      <c r="B8" s="326" t="s">
        <v>22</v>
      </c>
      <c r="C8" s="327" t="s">
        <v>940</v>
      </c>
      <c r="D8" s="328" t="str">
        <f>'HSSA Sum'!$F$83</f>
        <v>Balanced</v>
      </c>
      <c r="E8" s="328" t="str">
        <f>'HSSA FGD'!$M$107</f>
        <v>Balanced</v>
      </c>
      <c r="F8" s="329" t="str">
        <f>'HSSA FGD'!$L$107</f>
        <v>Balanced</v>
      </c>
      <c r="G8" s="329" t="str">
        <f>'HSSA FGD'!$Q$36</f>
        <v>Balanced</v>
      </c>
      <c r="H8" s="329" t="str">
        <f>'HSSA FGD'!$R$36</f>
        <v>Balanced</v>
      </c>
      <c r="I8" s="330" t="str">
        <f>'HSSA FGD'!$P$76</f>
        <v>Balanced</v>
      </c>
      <c r="J8" s="329" t="str">
        <f>'HSSA FGD'!$Y$78</f>
        <v>Balanced</v>
      </c>
    </row>
    <row r="9" spans="1:10" s="331" customFormat="1" ht="30.6" thickBot="1">
      <c r="A9" s="325">
        <v>430</v>
      </c>
      <c r="B9" s="326" t="s">
        <v>23</v>
      </c>
      <c r="C9" s="327" t="s">
        <v>954</v>
      </c>
      <c r="D9" s="328" t="str">
        <f>'MDA Sum'!$F$83</f>
        <v>Balanced</v>
      </c>
      <c r="E9" s="328" t="str">
        <f>'MDA FGD'!$M$107</f>
        <v>Balanced</v>
      </c>
      <c r="F9" s="329" t="str">
        <f>'MDA FGD'!$L$107</f>
        <v>Balanced</v>
      </c>
      <c r="G9" s="329" t="str">
        <f>'MDA FGD'!$Q$36</f>
        <v>Balanced</v>
      </c>
      <c r="H9" s="329" t="str">
        <f>'MDA FGD'!$R$36</f>
        <v>Balanced</v>
      </c>
      <c r="I9" s="330" t="str">
        <f>'MDA FGD'!$P$76</f>
        <v>Balanced</v>
      </c>
      <c r="J9" s="329" t="str">
        <f>'MDA FGD'!$Y$78</f>
        <v>Balanced</v>
      </c>
    </row>
    <row r="10" spans="1:10" s="331" customFormat="1" ht="30.6" thickBot="1">
      <c r="A10" s="325">
        <v>440</v>
      </c>
      <c r="B10" s="326" t="s">
        <v>88</v>
      </c>
      <c r="C10" s="327" t="s">
        <v>956</v>
      </c>
      <c r="D10" s="328" t="str">
        <f>'THC Sum'!$F$83</f>
        <v>Balanced</v>
      </c>
      <c r="E10" s="328" t="str">
        <f>'THC FGD'!$M$107</f>
        <v>Balanced</v>
      </c>
      <c r="F10" s="329" t="str">
        <f>'THC FGD'!$L$107</f>
        <v>Balanced</v>
      </c>
      <c r="G10" s="329" t="str">
        <f>'THC FGD'!$Q$36</f>
        <v>Balanced</v>
      </c>
      <c r="H10" s="329" t="str">
        <f>'THC FGD'!$R$36</f>
        <v>Balanced</v>
      </c>
      <c r="I10" s="330" t="str">
        <f>'THC FGD'!$P$76</f>
        <v>Balanced</v>
      </c>
      <c r="J10" s="329" t="str">
        <f>'THC FGD'!$Y$78</f>
        <v>Balanced</v>
      </c>
    </row>
    <row r="11" spans="1:10" s="331" customFormat="1" ht="30.6" thickBot="1">
      <c r="A11" s="325">
        <v>450</v>
      </c>
      <c r="B11" s="326" t="s">
        <v>25</v>
      </c>
      <c r="C11" s="327" t="s">
        <v>942</v>
      </c>
      <c r="D11" s="328" t="str">
        <f>'TAMHSC Sum'!$F$83</f>
        <v>Balanced</v>
      </c>
      <c r="E11" s="328" t="str">
        <f>'TAMHSC FGD'!$M$107</f>
        <v>Balanced</v>
      </c>
      <c r="F11" s="329" t="str">
        <f>'TAMHSC FGD'!$L$107</f>
        <v>Balanced</v>
      </c>
      <c r="G11" s="329" t="str">
        <f>'TAMHSC FGD'!$Q$36</f>
        <v>Balanced</v>
      </c>
      <c r="H11" s="329" t="str">
        <f>'TAMHSC FGD'!$R$36</f>
        <v>Balanced</v>
      </c>
      <c r="I11" s="330" t="str">
        <f>'TAMHSC FGD'!$P$76</f>
        <v>Balanced</v>
      </c>
      <c r="J11" s="329" t="str">
        <f>'TAMHSC FGD'!$Y$78</f>
        <v>Balanced</v>
      </c>
    </row>
    <row r="12" spans="1:10" s="331" customFormat="1" ht="30.6" thickBot="1">
      <c r="A12" s="325">
        <v>461</v>
      </c>
      <c r="B12" s="326" t="s">
        <v>1703</v>
      </c>
      <c r="C12" s="327" t="s">
        <v>946</v>
      </c>
      <c r="D12" s="328" t="str">
        <f>'UNTHS1 Sum'!$F$83</f>
        <v>Balanced</v>
      </c>
      <c r="E12" s="328" t="str">
        <f>'UNTHSC1 FGD'!$M$107</f>
        <v>Balanced</v>
      </c>
      <c r="F12" s="329" t="str">
        <f>'UNTHSC1 FGD'!$L$107</f>
        <v>Balanced</v>
      </c>
      <c r="G12" s="329" t="str">
        <f>'UNTHSC1 FGD'!$Q$36</f>
        <v>Balanced</v>
      </c>
      <c r="H12" s="329" t="str">
        <f>'UNTHSC1 FGD'!$R$36</f>
        <v>Balanced</v>
      </c>
      <c r="I12" s="330" t="str">
        <f>'UNTHSC1 FGD'!$P$76</f>
        <v>Balanced</v>
      </c>
      <c r="J12" s="329" t="str">
        <f>'UNTHSC1 FGD'!$Y$78</f>
        <v>Balanced</v>
      </c>
    </row>
    <row r="13" spans="1:10" s="331" customFormat="1" ht="30.6" thickBot="1">
      <c r="A13" s="325">
        <v>470</v>
      </c>
      <c r="B13" s="326" t="s">
        <v>27</v>
      </c>
      <c r="C13" s="327" t="s">
        <v>948</v>
      </c>
      <c r="D13" s="328" t="str">
        <f>'TTUHSC Sum'!$F$83</f>
        <v>Balanced</v>
      </c>
      <c r="E13" s="328" t="str">
        <f>'TTUHSC FGD'!$M$107</f>
        <v>Balanced</v>
      </c>
      <c r="F13" s="329" t="str">
        <f>'TTUHSC FGD'!$L$107</f>
        <v>Balanced</v>
      </c>
      <c r="G13" s="329" t="str">
        <f>'TTUHSC FGD'!$Q$36</f>
        <v>Balanced</v>
      </c>
      <c r="H13" s="329" t="str">
        <f>'TTUHSC FGD'!$R$36</f>
        <v>Balanced</v>
      </c>
      <c r="I13" s="330" t="str">
        <f>'TTUHSC FGD'!$P$76</f>
        <v>Balanced</v>
      </c>
      <c r="J13" s="329" t="str">
        <f>'TTUHSC FGD'!$Y$78</f>
        <v>Balanced</v>
      </c>
    </row>
    <row r="14" spans="1:10" s="331" customFormat="1" ht="30.6" thickBot="1">
      <c r="A14" s="325">
        <v>490</v>
      </c>
      <c r="B14" s="326" t="s">
        <v>27</v>
      </c>
      <c r="C14" s="327" t="s">
        <v>950</v>
      </c>
      <c r="D14" s="328" t="str">
        <f>'TTUHSCEP Sum'!$F$83</f>
        <v>Balanced</v>
      </c>
      <c r="E14" s="328" t="str">
        <f>'TTUHSCEP FGD'!$M$107</f>
        <v>Balanced</v>
      </c>
      <c r="F14" s="329" t="str">
        <f>'TTUHSCEP FGD'!$L$107</f>
        <v>Balanced</v>
      </c>
      <c r="G14" s="329" t="str">
        <f>'TTUHSCEP FGD'!$Q$36</f>
        <v>Balanced</v>
      </c>
      <c r="H14" s="329" t="str">
        <f>'TTUHSCEP FGD'!$R$36</f>
        <v>Balanced</v>
      </c>
      <c r="I14" s="330" t="str">
        <f>'TTUHSCEP FGD'!$P$76</f>
        <v>Balanced</v>
      </c>
      <c r="J14" s="329" t="str">
        <f>'TTUHSCEP FGD'!$Y$78</f>
        <v>Balanced</v>
      </c>
    </row>
    <row r="15" spans="1:10" s="331" customFormat="1" ht="30.6" thickBot="1">
      <c r="A15" s="325">
        <v>500</v>
      </c>
      <c r="B15" s="326" t="s">
        <v>29</v>
      </c>
      <c r="C15" s="327" t="s">
        <v>746</v>
      </c>
      <c r="D15" s="328" t="str">
        <f>'AUSM Sum'!$F$83</f>
        <v>Balanced</v>
      </c>
      <c r="E15" s="328" t="str">
        <f>'AUSM FGD'!$M$107</f>
        <v>Balanced</v>
      </c>
      <c r="F15" s="329" t="str">
        <f>'AUSM FGD'!$L$107</f>
        <v>Balanced</v>
      </c>
      <c r="G15" s="329" t="str">
        <f>'AUSM FGD'!$Q$36</f>
        <v>Balanced</v>
      </c>
      <c r="H15" s="329" t="str">
        <f>'AUSM FGD'!$R$36</f>
        <v>Balanced</v>
      </c>
      <c r="I15" s="330" t="str">
        <f>'AUSM FGD'!$P$76</f>
        <v>Balanced</v>
      </c>
      <c r="J15" s="329" t="str">
        <f>'AUSM FGD'!$Y$78</f>
        <v>Balanced</v>
      </c>
    </row>
    <row r="16" spans="1:10" s="331" customFormat="1" ht="30.6" thickBot="1">
      <c r="A16" s="325">
        <v>510</v>
      </c>
      <c r="B16" s="326" t="s">
        <v>30</v>
      </c>
      <c r="C16" s="327" t="s">
        <v>758</v>
      </c>
      <c r="D16" s="328" t="str">
        <f>'RGVM Sum'!$F$83</f>
        <v>Balanced</v>
      </c>
      <c r="E16" s="328" t="str">
        <f>'RGVM FGD'!$M$107</f>
        <v>Balanced</v>
      </c>
      <c r="F16" s="329" t="str">
        <f>'RGVM FGD'!$L$107</f>
        <v>Balanced</v>
      </c>
      <c r="G16" s="329" t="str">
        <f>'RGVM FGD'!$Q$36</f>
        <v>Balanced</v>
      </c>
      <c r="H16" s="329" t="str">
        <f>'RGVM FGD'!$R$36</f>
        <v>Balanced</v>
      </c>
      <c r="I16" s="330" t="str">
        <f>'RGVM FGD'!$P$76</f>
        <v>Balanced</v>
      </c>
      <c r="J16" s="329" t="str">
        <f>'RGVM FGD'!$Y$78</f>
        <v>Balanced</v>
      </c>
    </row>
    <row r="17" spans="1:10" s="331" customFormat="1" ht="15.6" thickBot="1">
      <c r="A17" s="325">
        <v>520</v>
      </c>
      <c r="B17" s="326" t="s">
        <v>31</v>
      </c>
      <c r="C17" s="327" t="s">
        <v>964</v>
      </c>
      <c r="D17" s="328" t="str">
        <f>'UHM Sum'!$F$83</f>
        <v>Balanced</v>
      </c>
      <c r="E17" s="328" t="str">
        <f>'UHM FGD'!$M$107</f>
        <v>Balanced</v>
      </c>
      <c r="F17" s="329" t="str">
        <f>'UHM FGD'!$L$107</f>
        <v>Balanced</v>
      </c>
      <c r="G17" s="329" t="str">
        <f>'UHM FGD'!$Q$36</f>
        <v>Balanced</v>
      </c>
      <c r="H17" s="329" t="str">
        <f>'UHM FGD'!$R$36</f>
        <v>Balanced</v>
      </c>
      <c r="I17" s="330" t="str">
        <f>'UHM FGD'!$P$76</f>
        <v>Balanced</v>
      </c>
      <c r="J17" s="329" t="str">
        <f>'UHM FGD'!$Y$78</f>
        <v>Balanced</v>
      </c>
    </row>
    <row r="18" spans="1:10" s="331" customFormat="1" ht="30.6" thickBot="1">
      <c r="A18" s="332">
        <v>530</v>
      </c>
      <c r="B18" s="326" t="s">
        <v>32</v>
      </c>
      <c r="C18" s="332" t="s">
        <v>966</v>
      </c>
      <c r="D18" s="328" t="str">
        <f>'SHNF Sum'!$F$83</f>
        <v>Error</v>
      </c>
      <c r="E18" s="328" t="str">
        <f>'SHNF FGD'!$M$107</f>
        <v>Balanced</v>
      </c>
      <c r="F18" s="329" t="str">
        <f>'SHNF FGD'!$L$107</f>
        <v>Balanced</v>
      </c>
      <c r="G18" s="329" t="str">
        <f>'SHNF FGD'!$Q$36</f>
        <v>Balanced</v>
      </c>
      <c r="H18" s="329" t="str">
        <f>'SHNF FGD'!$R$36</f>
        <v>Balanced</v>
      </c>
      <c r="I18" s="330" t="str">
        <f>'SHNF FGD'!$P$76</f>
        <v>Balanced</v>
      </c>
      <c r="J18" s="329" t="str">
        <f>'SHNF FGD'!$Y$78</f>
        <v>Balanced</v>
      </c>
    </row>
    <row r="19" spans="1:10" s="331" customFormat="1" ht="45.6" thickBot="1">
      <c r="A19" s="332">
        <v>540</v>
      </c>
      <c r="B19" s="326" t="s">
        <v>33</v>
      </c>
      <c r="C19" s="332" t="s">
        <v>968</v>
      </c>
      <c r="D19" s="328" t="str">
        <f>'UNTHSCPM Sum'!$F$83</f>
        <v>Balanced</v>
      </c>
      <c r="E19" s="328" t="str">
        <f>'UNTHSCPM FGD'!$M$107</f>
        <v>Balanced</v>
      </c>
      <c r="F19" s="329" t="str">
        <f>'UNTHSCPM FGD'!$L$107</f>
        <v>Balanced</v>
      </c>
      <c r="G19" s="329" t="str">
        <f>'UNTHSCPM FGD'!$Q$36</f>
        <v>Balanced</v>
      </c>
      <c r="H19" s="329" t="str">
        <f>'UNTHSCPM FGD'!$R$36</f>
        <v>Balanced</v>
      </c>
      <c r="I19" s="330" t="str">
        <f>'UNTHSCPM FGD'!$P$76</f>
        <v>Balanced</v>
      </c>
      <c r="J19" s="329" t="str">
        <f>'UNTHSCPM FGD'!$Y$78</f>
        <v>Balanced</v>
      </c>
    </row>
    <row r="20" spans="1:10" s="331" customFormat="1" ht="30.6" thickBot="1">
      <c r="A20" s="332">
        <v>460</v>
      </c>
      <c r="B20" s="326" t="s">
        <v>1704</v>
      </c>
      <c r="C20" s="332" t="s">
        <v>944</v>
      </c>
      <c r="D20" s="328" t="str">
        <f>'UNTHSC Sum'!$F$83</f>
        <v>Balanced</v>
      </c>
      <c r="E20" s="328" t="str">
        <f>'UNTHSC FGD'!$M$107</f>
        <v>Balanced</v>
      </c>
      <c r="F20" s="329" t="str">
        <f>'UNTHSC FGD'!$L$107</f>
        <v>Balanced</v>
      </c>
      <c r="G20" s="329" t="str">
        <f>'UNTHSC FGD'!$Q$36</f>
        <v>Balanced</v>
      </c>
      <c r="H20" s="329" t="str">
        <f>'UNTHSC FGD'!$R$36</f>
        <v>Balanced</v>
      </c>
      <c r="I20" s="330" t="str">
        <f>'UNTHSC FGD'!$P$76</f>
        <v>Balanced</v>
      </c>
      <c r="J20" s="329" t="str">
        <f>'UNTHSC FGD'!$Y$78</f>
        <v>Balanced</v>
      </c>
    </row>
    <row r="21" spans="1:10" s="331" customFormat="1" ht="15.6" thickBot="1">
      <c r="A21" s="325"/>
      <c r="B21" s="326"/>
      <c r="C21" s="327"/>
    </row>
    <row r="22" spans="1:10" s="331" customFormat="1" ht="15.6" thickBot="1">
      <c r="A22" s="325"/>
      <c r="B22" s="326"/>
      <c r="C22" s="327"/>
    </row>
    <row r="23" spans="1:10">
      <c r="A23" s="282">
        <f>COUNT(A5:A22)</f>
        <v>16</v>
      </c>
      <c r="B23" s="333"/>
      <c r="C23" s="277"/>
    </row>
    <row r="24" spans="1:10">
      <c r="A24" s="277"/>
      <c r="B24" s="333"/>
      <c r="C24" s="277"/>
    </row>
    <row r="25" spans="1:10">
      <c r="A25" s="277"/>
      <c r="B25" s="333"/>
      <c r="C25" s="277"/>
    </row>
    <row r="26" spans="1:10">
      <c r="A26" s="277"/>
      <c r="B26" s="333"/>
      <c r="C26" s="277"/>
    </row>
    <row r="27" spans="1:10">
      <c r="A27" s="277"/>
      <c r="B27" s="333"/>
      <c r="C27" s="277"/>
    </row>
    <row r="28" spans="1:10">
      <c r="A28" s="277"/>
      <c r="B28" s="333"/>
      <c r="C28" s="277"/>
    </row>
    <row r="29" spans="1:10">
      <c r="A29" s="277"/>
      <c r="B29" s="333"/>
      <c r="C29" s="277"/>
    </row>
    <row r="30" spans="1:10">
      <c r="A30" s="277"/>
      <c r="B30" s="333"/>
      <c r="C30" s="277"/>
    </row>
    <row r="31" spans="1:10">
      <c r="A31" s="277"/>
      <c r="B31" s="333"/>
      <c r="C31" s="277"/>
    </row>
    <row r="32" spans="1:10">
      <c r="A32" s="277"/>
      <c r="B32" s="333"/>
      <c r="C32" s="277"/>
    </row>
    <row r="33" spans="1:3">
      <c r="A33" s="277"/>
      <c r="B33" s="333"/>
      <c r="C33" s="277"/>
    </row>
    <row r="34" spans="1:3">
      <c r="A34" s="277"/>
      <c r="B34" s="333"/>
      <c r="C34" s="277"/>
    </row>
  </sheetData>
  <hyperlinks>
    <hyperlink ref="I1" location="Index!A1" display="Return to Index" xr:uid="{00000000-0004-0000-59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90</vt:i4>
      </vt:variant>
      <vt:variant>
        <vt:lpstr>Named Ranges</vt:lpstr>
      </vt:variant>
      <vt:variant>
        <vt:i4>90</vt:i4>
      </vt:variant>
    </vt:vector>
  </HeadingPairs>
  <TitlesOfParts>
    <vt:vector size="180" baseType="lpstr">
      <vt:lpstr>Index</vt:lpstr>
      <vt:lpstr>HRI Space Model</vt:lpstr>
      <vt:lpstr>HRI CTG Costs</vt:lpstr>
      <vt:lpstr>HRI Funding Comp</vt:lpstr>
      <vt:lpstr>IFRS Smmy_old</vt:lpstr>
      <vt:lpstr>Eval HRI</vt:lpstr>
      <vt:lpstr>HRI Keys NA</vt:lpstr>
      <vt:lpstr>ComRpt</vt:lpstr>
      <vt:lpstr>Source Smmy</vt:lpstr>
      <vt:lpstr>Smmy HRI SbS</vt:lpstr>
      <vt:lpstr>Smmy Chts</vt:lpstr>
      <vt:lpstr>Smmy Sum</vt:lpstr>
      <vt:lpstr>Smmy FGD</vt:lpstr>
      <vt:lpstr>Smmy Fnts</vt:lpstr>
      <vt:lpstr>SWM Chts</vt:lpstr>
      <vt:lpstr>SWM Sum</vt:lpstr>
      <vt:lpstr>SWM FGD</vt:lpstr>
      <vt:lpstr>SWM Fnts</vt:lpstr>
      <vt:lpstr>MBG Chts</vt:lpstr>
      <vt:lpstr>MBG Sum</vt:lpstr>
      <vt:lpstr>MBG FGD</vt:lpstr>
      <vt:lpstr>MBG Fnts</vt:lpstr>
      <vt:lpstr>HSH Chts</vt:lpstr>
      <vt:lpstr>HSH Sum</vt:lpstr>
      <vt:lpstr>HSH FGD</vt:lpstr>
      <vt:lpstr>HSH Fnts</vt:lpstr>
      <vt:lpstr>HSSA Chts</vt:lpstr>
      <vt:lpstr>HSSA Sum</vt:lpstr>
      <vt:lpstr>HSSA FGD</vt:lpstr>
      <vt:lpstr>HSSA Fnts</vt:lpstr>
      <vt:lpstr>MDA Chts</vt:lpstr>
      <vt:lpstr>MDA Sum</vt:lpstr>
      <vt:lpstr>MDA FGD</vt:lpstr>
      <vt:lpstr>MDA Fnts</vt:lpstr>
      <vt:lpstr>THC Chts</vt:lpstr>
      <vt:lpstr>THC Sum</vt:lpstr>
      <vt:lpstr>THC FGD</vt:lpstr>
      <vt:lpstr>THC Fnts</vt:lpstr>
      <vt:lpstr>TAMHSC Chts</vt:lpstr>
      <vt:lpstr>TAMHSC Sum</vt:lpstr>
      <vt:lpstr>TAMHSC FGD</vt:lpstr>
      <vt:lpstr>TAMHSC Fnts</vt:lpstr>
      <vt:lpstr>UNTHSC1 Chts</vt:lpstr>
      <vt:lpstr>UNTHS1 Sum</vt:lpstr>
      <vt:lpstr>UNTHSC1 FGD</vt:lpstr>
      <vt:lpstr>UNTHSC1 Fnts</vt:lpstr>
      <vt:lpstr>TTUHSC Chts</vt:lpstr>
      <vt:lpstr>TTUHSC Sum</vt:lpstr>
      <vt:lpstr>TTUHSC FGD</vt:lpstr>
      <vt:lpstr>TTUHSC Fnts</vt:lpstr>
      <vt:lpstr>TTUHSCEP Chts</vt:lpstr>
      <vt:lpstr>TTUHSCEP Sum</vt:lpstr>
      <vt:lpstr>TTUHSCEP FGD</vt:lpstr>
      <vt:lpstr>TTUHSCEP Fnts</vt:lpstr>
      <vt:lpstr>AUSM Chts</vt:lpstr>
      <vt:lpstr>AUSM Sum</vt:lpstr>
      <vt:lpstr>AUSM FGD</vt:lpstr>
      <vt:lpstr>AUSM Fnts</vt:lpstr>
      <vt:lpstr>RGVM Chts</vt:lpstr>
      <vt:lpstr>RGVM Sum</vt:lpstr>
      <vt:lpstr>RGVM FGD</vt:lpstr>
      <vt:lpstr>RGVM Fnts</vt:lpstr>
      <vt:lpstr>UHM Chts</vt:lpstr>
      <vt:lpstr>UHM Sum</vt:lpstr>
      <vt:lpstr>UHM FGD</vt:lpstr>
      <vt:lpstr>UHM Fnts</vt:lpstr>
      <vt:lpstr>SHNF Chts</vt:lpstr>
      <vt:lpstr>SHNF Sum</vt:lpstr>
      <vt:lpstr>SHNF FGD</vt:lpstr>
      <vt:lpstr>SHNF Fnts</vt:lpstr>
      <vt:lpstr>UNTHSCPM Chts</vt:lpstr>
      <vt:lpstr>UNTHSCPM Sum</vt:lpstr>
      <vt:lpstr>UNTHSCPM FGD</vt:lpstr>
      <vt:lpstr>UNTHSCPM Fnts</vt:lpstr>
      <vt:lpstr>UNTHSC Chts</vt:lpstr>
      <vt:lpstr>UNTHSC Sum</vt:lpstr>
      <vt:lpstr>UNTHSC FGD</vt:lpstr>
      <vt:lpstr>UNTHSC Fnts</vt:lpstr>
      <vt:lpstr>SREB Input</vt:lpstr>
      <vt:lpstr>Healthcare</vt:lpstr>
      <vt:lpstr>IFRS Smmy</vt:lpstr>
      <vt:lpstr>Almanac</vt:lpstr>
      <vt:lpstr>T&amp;F Summary</vt:lpstr>
      <vt:lpstr>HRI_IE_Context</vt:lpstr>
      <vt:lpstr>HRI_IE_Keys</vt:lpstr>
      <vt:lpstr>HRI Context NA</vt:lpstr>
      <vt:lpstr>Names</vt:lpstr>
      <vt:lpstr>Input</vt:lpstr>
      <vt:lpstr>FTSE</vt:lpstr>
      <vt:lpstr>Balancing</vt:lpstr>
      <vt:lpstr>ComRpt!AMTLU</vt:lpstr>
      <vt:lpstr>Healthcare!AMTLU</vt:lpstr>
      <vt:lpstr>AMTLU</vt:lpstr>
      <vt:lpstr>ComRpt!FTSELU</vt:lpstr>
      <vt:lpstr>Healthcare!FTSELU</vt:lpstr>
      <vt:lpstr>FTSELU</vt:lpstr>
      <vt:lpstr>ComRpt!NamesLU</vt:lpstr>
      <vt:lpstr>NamesLU</vt:lpstr>
      <vt:lpstr>Almanac!Print_Area</vt:lpstr>
      <vt:lpstr>'AUSM Chts'!Print_Area</vt:lpstr>
      <vt:lpstr>'AUSM FGD'!Print_Area</vt:lpstr>
      <vt:lpstr>'AUSM Fnts'!Print_Area</vt:lpstr>
      <vt:lpstr>'AUSM Sum'!Print_Area</vt:lpstr>
      <vt:lpstr>'Eval HRI'!Print_Area</vt:lpstr>
      <vt:lpstr>'HRI Context NA'!Print_Area</vt:lpstr>
      <vt:lpstr>'HRI Keys NA'!Print_Area</vt:lpstr>
      <vt:lpstr>'HRI Space Model'!Print_Area</vt:lpstr>
      <vt:lpstr>HRI_IE_Context!Print_Area</vt:lpstr>
      <vt:lpstr>HRI_IE_Keys!Print_Area</vt:lpstr>
      <vt:lpstr>'HSH Chts'!Print_Area</vt:lpstr>
      <vt:lpstr>'HSH FGD'!Print_Area</vt:lpstr>
      <vt:lpstr>'HSH Fnts'!Print_Area</vt:lpstr>
      <vt:lpstr>'HSH Sum'!Print_Area</vt:lpstr>
      <vt:lpstr>'HSSA Chts'!Print_Area</vt:lpstr>
      <vt:lpstr>'HSSA FGD'!Print_Area</vt:lpstr>
      <vt:lpstr>'HSSA Fnts'!Print_Area</vt:lpstr>
      <vt:lpstr>'HSSA Sum'!Print_Area</vt:lpstr>
      <vt:lpstr>'IFRS Smmy'!Print_Area</vt:lpstr>
      <vt:lpstr>'IFRS Smmy_old'!Print_Area</vt:lpstr>
      <vt:lpstr>'MBG Chts'!Print_Area</vt:lpstr>
      <vt:lpstr>'MBG FGD'!Print_Area</vt:lpstr>
      <vt:lpstr>'MBG Fnts'!Print_Area</vt:lpstr>
      <vt:lpstr>'MBG Sum'!Print_Area</vt:lpstr>
      <vt:lpstr>'MDA Chts'!Print_Area</vt:lpstr>
      <vt:lpstr>'MDA FGD'!Print_Area</vt:lpstr>
      <vt:lpstr>'MDA Fnts'!Print_Area</vt:lpstr>
      <vt:lpstr>'MDA Sum'!Print_Area</vt:lpstr>
      <vt:lpstr>Names!Print_Area</vt:lpstr>
      <vt:lpstr>'RGVM Chts'!Print_Area</vt:lpstr>
      <vt:lpstr>'RGVM FGD'!Print_Area</vt:lpstr>
      <vt:lpstr>'RGVM Fnts'!Print_Area</vt:lpstr>
      <vt:lpstr>'RGVM Sum'!Print_Area</vt:lpstr>
      <vt:lpstr>'SHNF Chts'!Print_Area</vt:lpstr>
      <vt:lpstr>'SHNF FGD'!Print_Area</vt:lpstr>
      <vt:lpstr>'SHNF Fnts'!Print_Area</vt:lpstr>
      <vt:lpstr>'SHNF Sum'!Print_Area</vt:lpstr>
      <vt:lpstr>'Smmy Chts'!Print_Area</vt:lpstr>
      <vt:lpstr>'Smmy FGD'!Print_Area</vt:lpstr>
      <vt:lpstr>'Smmy Fnts'!Print_Area</vt:lpstr>
      <vt:lpstr>'Smmy HRI SbS'!Print_Area</vt:lpstr>
      <vt:lpstr>'Smmy Sum'!Print_Area</vt:lpstr>
      <vt:lpstr>'SWM Chts'!Print_Area</vt:lpstr>
      <vt:lpstr>'SWM FGD'!Print_Area</vt:lpstr>
      <vt:lpstr>'SWM Fnts'!Print_Area</vt:lpstr>
      <vt:lpstr>'SWM Sum'!Print_Area</vt:lpstr>
      <vt:lpstr>'T&amp;F Summary'!Print_Area</vt:lpstr>
      <vt:lpstr>'TAMHSC Chts'!Print_Area</vt:lpstr>
      <vt:lpstr>'TAMHSC FGD'!Print_Area</vt:lpstr>
      <vt:lpstr>'TAMHSC Fnts'!Print_Area</vt:lpstr>
      <vt:lpstr>'TAMHSC Sum'!Print_Area</vt:lpstr>
      <vt:lpstr>'THC Chts'!Print_Area</vt:lpstr>
      <vt:lpstr>'THC FGD'!Print_Area</vt:lpstr>
      <vt:lpstr>'THC Fnts'!Print_Area</vt:lpstr>
      <vt:lpstr>'THC Sum'!Print_Area</vt:lpstr>
      <vt:lpstr>'TTUHSC Chts'!Print_Area</vt:lpstr>
      <vt:lpstr>'TTUHSC FGD'!Print_Area</vt:lpstr>
      <vt:lpstr>'TTUHSC Fnts'!Print_Area</vt:lpstr>
      <vt:lpstr>'TTUHSC Sum'!Print_Area</vt:lpstr>
      <vt:lpstr>'TTUHSCEP Chts'!Print_Area</vt:lpstr>
      <vt:lpstr>'TTUHSCEP FGD'!Print_Area</vt:lpstr>
      <vt:lpstr>'TTUHSCEP Fnts'!Print_Area</vt:lpstr>
      <vt:lpstr>'TTUHSCEP Sum'!Print_Area</vt:lpstr>
      <vt:lpstr>'UHM Chts'!Print_Area</vt:lpstr>
      <vt:lpstr>'UHM FGD'!Print_Area</vt:lpstr>
      <vt:lpstr>'UHM Fnts'!Print_Area</vt:lpstr>
      <vt:lpstr>'UHM Sum'!Print_Area</vt:lpstr>
      <vt:lpstr>'UNTHS1 Sum'!Print_Area</vt:lpstr>
      <vt:lpstr>'UNTHSC Chts'!Print_Area</vt:lpstr>
      <vt:lpstr>'UNTHSC FGD'!Print_Area</vt:lpstr>
      <vt:lpstr>'UNTHSC Fnts'!Print_Area</vt:lpstr>
      <vt:lpstr>'UNTHSC Sum'!Print_Area</vt:lpstr>
      <vt:lpstr>'UNTHSC1 Chts'!Print_Area</vt:lpstr>
      <vt:lpstr>'UNTHSC1 FGD'!Print_Area</vt:lpstr>
      <vt:lpstr>'UNTHSC1 Fnts'!Print_Area</vt:lpstr>
      <vt:lpstr>'UNTHSCPM Chts'!Print_Area</vt:lpstr>
      <vt:lpstr>'UNTHSCPM FGD'!Print_Area</vt:lpstr>
      <vt:lpstr>'UNTHSCPM Fnts'!Print_Area</vt:lpstr>
      <vt:lpstr>'UNTHSCPM Sum'!Print_Area</vt:lpstr>
      <vt:lpstr>ComRpt!Print_Titles</vt:lpstr>
      <vt:lpstr>'Smmy HRI SbS'!Print_Titles</vt:lpstr>
    </vt:vector>
  </TitlesOfParts>
  <Manager/>
  <Company>THECB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Sources and Uses Detail Health-Related - FY 2022</dc:title>
  <dc:subject>Sources and Uses of Funds</dc:subject>
  <dc:creator>Funding and Resource Planning</dc:creator>
  <cp:keywords>Sources and Uses, Health-Related Institutions</cp:keywords>
  <dc:description/>
  <cp:lastModifiedBy>King, Clifford</cp:lastModifiedBy>
  <cp:revision/>
  <dcterms:created xsi:type="dcterms:W3CDTF">2004-08-05T19:38:30Z</dcterms:created>
  <dcterms:modified xsi:type="dcterms:W3CDTF">2023-06-22T15:08:35Z</dcterms:modified>
  <cp:category/>
  <cp:contentStatus/>
</cp:coreProperties>
</file>